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参数" sheetId="2" state="visible" r:id="rId2"/>
    <sheet xmlns:r="http://schemas.openxmlformats.org/officeDocument/2006/relationships" name="交易记录" sheetId="3" state="visible" r:id="rId3"/>
    <sheet xmlns:r="http://schemas.openxmlformats.org/officeDocument/2006/relationships" name="成交明细" sheetId="4" state="visible" r:id="rId4"/>
    <sheet xmlns:r="http://schemas.openxmlformats.org/officeDocument/2006/relationships" name="期权" sheetId="5" state="visible" r:id="rId5"/>
    <sheet xmlns:r="http://schemas.openxmlformats.org/officeDocument/2006/relationships" name="财报日历" sheetId="6" state="visible" r:id="rId6"/>
    <sheet xmlns:r="http://schemas.openxmlformats.org/officeDocument/2006/relationships" name="每日记录" sheetId="7" state="visible" r:id="rId7"/>
    <sheet xmlns:r="http://schemas.openxmlformats.org/officeDocument/2006/relationships" name="周复盘" sheetId="8" state="visible" r:id="rId8"/>
    <sheet xmlns:r="http://schemas.openxmlformats.org/officeDocument/2006/relationships" name="例-交易记录" sheetId="9" state="visible" r:id="rId9"/>
    <sheet xmlns:r="http://schemas.openxmlformats.org/officeDocument/2006/relationships" name="例-成交明细" sheetId="10" state="visible" r:id="rId10"/>
    <sheet xmlns:r="http://schemas.openxmlformats.org/officeDocument/2006/relationships" name="例-期权" sheetId="11" state="visible" r:id="rId11"/>
    <sheet xmlns:r="http://schemas.openxmlformats.org/officeDocument/2006/relationships" name="例-财报日历" sheetId="12" state="visible" r:id="rId12"/>
    <sheet xmlns:r="http://schemas.openxmlformats.org/officeDocument/2006/relationships" name="例-每日记录" sheetId="13" state="visible" r:id="rId13"/>
    <sheet xmlns:r="http://schemas.openxmlformats.org/officeDocument/2006/relationships" name="例-周复盘" sheetId="14" state="visible" r:id="rId14"/>
  </sheets>
  <definedNames>
    <definedName name="_xlnm.Print_Area" localSheetId="0">'使用说明'!$A$1:$D$61</definedName>
    <definedName name="_xlnm.Print_Area" localSheetId="1">'参数'!$A$1:$K$35</definedName>
    <definedName name="_xlnm.Print_Titles" localSheetId="2">'交易记录'!$3:$4,'交易记录'!$A:$C</definedName>
    <definedName name="_xlnm.Print_Area" localSheetId="2">'交易记录'!$A$1:$AN$29</definedName>
    <definedName name="_xlnm.Print_Titles" localSheetId="3">'成交明细'!$3:$4</definedName>
    <definedName name="_xlnm.Print_Area" localSheetId="3">'成交明细'!$A$1:$O$29</definedName>
    <definedName name="_xlnm.Print_Titles" localSheetId="4">'期权'!$5:$6</definedName>
    <definedName name="_xlnm.Print_Area" localSheetId="4">'期权'!$A$1:$V$31</definedName>
    <definedName name="_xlnm.Print_Titles" localSheetId="5">'财报日历'!$5:$6</definedName>
    <definedName name="_xlnm.Print_Area" localSheetId="5">'财报日历'!$A$1:$H$37</definedName>
    <definedName name="_xlnm.Print_Titles" localSheetId="6">'每日记录'!$3:$4</definedName>
    <definedName name="_xlnm.Print_Area" localSheetId="6">'每日记录'!$A$1:$K$34</definedName>
    <definedName name="_xlnm.Print_Area" localSheetId="7">'周复盘'!$A$1:$J$80</definedName>
    <definedName name="_xlnm.Print_Titles" localSheetId="8">'例-交易记录'!$3:$4,'例-交易记录'!$A:$C</definedName>
    <definedName name="_xlnm.Print_Area" localSheetId="8">'例-交易记录'!$A$1:$AN$13</definedName>
    <definedName name="_xlnm.Print_Titles" localSheetId="9">'例-成交明细'!$3:$4</definedName>
    <definedName name="_xlnm.Print_Area" localSheetId="9">'例-成交明细'!$A$1:$O$16</definedName>
    <definedName name="_xlnm.Print_Titles" localSheetId="10">'例-期权'!$5:$6</definedName>
    <definedName name="_xlnm.Print_Area" localSheetId="10">'例-期权'!$A$1:$V$11</definedName>
    <definedName name="_xlnm.Print_Titles" localSheetId="11">'例-财报日历'!$5:$6</definedName>
    <definedName name="_xlnm.Print_Area" localSheetId="11">'例-财报日历'!$A$1:$H$10</definedName>
    <definedName name="_xlnm.Print_Titles" localSheetId="12">'例-每日记录'!$3:$4</definedName>
    <definedName name="_xlnm.Print_Area" localSheetId="12">'例-每日记录'!$A$1:$K$15</definedName>
    <definedName name="_xlnm.Print_Area" localSheetId="13">'例-周复盘'!$A$1:$J$98</definedName>
  </definedNames>
  <calcPr calcId="124519" fullCalcOnLoad="1"/>
</workbook>
</file>

<file path=xl/styles.xml><?xml version="1.0" encoding="utf-8"?>
<styleSheet xmlns="http://schemas.openxmlformats.org/spreadsheetml/2006/main">
  <numFmts count="14">
    <numFmt numFmtId="164" formatCode="0.0%"/>
    <numFmt numFmtId="165" formatCode="0.0"/>
    <numFmt numFmtId="166" formatCode="0.0000"/>
    <numFmt numFmtId="167" formatCode="0.000000%"/>
    <numFmt numFmtId="168" formatCode="0.000000"/>
    <numFmt numFmtId="169" formatCode="yyyy-mm-dd"/>
    <numFmt numFmtId="170" formatCode="0.00##"/>
    <numFmt numFmtId="171" formatCode="#,##0.####"/>
    <numFmt numFmtId="172" formatCode="0.00&quot;R&quot;"/>
    <numFmt numFmtId="173" formatCode="+#,##0.00;-#,##0.00;0.00"/>
    <numFmt numFmtId="174" formatCode="+0.00&quot;R&quot;;-0.00&quot;R&quot;;0.00&quot;R&quot;"/>
    <numFmt numFmtId="175" formatCode="+0.00##;-0.00##;0"/>
    <numFmt numFmtId="176" formatCode="hh:mm"/>
    <numFmt numFmtId="177" formatCode="+#,##0.00;-#,##0.00;0"/>
  </numFmts>
  <fonts count="16">
    <font>
      <name val="Calibri"/>
      <family val="2"/>
      <color theme="1"/>
      <sz val="11"/>
      <scheme val="minor"/>
    </font>
    <font>
      <name val="Microsoft YaHei"/>
      <b val="1"/>
      <color rgb="009D4616"/>
      <sz val="18"/>
    </font>
    <font>
      <name val="Microsoft YaHei"/>
      <color rgb="005E574D"/>
      <sz val="9"/>
    </font>
    <font>
      <name val="Microsoft YaHei"/>
      <b val="1"/>
      <color rgb="009D4616"/>
      <sz val="12"/>
    </font>
    <font>
      <name val="Microsoft YaHei"/>
      <color rgb="001F1B16"/>
      <sz val="10"/>
    </font>
    <font>
      <name val="Microsoft YaHei"/>
      <b val="1"/>
      <color rgb="00FFFFFF"/>
      <sz val="9"/>
    </font>
    <font>
      <name val="Microsoft YaHei"/>
      <b val="1"/>
      <color rgb="001F1B16"/>
      <sz val="10"/>
    </font>
    <font>
      <name val="Microsoft YaHei"/>
      <color rgb="005E574D"/>
      <sz val="10"/>
    </font>
    <font>
      <name val="Microsoft YaHei"/>
      <color rgb="000000FF"/>
      <sz val="10"/>
      <u val="single"/>
    </font>
    <font>
      <name val="Microsoft YaHei"/>
      <b val="1"/>
      <color rgb="009D4616"/>
      <sz val="15"/>
    </font>
    <font>
      <name val="Microsoft YaHei"/>
      <color rgb="005E574D"/>
      <sz val="8"/>
    </font>
    <font>
      <name val="Microsoft YaHei"/>
      <b val="1"/>
      <color rgb="009D4616"/>
      <sz val="11"/>
    </font>
    <font>
      <name val="Microsoft YaHei"/>
      <color rgb="000000FF"/>
      <sz val="10"/>
    </font>
    <font>
      <name val="Microsoft YaHei"/>
      <b val="1"/>
      <color rgb="007C350E"/>
      <sz val="9"/>
    </font>
    <font>
      <name val="Microsoft YaHei"/>
      <color rgb="00008000"/>
      <sz val="10"/>
    </font>
    <font>
      <name val="Microsoft YaHei"/>
      <b val="1"/>
      <color rgb="007C350E"/>
      <sz val="10"/>
    </font>
  </fonts>
  <fills count="6">
    <fill>
      <patternFill/>
    </fill>
    <fill>
      <patternFill patternType="gray125"/>
    </fill>
    <fill>
      <patternFill patternType="solid">
        <fgColor rgb="009D4616"/>
        <bgColor rgb="009D4616"/>
      </patternFill>
    </fill>
    <fill>
      <patternFill patternType="solid">
        <fgColor rgb="00F3EFE8"/>
        <bgColor rgb="00F3EFE8"/>
      </patternFill>
    </fill>
    <fill>
      <patternFill patternType="solid">
        <fgColor rgb="00EFE3D3"/>
        <bgColor rgb="00EFE3D3"/>
      </patternFill>
    </fill>
    <fill>
      <patternFill patternType="solid">
        <fgColor rgb="00FBE3D2"/>
        <bgColor rgb="00FBE3D2"/>
      </patternFill>
    </fill>
  </fills>
  <borders count="6">
    <border>
      <left/>
      <right/>
      <top/>
      <bottom/>
      <diagonal/>
    </border>
    <border>
      <bottom style="thin">
        <color rgb="009D4616"/>
      </bottom>
    </border>
    <border>
      <left style="thin">
        <color rgb="00D9CFBF"/>
      </left>
      <right style="thin">
        <color rgb="00D9CFBF"/>
      </right>
      <top style="thin">
        <color rgb="00D9CFBF"/>
      </top>
      <bottom style="thin">
        <color rgb="00D9CFBF"/>
      </bottom>
    </border>
    <border>
      <left/>
      <right/>
      <top style="thin">
        <color rgb="00D9CFBF"/>
      </top>
      <bottom/>
      <diagonal/>
    </border>
    <border>
      <left/>
      <right style="thin">
        <color rgb="00D9CFBF"/>
      </right>
      <top style="thin">
        <color rgb="00D9CFBF"/>
      </top>
      <bottom/>
      <diagonal/>
    </border>
    <border>
      <left/>
      <right style="thin">
        <color rgb="00D9CFBF"/>
      </right>
      <top style="thin">
        <color rgb="00D9CFBF"/>
      </top>
      <bottom style="thin">
        <color rgb="00D9CFBF"/>
      </bottom>
      <diagonal/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bottom"/>
    </xf>
    <xf numFmtId="0" fontId="0" fillId="0" borderId="1" pivotButton="0" quotePrefix="0" xfId="0"/>
    <xf numFmtId="0" fontId="4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 wrapText="1"/>
    </xf>
    <xf numFmtId="3" fontId="12" fillId="0" borderId="2" applyAlignment="1" pivotButton="0" quotePrefix="0" xfId="0">
      <alignment horizontal="center" vertical="center"/>
    </xf>
    <xf numFmtId="164" fontId="12" fillId="0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4" fontId="4" fillId="3" borderId="2" applyAlignment="1" pivotButton="0" quotePrefix="0" xfId="0">
      <alignment horizontal="center" vertical="center"/>
    </xf>
    <xf numFmtId="165" fontId="12" fillId="0" borderId="2" applyAlignment="1" pivotButton="0" quotePrefix="0" xfId="0">
      <alignment horizontal="center" vertical="center"/>
    </xf>
    <xf numFmtId="166" fontId="12" fillId="0" borderId="2" applyAlignment="1" pivotButton="0" quotePrefix="0" xfId="0">
      <alignment horizontal="center" vertical="center"/>
    </xf>
    <xf numFmtId="4" fontId="12" fillId="0" borderId="2" applyAlignment="1" pivotButton="0" quotePrefix="0" xfId="0">
      <alignment horizontal="center" vertical="center"/>
    </xf>
    <xf numFmtId="167" fontId="12" fillId="0" borderId="2" applyAlignment="1" pivotButton="0" quotePrefix="0" xfId="0">
      <alignment horizontal="center" vertical="center"/>
    </xf>
    <xf numFmtId="168" fontId="12" fillId="0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/>
    </xf>
    <xf numFmtId="0" fontId="13" fillId="4" borderId="2" applyAlignment="1" pivotButton="0" quotePrefix="0" xfId="0">
      <alignment horizontal="center" vertical="center"/>
    </xf>
    <xf numFmtId="1" fontId="12" fillId="0" borderId="2" applyAlignment="1" pivotButton="0" quotePrefix="0" xfId="0">
      <alignment horizontal="center" vertical="center"/>
    </xf>
    <xf numFmtId="169" fontId="12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left" vertical="center" wrapText="1"/>
    </xf>
    <xf numFmtId="0" fontId="12" fillId="0" borderId="2" applyAlignment="1" pivotButton="0" quotePrefix="0" xfId="0">
      <alignment horizontal="center" vertical="center"/>
    </xf>
    <xf numFmtId="170" fontId="12" fillId="0" borderId="2" applyAlignment="1" pivotButton="0" quotePrefix="0" xfId="0">
      <alignment horizontal="center" vertical="center"/>
    </xf>
    <xf numFmtId="165" fontId="4" fillId="3" borderId="2" applyAlignment="1" pivotButton="0" quotePrefix="0" xfId="0">
      <alignment horizontal="center" vertical="center"/>
    </xf>
    <xf numFmtId="171" fontId="14" fillId="3" borderId="2" applyAlignment="1" pivotButton="0" quotePrefix="0" xfId="0">
      <alignment horizontal="center" vertical="center"/>
    </xf>
    <xf numFmtId="171" fontId="12" fillId="0" borderId="2" applyAlignment="1" pivotButton="0" quotePrefix="0" xfId="0">
      <alignment horizontal="center" vertical="center"/>
    </xf>
    <xf numFmtId="172" fontId="4" fillId="3" borderId="2" applyAlignment="1" pivotButton="0" quotePrefix="0" xfId="0">
      <alignment horizontal="center" vertical="center"/>
    </xf>
    <xf numFmtId="10" fontId="12" fillId="0" borderId="2" applyAlignment="1" pivotButton="0" quotePrefix="0" xfId="0">
      <alignment horizontal="center" vertical="center"/>
    </xf>
    <xf numFmtId="169" fontId="14" fillId="3" borderId="2" applyAlignment="1" pivotButton="0" quotePrefix="0" xfId="0">
      <alignment horizontal="center" vertical="center"/>
    </xf>
    <xf numFmtId="170" fontId="1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1" fontId="4" fillId="3" borderId="2" applyAlignment="1" pivotButton="0" quotePrefix="0" xfId="0">
      <alignment horizontal="center" vertical="center"/>
    </xf>
    <xf numFmtId="4" fontId="14" fillId="3" borderId="2" applyAlignment="1" pivotButton="0" quotePrefix="0" xfId="0">
      <alignment horizontal="center" vertical="center"/>
    </xf>
    <xf numFmtId="173" fontId="14" fillId="3" borderId="2" applyAlignment="1" pivotButton="0" quotePrefix="0" xfId="0">
      <alignment horizontal="center" vertical="center"/>
    </xf>
    <xf numFmtId="174" fontId="4" fillId="3" borderId="2" applyAlignment="1" pivotButton="0" quotePrefix="0" xfId="0">
      <alignment horizontal="center" vertical="center"/>
    </xf>
    <xf numFmtId="175" fontId="4" fillId="3" borderId="2" applyAlignment="1" pivotButton="0" quotePrefix="0" xfId="0">
      <alignment horizontal="center" vertical="center"/>
    </xf>
    <xf numFmtId="176" fontId="12" fillId="0" borderId="2" applyAlignment="1" pivotButton="0" quotePrefix="0" xfId="0">
      <alignment horizontal="center" vertical="center"/>
    </xf>
    <xf numFmtId="177" fontId="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 wrapText="1"/>
    </xf>
    <xf numFmtId="169" fontId="4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right" vertical="center"/>
    </xf>
    <xf numFmtId="173" fontId="4" fillId="3" borderId="2" applyAlignment="1" pivotButton="0" quotePrefix="0" xfId="0">
      <alignment horizontal="center" vertical="center"/>
    </xf>
    <xf numFmtId="2" fontId="12" fillId="0" borderId="2" applyAlignment="1" pivotButton="0" quotePrefix="0" xfId="0">
      <alignment horizontal="center" vertical="center"/>
    </xf>
    <xf numFmtId="1" fontId="14" fillId="3" borderId="2" applyAlignment="1" pivotButton="0" quotePrefix="0" xfId="0">
      <alignment horizontal="center" vertical="center"/>
    </xf>
    <xf numFmtId="174" fontId="14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left" vertical="center" shrinkToFit="1"/>
    </xf>
    <xf numFmtId="3" fontId="14" fillId="3" borderId="2" applyAlignment="1" pivotButton="0" quotePrefix="0" xfId="0">
      <alignment horizontal="center" vertical="center"/>
    </xf>
    <xf numFmtId="164" fontId="14" fillId="3" borderId="2" applyAlignment="1" pivotButton="0" quotePrefix="0" xfId="0">
      <alignment horizontal="center" vertical="center"/>
    </xf>
    <xf numFmtId="172" fontId="1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left" vertical="center"/>
    </xf>
    <xf numFmtId="0" fontId="15" fillId="5" borderId="0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color rgb="001E8449"/>
      </font>
    </dxf>
    <dxf>
      <font>
        <color rgb="00C0392B"/>
      </font>
    </dxf>
    <dxf>
      <fill>
        <patternFill patternType="solid">
          <fgColor rgb="00FCE9C8"/>
          <bgColor rgb="00FCE9C8"/>
        </patternFill>
      </fill>
    </dxf>
    <dxf>
      <fill>
        <patternFill patternType="solid">
          <fgColor rgb="00F6C7BE"/>
          <bgColor rgb="00F6C7BE"/>
        </patternFill>
      </fill>
    </dxf>
    <dxf>
      <fill>
        <patternFill patternType="solid">
          <fgColor rgb="00FFF4D6"/>
          <bgColor rgb="00FFF4D6"/>
        </patternFill>
      </fill>
    </dxf>
    <dxf>
      <fill>
        <patternFill patternType="solid">
          <fgColor rgb="00FFE08A"/>
          <bgColor rgb="00FFE08A"/>
        </patternFill>
      </fill>
    </dxf>
    <dxf>
      <font>
        <b val="1"/>
        <color rgb="00C0392B"/>
      </font>
      <fill>
        <patternFill patternType="solid">
          <fgColor rgb="00F6C7BE"/>
          <bgColor rgb="00F6C7B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累计净R（按交易记录顺序）</a:t>
            </a:r>
          </a:p>
        </rich>
      </tx>
    </title>
    <plotArea>
      <lineChart>
        <grouping val="standard"/>
        <ser>
          <idx val="0"/>
          <order val="0"/>
          <tx>
            <strRef>
              <f>'例-交易记录'!AM4</f>
            </strRef>
          </tx>
          <spPr>
            <a:ln xmlns:a="http://schemas.openxmlformats.org/drawingml/2006/main" w="28575">
              <a:solidFill>
                <a:srgbClr val="9D461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9D4616"/>
              </a:solidFill>
              <a:ln xmlns:a="http://schemas.openxmlformats.org/drawingml/2006/main">
                <a:solidFill>
                  <a:srgbClr val="9D4616"/>
                </a:solidFill>
                <a:prstDash val="solid"/>
              </a:ln>
            </spPr>
          </marker>
          <cat>
            <numRef>
              <f>'例-交易记录'!$A$5:$A$12</f>
            </numRef>
          </cat>
          <val>
            <numRef>
              <f>'例-交易记录'!$AM$5:$AM$12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交易编号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81</row>
      <rowOff>0</rowOff>
    </from>
    <ext cx="64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de1469.com/docs/us-stock/?src=tpl-us" TargetMode="External" Id="rId1"/><Relationship Type="http://schemas.openxmlformats.org/officeDocument/2006/relationships/hyperlink" Target="https://trade1469.com/docs/us-options/?src=tpl-us" TargetMode="External" Id="rId2"/><Relationship Type="http://schemas.openxmlformats.org/officeDocument/2006/relationships/hyperlink" Target="https://trade1469.com/docs/risk/?src=tpl-us" TargetMode="External" Id="rId3"/><Relationship Type="http://schemas.openxmlformats.org/officeDocument/2006/relationships/hyperlink" Target="https://trade1469.com/docs/review/?src=tpl-us" TargetMode="External" Id="rId4"/><Relationship Type="http://schemas.openxmlformats.org/officeDocument/2006/relationships/hyperlink" Target="https://trade1469.com/glossary/us-gap.html?src=tpl-us" TargetMode="External" Id="rId5"/><Relationship Type="http://schemas.openxmlformats.org/officeDocument/2006/relationships/hyperlink" Target="https://trade1469.com/trader/chapter14.html?src=tpl-us" TargetMode="External" Id="rId6"/><Relationship Type="http://schemas.openxmlformats.org/officeDocument/2006/relationships/hyperlink" Target="https://trade1469.com/templates/us-stock-journal/?src=tpl-us" TargetMode="External" Id="rId7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B1:D6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34" customWidth="1" min="3" max="3"/>
    <col width="52" customWidth="1" min="4" max="4"/>
  </cols>
  <sheetData>
    <row r="1" ht="34" customHeight="1">
      <c r="B1" s="1" t="inlineStr">
        <is>
          <t>美股交易日志</t>
        </is>
      </c>
    </row>
    <row r="2">
      <c r="B2" s="2" t="inlineStr">
        <is>
          <t>TradeLearn · XtradingTime 交易内训 · v1.0 · 美股个股、ETF，可选期权 · 免费使用</t>
        </is>
      </c>
    </row>
    <row r="4" ht="24" customHeight="1">
      <c r="B4" s="3" t="inlineStr">
        <is>
          <t>这份表管什么</t>
        </is>
      </c>
      <c r="C4" s="4" t="n"/>
      <c r="D4" s="4" t="n"/>
    </row>
    <row r="5" ht="32" customHeight="1">
      <c r="B5" s="5" t="inlineStr">
        <is>
          <t>美股个股和 ETF 的交易日志，期权单独一页。美股没有涨跌停，财报一出常常跳空；盘前盘后成交稀；做空要付借券费；日内交易规则 2026 年改过。这些都放进了每一笔的记录里。</t>
        </is>
      </c>
    </row>
    <row r="6" ht="18" customHeight="1">
      <c r="B6" s="5" t="inlineStr">
        <is>
          <t>成绩一律按 R 记，费用（佣金、卖出时的监管费、借券费）全扣掉，算的是费后结果。</t>
        </is>
      </c>
    </row>
    <row r="7" ht="24" customHeight="1">
      <c r="B7" s="3" t="inlineStr">
        <is>
          <t>每张表干什么</t>
        </is>
      </c>
      <c r="C7" s="4" t="n"/>
      <c r="D7" s="4" t="n"/>
    </row>
    <row r="8" ht="18" customHeight="1">
      <c r="B8" s="6" t="inlineStr">
        <is>
          <t>表</t>
        </is>
      </c>
      <c r="C8" s="6" t="inlineStr">
        <is>
          <t>什么时候填</t>
        </is>
      </c>
      <c r="D8" s="6" t="inlineStr">
        <is>
          <t>填什么</t>
        </is>
      </c>
    </row>
    <row r="9" ht="32" customHeight="1">
      <c r="B9" s="7" t="inlineStr">
        <is>
          <t>参数</t>
        </is>
      </c>
      <c r="C9" s="8" t="inlineStr">
        <is>
          <t>第一次用之前</t>
        </is>
      </c>
      <c r="D9" s="8" t="inlineStr">
        <is>
          <t>账户资金（美元）、每笔最多亏多少、佣金怎么收、财报跳空情景、期权每张佣金</t>
        </is>
      </c>
    </row>
    <row r="10" ht="32" customHeight="1">
      <c r="B10" s="7" t="inlineStr">
        <is>
          <t>交易记录</t>
        </is>
      </c>
      <c r="C10" s="8" t="inlineStr">
        <is>
          <t>下单前写计划，平仓后打分</t>
        </is>
      </c>
      <c r="D10" s="8" t="inlineStr">
        <is>
          <t>一行一个计划；有财报的填财报日，做空的填借券费率；成交后自动汇总</t>
        </is>
      </c>
    </row>
    <row r="11" ht="32" customHeight="1">
      <c r="B11" s="7" t="inlineStr">
        <is>
          <t>成交明细</t>
        </is>
      </c>
      <c r="C11" s="8" t="inlineStr">
        <is>
          <t>每成交一笔</t>
        </is>
      </c>
      <c r="D11" s="8" t="inlineStr">
        <is>
          <t>照成交单抄：编号、日期、时间、买卖、价格、股数、下单时看到的价</t>
        </is>
      </c>
    </row>
    <row r="12" ht="32" customHeight="1">
      <c r="B12" s="7" t="inlineStr">
        <is>
          <t>期权</t>
        </is>
      </c>
      <c r="C12" s="8" t="inlineStr">
        <is>
          <t>做期权才填</t>
        </is>
      </c>
      <c r="D12" s="8" t="inlineStr">
        <is>
          <t>一张合约一行：标的、看涨看跌、买方卖方、行权价、到期日、张数、权利金、隐含波动率</t>
        </is>
      </c>
    </row>
    <row r="13" ht="18" customHeight="1">
      <c r="B13" s="7" t="inlineStr">
        <is>
          <t>财报日历</t>
        </is>
      </c>
      <c r="C13" s="8" t="inlineStr">
        <is>
          <t>每周看一次</t>
        </is>
      </c>
      <c r="D13" s="8" t="inlineStr">
        <is>
          <t>持仓和观察名单的财报日期、距今天数、打算怎么处理</t>
        </is>
      </c>
    </row>
    <row r="14" ht="18" customHeight="1">
      <c r="B14" s="7" t="inlineStr">
        <is>
          <t>每日记录</t>
        </is>
      </c>
      <c r="C14" s="8" t="inlineStr">
        <is>
          <t>每天收盘后</t>
        </is>
      </c>
      <c r="D14" s="8" t="inlineStr">
        <is>
          <t>今天做了什么、没做的原因、明天的条件</t>
        </is>
      </c>
    </row>
    <row r="15" ht="18" customHeight="1">
      <c r="B15" s="7" t="inlineStr">
        <is>
          <t>周复盘</t>
        </is>
      </c>
      <c r="C15" s="8" t="inlineStr">
        <is>
          <t>每周末</t>
        </is>
      </c>
      <c r="D15" s="8" t="inlineStr">
        <is>
          <t>执行、成绩、按策略和开仓时段分组，写下周只改的一处</t>
        </is>
      </c>
    </row>
    <row r="16" ht="18" customHeight="1">
      <c r="B16" s="7" t="inlineStr">
        <is>
          <t>示例开头的表</t>
        </is>
      </c>
      <c r="C16" s="8" t="inlineStr">
        <is>
          <t>先看一遍</t>
        </is>
      </c>
      <c r="D16" s="8" t="inlineStr">
        <is>
          <t>虚构的两周示例，可以直接删掉</t>
        </is>
      </c>
    </row>
    <row r="17" ht="24" customHeight="1">
      <c r="B17" s="3" t="inlineStr">
        <is>
          <t>四步用起来</t>
        </is>
      </c>
      <c r="C17" s="4" t="n"/>
      <c r="D17" s="4" t="n"/>
    </row>
    <row r="18" ht="18" customHeight="1">
      <c r="B18" s="9" t="inlineStr">
        <is>
          <t>1. 先改参数</t>
        </is>
      </c>
      <c r="C18" s="5" t="inlineStr">
        <is>
          <t>账户资金、每笔最多亏多少、你的佣金怎么收。卖出时的监管费参数默认留空，以券商账单为准。</t>
        </is>
      </c>
    </row>
    <row r="19" ht="18" customHeight="1">
      <c r="B19" s="9" t="inlineStr">
        <is>
          <t>2. 下单前</t>
        </is>
      </c>
      <c r="C19" s="5" t="inlineStr">
        <is>
          <t>写好计划；持仓期间有财报的，把财报日填上，看「财报跳空情景亏」是不是你扛得住的 R 数。</t>
        </is>
      </c>
    </row>
    <row r="20" ht="18" customHeight="1">
      <c r="B20" s="9" t="inlineStr">
        <is>
          <t>3. 成交后</t>
        </is>
      </c>
      <c r="C20" s="5" t="inlineStr">
        <is>
          <t>去「成交明细」逐笔记，用同一个编号。开仓时段（盘前、常规、盘后）在交易记录里选。</t>
        </is>
      </c>
    </row>
    <row r="21" ht="18" customHeight="1">
      <c r="B21" s="9" t="inlineStr">
        <is>
          <t>4. 每周</t>
        </is>
      </c>
      <c r="C21" s="5" t="inlineStr">
        <is>
          <t>看「财报日历」里两周内的财报，周末在「周复盘」看执行和成绩。</t>
        </is>
      </c>
    </row>
    <row r="22" ht="24" customHeight="1">
      <c r="B22" s="3" t="inlineStr">
        <is>
          <t>颜色怎么认</t>
        </is>
      </c>
      <c r="C22" s="4" t="n"/>
      <c r="D22" s="4" t="n"/>
    </row>
    <row r="23" ht="32" customHeight="1">
      <c r="B23" s="5" t="inlineStr">
        <is>
          <t>蓝字是你填的；灰底黑字是公式；灰底绿字是从别的表引用过来的。绿字是赚、红字是亏。黄底是提醒：持仓跨财报、日内交易次数多、期权离到期 7 天以内、两周内有财报。红底是要先改的错。</t>
        </is>
      </c>
    </row>
    <row r="24" ht="24" customHeight="1">
      <c r="B24" s="3" t="inlineStr">
        <is>
          <t>几个口径</t>
        </is>
      </c>
      <c r="C24" s="4" t="n"/>
      <c r="D24" s="4" t="n"/>
    </row>
    <row r="25" ht="32" customHeight="1">
      <c r="B25" s="9" t="inlineStr">
        <is>
          <t>1R</t>
        </is>
      </c>
      <c r="C25" s="5" t="inlineStr">
        <is>
          <t>1R = |计划入场价 − 止损价| × 计划数量。下单前定，平仓后不改；跳空、滑点亏多了，也不改分母。</t>
        </is>
      </c>
    </row>
    <row r="26" ht="32" customHeight="1">
      <c r="B26" s="9" t="inlineStr">
        <is>
          <t>净R 与毛R</t>
        </is>
      </c>
      <c r="C26" s="5" t="inlineStr">
        <is>
          <t>净R =（卖出金额 − 买入金额 − 全部费用）÷ 1R；毛R 不扣费用。两个差多少，就是费用吃掉了几个 R。做空同一个式子：先卖后买，照样是卖出金额减买入金额。</t>
        </is>
      </c>
    </row>
    <row r="27" ht="32" customHeight="1">
      <c r="B27" s="9" t="inlineStr">
        <is>
          <t>建议数量</t>
        </is>
      </c>
      <c r="C27" s="5" t="inlineStr">
        <is>
          <t>按止损算：1R 预算 ÷（每单位打到止损亏多少 + 每单位来回费用），向下取到最小单位。算出 0 就显示「预算不足，这笔不做」，别往上凑整。</t>
        </is>
      </c>
    </row>
    <row r="28" ht="32" customHeight="1">
      <c r="B28" s="9" t="inlineStr">
        <is>
          <t>执行情况</t>
        </is>
      </c>
      <c r="C28" s="5" t="inlineStr">
        <is>
          <t>已执行、未成交、主动放弃、漏单四种。只有已平仓的进胜率；没平仓的显示「持仓中」，不进统计。</t>
        </is>
      </c>
    </row>
    <row r="29" ht="32" customHeight="1">
      <c r="B29" s="9" t="inlineStr">
        <is>
          <t>过程打分</t>
        </is>
      </c>
      <c r="C29" s="5" t="inlineStr">
        <is>
          <t>A 完全照计划，B 小偏差，C 违反一条规则，D 没计划就下单。只看执行，和赚亏无关；C、D 档却赚了的标黄，周复盘单独数。</t>
        </is>
      </c>
    </row>
    <row r="30" ht="32" customHeight="1">
      <c r="B30" s="9" t="inlineStr">
        <is>
          <t>偏差</t>
        </is>
      </c>
      <c r="C30" s="5" t="inlineStr">
        <is>
          <t>进场偏差 = 实际开仓均价比计划价差多少，对你不利为正，超过计划价 1% 标黄。出场偏差：亏的单比止损差多少，赚的单比目标差多少，同样不利为正。</t>
        </is>
      </c>
    </row>
    <row r="31" ht="18" customHeight="1">
      <c r="B31" s="9" t="inlineStr">
        <is>
          <t>累计净R</t>
        </is>
      </c>
      <c r="C31" s="5" t="inlineStr">
        <is>
          <t>按交易记录一行行往下加，不是严格按平仓先后。想看平仓顺序的曲线，用复盘看板那份表。</t>
        </is>
      </c>
    </row>
    <row r="32" ht="32" customHeight="1">
      <c r="B32" s="9" t="inlineStr">
        <is>
          <t>财报跳空情景</t>
        </is>
      </c>
      <c r="C32" s="5" t="inlineStr">
        <is>
          <t>假设财报后直接开在止损外参数页写的那么远（默认 10%），这一笔会亏几个 R。超过 2R 的，财报前减仓或按这个情景重算股数。</t>
        </is>
      </c>
    </row>
    <row r="33" ht="32" customHeight="1">
      <c r="B33" s="9" t="inlineStr">
        <is>
          <t>借券费</t>
        </is>
      </c>
      <c r="C33" s="5" t="inlineStr">
        <is>
          <t>做空才有：借券年化费率 × 持有天数 ÷ 360 × 开仓金额，平仓后自动算，计入费用。费率以券商显示为准，热门做空的票会很高。</t>
        </is>
      </c>
    </row>
    <row r="34" ht="32" customHeight="1">
      <c r="B34" s="9" t="inlineStr">
        <is>
          <t>日内交易</t>
        </is>
      </c>
      <c r="C34" s="5" t="inlineStr">
        <is>
          <t>同一天开平的标「日内」，另算滚动 5 个交易日的次数。2026 年起规则改成按日内保证金算，券商可以过渡到 2027-10-20；你的券商还用旧规则时，拿这一列对照。以券商当前规则为准。</t>
        </is>
      </c>
    </row>
    <row r="35" ht="32" customHeight="1">
      <c r="B35" s="9" t="inlineStr">
        <is>
          <t>期权</t>
        </is>
      </c>
      <c r="C35" s="5" t="inlineStr">
        <is>
          <t>净盈亏 =（卖出价 − 买入价）× 100 × 张数 − 费用。买方 1R 默认是付出去的权利金加开仓费；卖方风险可能远大于收到的钱，必须自己写「计划最多亏」。</t>
        </is>
      </c>
    </row>
    <row r="36" ht="24" customHeight="1">
      <c r="B36" s="3" t="inlineStr">
        <is>
          <t>常见问题</t>
        </is>
      </c>
      <c r="C36" s="4" t="n"/>
      <c r="D36" s="4" t="n"/>
    </row>
    <row r="37" ht="18" customHeight="1">
      <c r="B37" s="9" t="inlineStr">
        <is>
          <t>问：没交易的日子也要写吗？</t>
        </is>
      </c>
    </row>
    <row r="38" ht="35" customHeight="1">
      <c r="B38" s="10" t="inlineStr">
        <is>
          <t>答：要。在「每日记录」写一行，「今天做了什么」选「按计划空仓」或「没等到条件」，再写明天的条件。空仓是按计划做出来的，也算执行。</t>
        </is>
      </c>
    </row>
    <row r="39" ht="18" customHeight="1">
      <c r="B39" s="9" t="inlineStr">
        <is>
          <t>问：没成交的单要记吗？</t>
        </is>
      </c>
    </row>
    <row r="40" ht="35" customHeight="1">
      <c r="B40" s="10" t="inlineStr">
        <is>
          <t>答：要。挂了没成交选「未成交」，看到了但按规则不做选「主动放弃」，该做没做选「漏单」。它们不进胜率，周复盘会单独数；漏单多，先修提醒和流程。</t>
        </is>
      </c>
    </row>
    <row r="41" ht="18" customHeight="1">
      <c r="B41" s="9" t="inlineStr">
        <is>
          <t>问：分批进出场怎么记？</t>
        </is>
      </c>
    </row>
    <row r="42" ht="35" customHeight="1">
      <c r="B42" s="10" t="inlineStr">
        <is>
          <t>答：「交易记录」一行写一个计划，「成交明细」每成交一笔记一行，编号相同。开仓均价、平仓均价、费用、开平仓日都自动汇总；只平了一部分显示「持仓中」。</t>
        </is>
      </c>
    </row>
    <row r="43" ht="18" customHeight="1">
      <c r="B43" s="9" t="inlineStr">
        <is>
          <t>问：胜率不低，为什么还亏钱？</t>
        </is>
      </c>
    </row>
    <row r="44" ht="21" customHeight="1">
      <c r="B44" s="10" t="inlineStr">
        <is>
          <t>答：看「周复盘」里的平均盈利 R、平均亏损 R 和每笔平均净R。赢的时候赚得少、亏的时候亏得多，胜率再高也会亏。</t>
        </is>
      </c>
    </row>
    <row r="45" ht="18" customHeight="1">
      <c r="B45" s="9" t="inlineStr">
        <is>
          <t>问：照计划做却亏了，算好交易吗？</t>
        </is>
      </c>
    </row>
    <row r="46" ht="35" customHeight="1">
      <c r="B46" s="10" t="inlineStr">
        <is>
          <t>答：算。过程打分只看有没有照计划。违规赚的钱要单独标出来，周复盘里有一行「赚了钱的坏交易」，它最容易让你下次接着违规。</t>
        </is>
      </c>
    </row>
    <row r="47" ht="18" customHeight="1">
      <c r="B47" s="9" t="inlineStr">
        <is>
          <t>问：多少笔才能下结论？</t>
        </is>
      </c>
    </row>
    <row r="48" ht="35" customHeight="1">
      <c r="B48" s="10" t="inlineStr">
        <is>
          <t>答：20 笔够看出执行上的大问题，比如止损常被违反。判断一个方法本身有没有用，至少 50 到 100 笔。分组少于 10 笔，只看不下结论。</t>
        </is>
      </c>
    </row>
    <row r="49" ht="18" customHeight="1">
      <c r="B49" s="9" t="inlineStr">
        <is>
          <t>问：盘前盘后的单要分开看吗？</t>
        </is>
      </c>
    </row>
    <row r="50" ht="35" customHeight="1">
      <c r="B50" s="10" t="inlineStr">
        <is>
          <t>答：要。交易记录里选开仓时段，周复盘按时段分组。盘前盘后成交稀、价差大，滑点常比常规时段大，看看是不是这部分单子拖了成绩。</t>
        </is>
      </c>
    </row>
    <row r="51" ht="24" customHeight="1">
      <c r="B51" s="3" t="inlineStr">
        <is>
          <t>接着学（免费）</t>
        </is>
      </c>
      <c r="C51" s="4" t="n"/>
      <c r="D51" s="4" t="n"/>
    </row>
    <row r="52" ht="18" customHeight="1">
      <c r="B52" s="5" t="inlineStr">
        <is>
          <t>美股学习路线：账户、交易时段、财报日和跳空</t>
        </is>
      </c>
      <c r="D52" s="11" t="inlineStr">
        <is>
          <t>trade1469.com/docs/us-stock/</t>
        </is>
      </c>
    </row>
    <row r="53" ht="18" customHeight="1">
      <c r="B53" s="5" t="inlineStr">
        <is>
          <t>美股期权学习路线：买方和卖方各自的风险</t>
        </is>
      </c>
      <c r="D53" s="11" t="inlineStr">
        <is>
          <t>trade1469.com/docs/us-options/</t>
        </is>
      </c>
    </row>
    <row r="54" ht="18" customHeight="1">
      <c r="B54" s="5" t="inlineStr">
        <is>
          <t>风控与仓位：每笔该亏多少、该下多少</t>
        </is>
      </c>
      <c r="D54" s="11" t="inlineStr">
        <is>
          <t>trade1469.com/docs/risk/</t>
        </is>
      </c>
    </row>
    <row r="55" ht="18" customHeight="1">
      <c r="B55" s="5" t="inlineStr">
        <is>
          <t>复盘与交易日志：怎么记、记什么、怎么改下一笔</t>
        </is>
      </c>
      <c r="D55" s="11" t="inlineStr">
        <is>
          <t>trade1469.com/docs/review/</t>
        </is>
      </c>
    </row>
    <row r="56" ht="18" customHeight="1">
      <c r="B56" s="5" t="inlineStr">
        <is>
          <t>词条：美股跳空</t>
        </is>
      </c>
      <c r="D56" s="11" t="inlineStr">
        <is>
          <t>trade1469.com/glossary/us-gap.html</t>
        </is>
      </c>
    </row>
    <row r="57" ht="32" customHeight="1">
      <c r="B57" s="5" t="inlineStr">
        <is>
          <t>想系统练不同市场的规则与模型适配：交易员训练手册第 14 章（付费，有免费试看节）</t>
        </is>
      </c>
      <c r="D57" s="11" t="inlineStr">
        <is>
          <t>trade1469.com/trader/chapter14.html</t>
        </is>
      </c>
    </row>
    <row r="58" ht="24" customHeight="1">
      <c r="B58" s="3" t="inlineStr">
        <is>
          <t>说明</t>
        </is>
      </c>
      <c r="C58" s="4" t="n"/>
      <c r="D58" s="4" t="n"/>
    </row>
    <row r="59" ht="32" customHeight="1">
      <c r="B59" s="5" t="inlineStr">
        <is>
          <t>本表只用于记录和练习，不构成投资建议，不荐股。示例页的股票、日期、价格和成交全部虚构，只演示填法。佣金和监管费以券商账单为准。</t>
        </is>
      </c>
    </row>
    <row r="61">
      <c r="B61" s="12" t="inlineStr">
        <is>
          <t>TradeLearn · XtradingTime 交易内训 · v1.0</t>
        </is>
      </c>
      <c r="D61" s="11" t="inlineStr">
        <is>
          <t>更新版与使用教程：trade1469.com/templates/us-stock-journal/</t>
        </is>
      </c>
    </row>
  </sheetData>
  <mergeCells count="49">
    <mergeCell ref="C34:D34"/>
    <mergeCell ref="B42:D42"/>
    <mergeCell ref="B54:C54"/>
    <mergeCell ref="C30:D30"/>
    <mergeCell ref="B23:D23"/>
    <mergeCell ref="C33:D33"/>
    <mergeCell ref="B1:D1"/>
    <mergeCell ref="B48:D48"/>
    <mergeCell ref="B17:D17"/>
    <mergeCell ref="B44:D44"/>
    <mergeCell ref="B56:C56"/>
    <mergeCell ref="C26:D26"/>
    <mergeCell ref="B38:D38"/>
    <mergeCell ref="C35:D35"/>
    <mergeCell ref="C20:D20"/>
    <mergeCell ref="B52:C52"/>
    <mergeCell ref="C29:D29"/>
    <mergeCell ref="B37:D37"/>
    <mergeCell ref="C25:D25"/>
    <mergeCell ref="B49:D49"/>
    <mergeCell ref="B40:D40"/>
    <mergeCell ref="C31:D31"/>
    <mergeCell ref="B57:C57"/>
    <mergeCell ref="B6:D6"/>
    <mergeCell ref="B24:D24"/>
    <mergeCell ref="B51:D51"/>
    <mergeCell ref="B53:C53"/>
    <mergeCell ref="B5:D5"/>
    <mergeCell ref="B36:D36"/>
    <mergeCell ref="C21:D21"/>
    <mergeCell ref="B43:D43"/>
    <mergeCell ref="B45:D45"/>
    <mergeCell ref="B41:D41"/>
    <mergeCell ref="C27:D27"/>
    <mergeCell ref="B4:D4"/>
    <mergeCell ref="B50:D50"/>
    <mergeCell ref="B7:D7"/>
    <mergeCell ref="B47:D47"/>
    <mergeCell ref="B55:C55"/>
    <mergeCell ref="B59:D59"/>
    <mergeCell ref="C32:D32"/>
    <mergeCell ref="B46:D46"/>
    <mergeCell ref="B22:D22"/>
    <mergeCell ref="C19:D19"/>
    <mergeCell ref="B58:D58"/>
    <mergeCell ref="C28:D28"/>
    <mergeCell ref="C18:D18"/>
    <mergeCell ref="B39:D39"/>
    <mergeCell ref="B2:D2"/>
  </mergeCells>
  <hyperlinks>
    <hyperlink xmlns:r="http://schemas.openxmlformats.org/officeDocument/2006/relationships" ref="D52" r:id="rId1"/>
    <hyperlink xmlns:r="http://schemas.openxmlformats.org/officeDocument/2006/relationships" ref="D53" r:id="rId2"/>
    <hyperlink xmlns:r="http://schemas.openxmlformats.org/officeDocument/2006/relationships" ref="D54" r:id="rId3"/>
    <hyperlink xmlns:r="http://schemas.openxmlformats.org/officeDocument/2006/relationships" ref="D55" r:id="rId4"/>
    <hyperlink xmlns:r="http://schemas.openxmlformats.org/officeDocument/2006/relationships" ref="D56" r:id="rId5"/>
    <hyperlink xmlns:r="http://schemas.openxmlformats.org/officeDocument/2006/relationships" ref="D57" r:id="rId6"/>
    <hyperlink xmlns:r="http://schemas.openxmlformats.org/officeDocument/2006/relationships" ref="D61" r:id="rId7"/>
  </hyperlink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</worksheet>
</file>

<file path=xl/worksheets/sheet2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A1:K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2" customWidth="1" min="2" max="2"/>
    <col width="13" customWidth="1" min="3" max="3"/>
    <col width="17" customWidth="1" min="4" max="4"/>
    <col width="10" customWidth="1" min="5" max="5"/>
    <col width="13" customWidth="1" min="6" max="6"/>
    <col width="10" customWidth="1" min="7" max="7"/>
    <col width="16" customWidth="1" min="8" max="8"/>
    <col width="10" customWidth="1" min="9" max="9"/>
    <col width="16" customWidth="1" min="10" max="10"/>
    <col width="10" customWidth="1" min="11" max="11"/>
  </cols>
  <sheetData>
    <row r="1" ht="30" customHeight="1">
      <c r="A1" s="13" t="inlineStr">
        <is>
          <t>参数：先把这一页改成你自己的</t>
        </is>
      </c>
      <c r="I1" s="14" t="inlineStr">
        <is>
          <t>TradeLearn · XtradingTime 交易内训</t>
        </is>
      </c>
    </row>
    <row r="2" ht="20" customHeight="1">
      <c r="A2" s="2" t="inlineStr">
        <is>
          <t>蓝字可以改。费率都是示例，用之前按你的成交单核对一遍；改这里一处，整份表跟着变。</t>
        </is>
      </c>
    </row>
    <row r="4">
      <c r="B4" s="15" t="inlineStr">
        <is>
          <t>账户与风险</t>
        </is>
      </c>
    </row>
    <row r="5">
      <c r="B5" s="16" t="inlineStr">
        <is>
          <t>账户资金（美元）</t>
        </is>
      </c>
      <c r="C5" s="17" t="n">
        <v>20000</v>
      </c>
    </row>
    <row r="6" ht="18" customHeight="1">
      <c r="B6" s="16" t="inlineStr">
        <is>
          <t>单笔最多亏（占账户）</t>
        </is>
      </c>
      <c r="C6" s="18" t="n">
        <v>0.01</v>
      </c>
      <c r="D6" s="19" t="inlineStr">
        <is>
          <t>新手先用 1% 或更低。这是教学示例，不是建议。</t>
        </is>
      </c>
      <c r="E6" s="19" t="n"/>
      <c r="F6" s="19" t="n"/>
      <c r="G6" s="19" t="n"/>
      <c r="H6" s="19" t="n"/>
      <c r="I6" s="19" t="n"/>
      <c r="J6" s="19" t="n"/>
      <c r="K6" s="19" t="n"/>
    </row>
    <row r="7" ht="18" customHeight="1">
      <c r="B7" s="16" t="inlineStr">
        <is>
          <t>1R 预算（美元）</t>
        </is>
      </c>
      <c r="C7" s="20">
        <f>C5*C6</f>
        <v>200</v>
      </c>
      <c r="D7" s="19" t="inlineStr">
        <is>
          <t>按止损算建议数量时用这个数。下单前定，平仓后不改。</t>
        </is>
      </c>
      <c r="E7" s="19" t="n"/>
      <c r="F7" s="19" t="n"/>
      <c r="G7" s="19" t="n"/>
      <c r="H7" s="19" t="n"/>
      <c r="I7" s="19" t="n"/>
      <c r="J7" s="19" t="n"/>
      <c r="K7" s="19" t="n"/>
    </row>
    <row r="8" ht="18" customHeight="1">
      <c r="B8" s="16" t="inlineStr">
        <is>
          <t>当天平仓亏到几 R 停手</t>
        </is>
      </c>
      <c r="C8" s="21" t="n">
        <v>3</v>
      </c>
      <c r="D8" s="19" t="inlineStr">
        <is>
          <t>每日记录会按当天平仓的净R 提示「触及停手线」。</t>
        </is>
      </c>
      <c r="E8" s="19" t="n"/>
      <c r="F8" s="19" t="n"/>
      <c r="G8" s="19" t="n"/>
      <c r="H8" s="19" t="n"/>
      <c r="I8" s="19" t="n"/>
      <c r="J8" s="19" t="n"/>
      <c r="K8" s="19" t="n"/>
    </row>
    <row r="10">
      <c r="B10" s="15" t="inlineStr">
        <is>
          <t>费用（按你的成交单改）</t>
        </is>
      </c>
    </row>
    <row r="11" ht="18" customHeight="1">
      <c r="B11" s="16" t="inlineStr">
        <is>
          <t>每股佣金</t>
        </is>
      </c>
      <c r="C11" s="22" t="n">
        <v>0.005</v>
      </c>
      <c r="D11" s="19" t="inlineStr">
        <is>
          <t>示例数。按股收的填这里；按单收的填 0，改填下面的每单固定费。</t>
        </is>
      </c>
      <c r="E11" s="19" t="n"/>
      <c r="F11" s="19" t="n"/>
      <c r="G11" s="19" t="n"/>
      <c r="H11" s="19" t="n"/>
      <c r="I11" s="19" t="n"/>
      <c r="J11" s="19" t="n"/>
      <c r="K11" s="19" t="n"/>
    </row>
    <row r="12">
      <c r="B12" s="16" t="inlineStr">
        <is>
          <t>每单最低佣金</t>
        </is>
      </c>
      <c r="C12" s="23" t="n">
        <v>1</v>
      </c>
    </row>
    <row r="13" ht="18" customHeight="1">
      <c r="B13" s="16" t="inlineStr">
        <is>
          <t>每单固定费</t>
        </is>
      </c>
      <c r="C13" s="23" t="n">
        <v>0</v>
      </c>
      <c r="D13" s="19" t="inlineStr">
        <is>
          <t>平台费、清算费按单收的填这里。</t>
        </is>
      </c>
      <c r="E13" s="19" t="n"/>
      <c r="F13" s="19" t="n"/>
      <c r="G13" s="19" t="n"/>
      <c r="H13" s="19" t="n"/>
      <c r="I13" s="19" t="n"/>
      <c r="J13" s="19" t="n"/>
      <c r="K13" s="19" t="n"/>
    </row>
    <row r="14" ht="18" customHeight="1">
      <c r="B14" s="16" t="inlineStr">
        <is>
          <t>卖出监管费率（按卖出金额）</t>
        </is>
      </c>
      <c r="C14" s="24" t="n"/>
      <c r="D14" s="19" t="inlineStr">
        <is>
          <t>默认留空。这笔费用只在卖出时收，费率会调整，以券商账单为准；填了以后成交明细会估算。</t>
        </is>
      </c>
      <c r="E14" s="19" t="n"/>
      <c r="F14" s="19" t="n"/>
      <c r="G14" s="19" t="n"/>
      <c r="H14" s="19" t="n"/>
      <c r="I14" s="19" t="n"/>
      <c r="J14" s="19" t="n"/>
      <c r="K14" s="19" t="n"/>
    </row>
    <row r="15" ht="18" customHeight="1">
      <c r="B15" s="16" t="inlineStr">
        <is>
          <t>交易活动费（卖出，每股）</t>
        </is>
      </c>
      <c r="C15" s="25" t="n"/>
      <c r="D15" s="19" t="inlineStr">
        <is>
          <t>默认留空，以券商账单为准。</t>
        </is>
      </c>
      <c r="E15" s="19" t="n"/>
      <c r="F15" s="19" t="n"/>
      <c r="G15" s="19" t="n"/>
      <c r="H15" s="19" t="n"/>
      <c r="I15" s="19" t="n"/>
      <c r="J15" s="19" t="n"/>
      <c r="K15" s="19" t="n"/>
    </row>
    <row r="16" ht="18" customHeight="1">
      <c r="B16" s="16" t="inlineStr">
        <is>
          <t>期权每张佣金</t>
        </is>
      </c>
      <c r="C16" s="23" t="n">
        <v>0.65</v>
      </c>
      <c r="D16" s="19" t="inlineStr">
        <is>
          <t>示例数。开仓、平仓各收一次。</t>
        </is>
      </c>
      <c r="E16" s="19" t="n"/>
      <c r="F16" s="19" t="n"/>
      <c r="G16" s="19" t="n"/>
      <c r="H16" s="19" t="n"/>
      <c r="I16" s="19" t="n"/>
      <c r="J16" s="19" t="n"/>
      <c r="K16" s="19" t="n"/>
    </row>
    <row r="17" ht="18" customHeight="1">
      <c r="B17" s="16" t="inlineStr">
        <is>
          <t>财报跳空情景：开在止损外几 %</t>
        </is>
      </c>
      <c r="C17" s="18" t="n">
        <v>0.1</v>
      </c>
      <c r="D17" s="19" t="inlineStr">
        <is>
          <t>假设财报后直接开在止损外这么远，算这一笔会亏几个 R。数字越大越保守。</t>
        </is>
      </c>
      <c r="E17" s="19" t="n"/>
      <c r="F17" s="19" t="n"/>
      <c r="G17" s="19" t="n"/>
      <c r="H17" s="19" t="n"/>
      <c r="I17" s="19" t="n"/>
      <c r="J17" s="19" t="n"/>
      <c r="K17" s="19" t="n"/>
    </row>
    <row r="18" ht="29.2" customHeight="1">
      <c r="B18" s="19" t="inlineStr">
        <is>
          <t>日内交易规则 2026 年改过：取消 2.5 万美元最低权益、改按日内保证金算，券商可以过渡到 2027-10-20。你的券商还在用旧规则时，交易记录里「滚动 5 个交易日的日内交易次数」可以拿来对照。以券商当前规则为准。</t>
        </is>
      </c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</row>
    <row r="20">
      <c r="B20" s="15" t="inlineStr">
        <is>
          <t>下拉选项（可以增删，改完下拉会跟着变）</t>
        </is>
      </c>
    </row>
    <row r="21">
      <c r="B21" s="26" t="inlineStr">
        <is>
          <t>策略</t>
        </is>
      </c>
      <c r="C21" s="26" t="inlineStr">
        <is>
          <t>方向</t>
        </is>
      </c>
      <c r="D21" s="26" t="inlineStr">
        <is>
          <t>执行情况</t>
        </is>
      </c>
      <c r="E21" s="26" t="inlineStr">
        <is>
          <t>过程打分</t>
        </is>
      </c>
      <c r="F21" s="26" t="inlineStr">
        <is>
          <t>偏差标签</t>
        </is>
      </c>
      <c r="G21" s="26" t="inlineStr">
        <is>
          <t>今天做了什么</t>
        </is>
      </c>
      <c r="H21" s="26" t="inlineStr">
        <is>
          <t>买卖</t>
        </is>
      </c>
      <c r="I21" s="26" t="inlineStr">
        <is>
          <t>成交时段</t>
        </is>
      </c>
      <c r="J21" s="26" t="inlineStr">
        <is>
          <t>财报怎么处理</t>
        </is>
      </c>
    </row>
    <row r="22">
      <c r="B22" s="27" t="inlineStr">
        <is>
          <t>突破</t>
        </is>
      </c>
      <c r="C22" s="27" t="inlineStr">
        <is>
          <t>多</t>
        </is>
      </c>
      <c r="D22" s="27" t="inlineStr">
        <is>
          <t>已执行</t>
        </is>
      </c>
      <c r="E22" s="27" t="inlineStr">
        <is>
          <t>A</t>
        </is>
      </c>
      <c r="F22" s="27" t="inlineStr">
        <is>
          <t>无</t>
        </is>
      </c>
      <c r="G22" s="27" t="inlineStr">
        <is>
          <t>有成交</t>
        </is>
      </c>
      <c r="H22" s="27" t="inlineStr">
        <is>
          <t>买</t>
        </is>
      </c>
      <c r="I22" s="27" t="inlineStr">
        <is>
          <t>盘前</t>
        </is>
      </c>
      <c r="J22" s="27" t="inlineStr">
        <is>
          <t>财报前减仓</t>
        </is>
      </c>
    </row>
    <row r="23">
      <c r="B23" s="27" t="inlineStr">
        <is>
          <t>回踩</t>
        </is>
      </c>
      <c r="C23" s="27" t="inlineStr">
        <is>
          <t>空</t>
        </is>
      </c>
      <c r="D23" s="27" t="inlineStr">
        <is>
          <t>未成交</t>
        </is>
      </c>
      <c r="E23" s="27" t="inlineStr">
        <is>
          <t>B</t>
        </is>
      </c>
      <c r="F23" s="27" t="inlineStr">
        <is>
          <t>追单</t>
        </is>
      </c>
      <c r="G23" s="27" t="inlineStr">
        <is>
          <t>挂单没成交</t>
        </is>
      </c>
      <c r="H23" s="27" t="inlineStr">
        <is>
          <t>卖</t>
        </is>
      </c>
      <c r="I23" s="27" t="inlineStr">
        <is>
          <t>常规</t>
        </is>
      </c>
      <c r="J23" s="27" t="inlineStr">
        <is>
          <t>按跳空重算股数</t>
        </is>
      </c>
    </row>
    <row r="24">
      <c r="B24" s="27" t="inlineStr">
        <is>
          <t>区间反转</t>
        </is>
      </c>
      <c r="C24" s="27" t="n"/>
      <c r="D24" s="27" t="inlineStr">
        <is>
          <t>主动放弃</t>
        </is>
      </c>
      <c r="E24" s="27" t="inlineStr">
        <is>
          <t>C</t>
        </is>
      </c>
      <c r="F24" s="27" t="inlineStr">
        <is>
          <t>扛单</t>
        </is>
      </c>
      <c r="G24" s="27" t="inlineStr">
        <is>
          <t>按计划空仓</t>
        </is>
      </c>
      <c r="H24" s="27" t="n"/>
      <c r="I24" s="27" t="inlineStr">
        <is>
          <t>盘后</t>
        </is>
      </c>
      <c r="J24" s="27" t="inlineStr">
        <is>
          <t>不持有过财报</t>
        </is>
      </c>
    </row>
    <row r="25">
      <c r="B25" s="27" t="inlineStr">
        <is>
          <t>趋势跟随</t>
        </is>
      </c>
      <c r="C25" s="27" t="n"/>
      <c r="D25" s="27" t="inlineStr">
        <is>
          <t>漏单</t>
        </is>
      </c>
      <c r="E25" s="27" t="inlineStr">
        <is>
          <t>D</t>
        </is>
      </c>
      <c r="F25" s="27" t="inlineStr">
        <is>
          <t>提前跑</t>
        </is>
      </c>
      <c r="G25" s="27" t="inlineStr">
        <is>
          <t>没等到条件</t>
        </is>
      </c>
      <c r="H25" s="27" t="n"/>
      <c r="I25" s="27" t="n"/>
      <c r="J25" s="27" t="inlineStr">
        <is>
          <t>照常持有</t>
        </is>
      </c>
    </row>
    <row r="26">
      <c r="B26" s="27" t="inlineStr">
        <is>
          <t>其他</t>
        </is>
      </c>
      <c r="C26" s="27" t="n"/>
      <c r="D26" s="27" t="n"/>
      <c r="E26" s="27" t="n"/>
      <c r="F26" s="27" t="inlineStr">
        <is>
          <t>加仓回本</t>
        </is>
      </c>
      <c r="G26" s="27" t="inlineStr">
        <is>
          <t>休息</t>
        </is>
      </c>
      <c r="H26" s="27" t="n"/>
      <c r="I26" s="27" t="n"/>
      <c r="J26" s="27" t="n"/>
    </row>
    <row r="27">
      <c r="B27" s="27" t="n"/>
      <c r="C27" s="27" t="n"/>
      <c r="D27" s="27" t="n"/>
      <c r="E27" s="27" t="n"/>
      <c r="F27" s="27" t="inlineStr">
        <is>
          <t>没计划</t>
        </is>
      </c>
      <c r="G27" s="27" t="n"/>
      <c r="H27" s="27" t="n"/>
      <c r="I27" s="27" t="n"/>
      <c r="J27" s="27" t="n"/>
    </row>
    <row r="28">
      <c r="B28" s="27" t="n"/>
      <c r="C28" s="27" t="n"/>
      <c r="D28" s="27" t="n"/>
      <c r="E28" s="27" t="n"/>
      <c r="F28" s="27" t="inlineStr">
        <is>
          <t>超仓位</t>
        </is>
      </c>
      <c r="G28" s="27" t="n"/>
      <c r="H28" s="27" t="n"/>
      <c r="I28" s="27" t="n"/>
      <c r="J28" s="27" t="n"/>
    </row>
    <row r="29">
      <c r="B29" s="27" t="n"/>
      <c r="C29" s="27" t="n"/>
      <c r="D29" s="27" t="n"/>
      <c r="E29" s="27" t="n"/>
      <c r="F29" s="27" t="inlineStr">
        <is>
          <t>止损挪远</t>
        </is>
      </c>
      <c r="G29" s="27" t="n"/>
      <c r="H29" s="27" t="n"/>
      <c r="I29" s="27" t="n"/>
      <c r="J29" s="27" t="n"/>
    </row>
    <row r="30">
      <c r="B30" s="27" t="n"/>
      <c r="C30" s="27" t="n"/>
      <c r="D30" s="27" t="n"/>
      <c r="E30" s="27" t="n"/>
      <c r="F30" s="27" t="inlineStr">
        <is>
          <t>盘中改计划</t>
        </is>
      </c>
      <c r="G30" s="27" t="n"/>
      <c r="H30" s="27" t="n"/>
      <c r="I30" s="27" t="n"/>
      <c r="J30" s="27" t="n"/>
    </row>
    <row r="31">
      <c r="B31" s="27" t="n"/>
      <c r="C31" s="27" t="n"/>
      <c r="D31" s="27" t="n"/>
      <c r="E31" s="27" t="n"/>
      <c r="F31" s="27" t="inlineStr">
        <is>
          <t>其他</t>
        </is>
      </c>
      <c r="G31" s="27" t="n"/>
      <c r="H31" s="27" t="n"/>
      <c r="I31" s="27" t="n"/>
      <c r="J31" s="27" t="n"/>
    </row>
    <row r="32">
      <c r="B32" s="27" t="n"/>
      <c r="C32" s="27" t="n"/>
      <c r="D32" s="27" t="n"/>
      <c r="E32" s="27" t="n"/>
      <c r="F32" s="27" t="n"/>
      <c r="G32" s="27" t="n"/>
      <c r="H32" s="27" t="n"/>
      <c r="I32" s="27" t="n"/>
      <c r="J32" s="27" t="n"/>
    </row>
    <row r="33">
      <c r="B33" s="27" t="n"/>
      <c r="C33" s="27" t="n"/>
      <c r="D33" s="27" t="n"/>
      <c r="E33" s="27" t="n"/>
      <c r="F33" s="27" t="n"/>
      <c r="G33" s="27" t="n"/>
      <c r="H33" s="27" t="n"/>
      <c r="I33" s="27" t="n"/>
      <c r="J33" s="27" t="n"/>
    </row>
    <row r="35">
      <c r="B35" s="19" t="inlineStr">
        <is>
          <t>过程打分：A 完全照计划；B 有小偏差；C 违反一条规则；D 没有计划就下单。打分只看有没有照计划，不看这笔赚没赚。</t>
        </is>
      </c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</row>
  </sheetData>
  <mergeCells count="14">
    <mergeCell ref="D17:K17"/>
    <mergeCell ref="D7:K7"/>
    <mergeCell ref="D8:K8"/>
    <mergeCell ref="D6:K6"/>
    <mergeCell ref="D15:K15"/>
    <mergeCell ref="D16:K16"/>
    <mergeCell ref="D11:K11"/>
    <mergeCell ref="B18:K18"/>
    <mergeCell ref="B35:K35"/>
    <mergeCell ref="I1:K1"/>
    <mergeCell ref="A2:K2"/>
    <mergeCell ref="D13:K13"/>
    <mergeCell ref="D14:K14"/>
    <mergeCell ref="A1:H1"/>
  </mergeCell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</worksheet>
</file>

<file path=xl/worksheets/sheet3.xml><?xml version="1.0" encoding="utf-8"?>
<worksheet xmlns="http://schemas.openxmlformats.org/spreadsheetml/2006/main">
  <sheetPr>
    <tabColor rgb="009D4616"/>
    <outlinePr summaryBelow="1" summaryRight="1"/>
    <pageSetUpPr fitToPage="0"/>
  </sheetPr>
  <dimension ref="A1:AN30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.5" customWidth="1" min="2" max="2"/>
    <col width="9" customWidth="1" min="3" max="3"/>
    <col width="8" customWidth="1" min="4" max="4"/>
    <col width="5" customWidth="1" min="5" max="5"/>
    <col width="8" customWidth="1" min="6" max="6"/>
    <col width="8" customWidth="1" min="7" max="7"/>
    <col width="8" customWidth="1" min="8" max="8"/>
    <col width="6.5" customWidth="1" min="9" max="9"/>
    <col width="8.5" customWidth="1" min="10" max="10"/>
    <col width="8" customWidth="1" min="11" max="11"/>
    <col width="8.5" customWidth="1" min="12" max="12"/>
    <col width="10" customWidth="1" min="13" max="13"/>
    <col width="7.5" customWidth="1" min="14" max="14"/>
    <col width="7.5" customWidth="1" min="15" max="15"/>
    <col width="18" customWidth="1" min="16" max="16"/>
    <col width="7.5" customWidth="1" min="17" max="17"/>
    <col width="10.5" customWidth="1" min="18" max="18"/>
    <col width="10.5" customWidth="1" min="19" max="19"/>
    <col width="6.5" customWidth="1" min="20" max="20"/>
    <col width="7.5" customWidth="1" min="21" max="21"/>
    <col width="8" customWidth="1" min="22" max="22"/>
    <col width="7.5" customWidth="1" min="23" max="23"/>
    <col width="8" customWidth="1" min="24" max="24"/>
    <col width="7.5" customWidth="1" min="25" max="25"/>
    <col width="6" customWidth="1" min="26" max="26"/>
    <col width="8" customWidth="1" min="27" max="27"/>
    <col width="8" customWidth="1" min="28" max="28"/>
    <col width="7.5" customWidth="1" min="29" max="29"/>
    <col width="8" customWidth="1" min="30" max="30"/>
    <col width="9.5" customWidth="1" min="31" max="31"/>
    <col width="6.5" customWidth="1" min="32" max="32"/>
    <col width="6.5" customWidth="1" min="33" max="33"/>
    <col width="7.5" customWidth="1" min="34" max="34"/>
    <col width="9" customWidth="1" min="35" max="35"/>
    <col width="6" customWidth="1" min="36" max="36"/>
    <col width="8" customWidth="1" min="37" max="37"/>
    <col width="30" customWidth="1" min="38" max="38"/>
    <col width="7" customWidth="1" min="39" max="39"/>
    <col width="7" customWidth="1" min="40" max="40"/>
  </cols>
  <sheetData>
    <row r="1" ht="30" customHeight="1">
      <c r="A1" s="13" t="inlineStr">
        <is>
          <t>美股交易日志：交易记录</t>
        </is>
      </c>
      <c r="AL1" s="14" t="inlineStr">
        <is>
          <t>TradeLearn · XtradingTime 交易内训</t>
        </is>
      </c>
    </row>
    <row r="2" ht="20" customHeight="1">
      <c r="A2" s="2" t="inlineStr">
        <is>
          <t>下单前写左边的计划，成交后去「成交明细」逐笔记同一个编号。持仓期间有财报的，把财报日填上，表会算跳空情景、提醒持仓跨财报。做空的填借券年化费率，平仓后自动算借券费。</t>
        </is>
      </c>
    </row>
    <row r="3" ht="18" customHeight="1">
      <c r="A3" s="28" t="inlineStr">
        <is>
          <t>计划（下单前写，平仓后不改）</t>
        </is>
      </c>
      <c r="B3" s="28" t="n"/>
      <c r="C3" s="28" t="n"/>
      <c r="D3" s="28" t="n"/>
      <c r="E3" s="28" t="n"/>
      <c r="F3" s="28" t="n"/>
      <c r="G3" s="28" t="n"/>
      <c r="H3" s="28" t="n"/>
      <c r="I3" s="28" t="n"/>
      <c r="J3" s="28" t="n"/>
      <c r="K3" s="28" t="n"/>
      <c r="L3" s="28" t="n"/>
      <c r="M3" s="28" t="inlineStr">
        <is>
          <t>财报与做空</t>
        </is>
      </c>
      <c r="N3" s="28" t="n"/>
      <c r="O3" s="28" t="n"/>
      <c r="P3" s="28" t="inlineStr">
        <is>
          <t>失效条件</t>
        </is>
      </c>
      <c r="Q3" s="28" t="inlineStr">
        <is>
          <t>实际成交（从成交明细自动汇总）</t>
        </is>
      </c>
      <c r="R3" s="28" t="n"/>
      <c r="S3" s="28" t="n"/>
      <c r="T3" s="28" t="n"/>
      <c r="U3" s="28" t="n"/>
      <c r="V3" s="28" t="n"/>
      <c r="W3" s="28" t="n"/>
      <c r="X3" s="28" t="n"/>
      <c r="Y3" s="28" t="n"/>
      <c r="Z3" s="28" t="n"/>
      <c r="AA3" s="28" t="n"/>
      <c r="AB3" s="28" t="n"/>
      <c r="AC3" s="28" t="inlineStr">
        <is>
          <t>结果（费后）</t>
        </is>
      </c>
      <c r="AD3" s="28" t="n"/>
      <c r="AE3" s="28" t="n"/>
      <c r="AF3" s="28" t="n"/>
      <c r="AG3" s="28" t="n"/>
      <c r="AH3" s="28" t="n"/>
      <c r="AI3" s="28" t="n"/>
      <c r="AJ3" s="28" t="inlineStr">
        <is>
          <t>过程</t>
        </is>
      </c>
      <c r="AK3" s="28" t="n"/>
      <c r="AL3" s="28" t="n"/>
      <c r="AM3" s="28" t="inlineStr">
        <is>
          <t>曲线</t>
        </is>
      </c>
      <c r="AN3" s="28" t="n"/>
    </row>
    <row r="4" ht="79.59999999999999" customHeight="1">
      <c r="A4" s="26" t="inlineStr">
        <is>
          <t>编号</t>
        </is>
      </c>
      <c r="B4" s="26" t="inlineStr">
        <is>
          <t>计划日期</t>
        </is>
      </c>
      <c r="C4" s="26" t="inlineStr">
        <is>
          <t>股票</t>
        </is>
      </c>
      <c r="D4" s="26" t="inlineStr">
        <is>
          <t>策略</t>
        </is>
      </c>
      <c r="E4" s="26" t="inlineStr">
        <is>
          <t>方向</t>
        </is>
      </c>
      <c r="F4" s="26" t="inlineStr">
        <is>
          <t>计划入场价</t>
        </is>
      </c>
      <c r="G4" s="26" t="inlineStr">
        <is>
          <t>止损价</t>
        </is>
      </c>
      <c r="H4" s="26" t="inlineStr">
        <is>
          <t>目标价</t>
        </is>
      </c>
      <c r="I4" s="26" t="inlineStr">
        <is>
          <t>计划风报比</t>
        </is>
      </c>
      <c r="J4" s="26" t="inlineStr">
        <is>
          <t>建议股数</t>
        </is>
      </c>
      <c r="K4" s="26" t="inlineStr">
        <is>
          <t>计划股数</t>
        </is>
      </c>
      <c r="L4" s="26" t="inlineStr">
        <is>
          <t>1R（美元）</t>
        </is>
      </c>
      <c r="M4" s="26" t="inlineStr">
        <is>
          <t>持仓期间的财报日</t>
        </is>
      </c>
      <c r="N4" s="26" t="inlineStr">
        <is>
          <t>财报跳空情景亏（R）</t>
        </is>
      </c>
      <c r="O4" s="26" t="inlineStr">
        <is>
          <t>借券年化费率（做空才填）</t>
        </is>
      </c>
      <c r="P4" s="26" t="inlineStr">
        <is>
          <t>失效条件 / 不做的情况</t>
        </is>
      </c>
      <c r="Q4" s="26" t="inlineStr">
        <is>
          <t>执行情况</t>
        </is>
      </c>
      <c r="R4" s="26" t="inlineStr">
        <is>
          <t>开仓日</t>
        </is>
      </c>
      <c r="S4" s="26" t="inlineStr">
        <is>
          <t>平仓日</t>
        </is>
      </c>
      <c r="T4" s="26" t="inlineStr">
        <is>
          <t>开仓时段</t>
        </is>
      </c>
      <c r="U4" s="26" t="inlineStr">
        <is>
          <t>开仓数量</t>
        </is>
      </c>
      <c r="V4" s="26" t="inlineStr">
        <is>
          <t>开仓均价</t>
        </is>
      </c>
      <c r="W4" s="26" t="inlineStr">
        <is>
          <t>平仓数量</t>
        </is>
      </c>
      <c r="X4" s="26" t="inlineStr">
        <is>
          <t>平仓均价</t>
        </is>
      </c>
      <c r="Y4" s="26" t="inlineStr">
        <is>
          <t>状态</t>
        </is>
      </c>
      <c r="Z4" s="26" t="inlineStr">
        <is>
          <t>日内交易</t>
        </is>
      </c>
      <c r="AA4" s="26" t="inlineStr">
        <is>
          <t>滚动 5 个交易日的日内交易次数</t>
        </is>
      </c>
      <c r="AB4" s="26" t="inlineStr">
        <is>
          <t>财报提醒</t>
        </is>
      </c>
      <c r="AC4" s="26" t="inlineStr">
        <is>
          <t>借券费</t>
        </is>
      </c>
      <c r="AD4" s="26" t="inlineStr">
        <is>
          <t>费用</t>
        </is>
      </c>
      <c r="AE4" s="26" t="inlineStr">
        <is>
          <t>净盈亏</t>
        </is>
      </c>
      <c r="AF4" s="26" t="inlineStr">
        <is>
          <t>毛R（不扣费用）</t>
        </is>
      </c>
      <c r="AG4" s="26" t="inlineStr">
        <is>
          <t>净R</t>
        </is>
      </c>
      <c r="AH4" s="26" t="inlineStr">
        <is>
          <t>进场偏差（不利为正）</t>
        </is>
      </c>
      <c r="AI4" s="26" t="inlineStr">
        <is>
          <t>出场偏差（亏单比止损、赚单比目标，不利为正）</t>
        </is>
      </c>
      <c r="AJ4" s="26" t="inlineStr">
        <is>
          <t>过程打分</t>
        </is>
      </c>
      <c r="AK4" s="26" t="inlineStr">
        <is>
          <t>偏差标签</t>
        </is>
      </c>
      <c r="AL4" s="26" t="inlineStr">
        <is>
          <t>备注（截图编号、下一步只改一处）</t>
        </is>
      </c>
      <c r="AM4" s="26" t="inlineStr">
        <is>
          <t>累计净R</t>
        </is>
      </c>
      <c r="AN4" s="26" t="inlineStr">
        <is>
          <t>离高点回撤</t>
        </is>
      </c>
    </row>
    <row r="5">
      <c r="A5" s="29" t="n"/>
      <c r="B5" s="30" t="n"/>
      <c r="C5" s="31" t="n"/>
      <c r="D5" s="32" t="n"/>
      <c r="E5" s="32" t="n"/>
      <c r="F5" s="33" t="n"/>
      <c r="G5" s="33" t="n"/>
      <c r="H5" s="33" t="n"/>
      <c r="I5" s="34" t="str">
        <f>IF(AND(ISNUMBER(F5),ISNUMBER(G5),ISNUMBER(H5)),IF(OR(AND(E5="多",F5&gt;G5),AND(E5="空",F5&lt;G5)),ABS(H5-F5)/ABS(F5-G5),"止损方向不对"),"")</f>
        <v/>
      </c>
      <c r="J5" s="35" t="str">
        <f>IF(AND(ISNUMBER(F5),ISNUMBER(G5)),IF(F5=G5,"",IF(INT(ROUND('参数'!$C$7/(ABS(F5-G5)*1+2*'参数'!$C$11+N('参数'!$C$14)*F5+N('参数'!$C$15))/1,6))*1&gt;0,INT(ROUND('参数'!$C$7/(ABS(F5-G5)*1+2*'参数'!$C$11+N('参数'!$C$14)*F5+N('参数'!$C$15))/1,6))*1,"预算不足，这笔不做")),"")</f>
        <v/>
      </c>
      <c r="K5" s="36" t="n"/>
      <c r="L5" s="20" t="str">
        <f>IF(AND(ISNUMBER(F5),ISNUMBER(G5),ISNUMBER(K5)),IF(AND(F5&lt;&gt;G5,K5&gt;0),ABS(F5-G5)*K5*1,""),"")</f>
        <v/>
      </c>
      <c r="M5" s="30" t="n"/>
      <c r="N5" s="37" t="str">
        <f>IF(AND(ISNUMBER(L5),ISNUMBER(M5)),IF(E5="空",(G5*(1+'参数'!$C$17)-F5),(F5-G5*(1-'参数'!$C$17)))*K5/L5,"")</f>
        <v/>
      </c>
      <c r="O5" s="38" t="n"/>
      <c r="P5" s="31" t="n"/>
      <c r="Q5" s="32" t="n"/>
      <c r="R5" s="39" t="str">
        <f>IF(N(U5)&gt;0,SUMPRODUCT(LARGE(('成交明细'!$A$5:$A$804=A5)*('成交明细'!$D$5:$D$804=IF(E5="空","卖","买"))*'成交明细'!$B$5:$B$804,COUNTIFS('成交明细'!$A$5:$A$804,A5,'成交明细'!$D$5:$D$804,IF(E5="空","卖","买")))),"")</f>
        <v/>
      </c>
      <c r="S5" s="39" t="str">
        <f>IF(AND(N(U5)&gt;0,N(W5)&gt;=N(U5)),SUMPRODUCT(MAX(('成交明细'!$A$5:$A$804=A5)*('成交明细'!$D$5:$D$804=IF(E5="空","买","卖"))*'成交明细'!$B$5:$B$804)),"")</f>
        <v/>
      </c>
      <c r="T5" s="32" t="n"/>
      <c r="U5" s="35" t="str">
        <f>IF(A5="","",SUMIFS('成交明细'!$F$5:$F$804,'成交明细'!$A$5:$A$804,A5,'成交明细'!$D$5:$D$804,IF(E5="空","卖","买")))</f>
        <v/>
      </c>
      <c r="V5" s="40" t="str">
        <f>IF(N(U5)&gt;0,SUMIFS('成交明细'!$H$5:$H$804,'成交明细'!$A$5:$A$804,A5,'成交明细'!$D$5:$D$804,IF(E5="空","卖","买"))/U5,"")</f>
        <v/>
      </c>
      <c r="W5" s="35" t="str">
        <f>IF(A5="","",SUMIFS('成交明细'!$F$5:$F$804,'成交明细'!$A$5:$A$804,A5,'成交明细'!$D$5:$D$804,IF(E5="空","买","卖")))</f>
        <v/>
      </c>
      <c r="X5" s="40" t="str">
        <f>IF(N(W5)&gt;0,SUMIFS('成交明细'!$H$5:$H$804,'成交明细'!$A$5:$A$804,A5,'成交明细'!$D$5:$D$804,IF(E5="空","买","卖"))/W5,"")</f>
        <v/>
      </c>
      <c r="Y5" s="41" t="str">
        <f>IF(A5="","",IF(Q5&lt;&gt;"已执行",IF(Q5="","未填执行情况",Q5),IF(N(U5)=0,"待录成交",IF(N(W5)&gt;N(U5),"平仓多于开仓",IF(N(W5)&lt;N(U5),"持仓中","已平仓")))))</f>
        <v/>
      </c>
      <c r="Z5" s="41" t="str">
        <f>IF(AND(ISNUMBER(R5),ISNUMBER(S5)),IF(R5=S5,"日内",""),"")</f>
        <v/>
      </c>
      <c r="AA5" s="42" t="str">
        <f>IF(Z5&lt;&gt;"日内","",COUNTIFS($Z$5:$Z$304,"日内",$S$5:$S$304,"&gt;"&amp;WORKDAY(S5,-5),$S$5:$S$304,"&lt;="&amp;S5))</f>
        <v/>
      </c>
      <c r="AB5" s="41" t="str">
        <f>IF(OR(NOT(ISNUMBER(M5)),NOT(ISNUMBER(R5))),"",IF(AND(M5&gt;=R5,OR(NOT(ISNUMBER(S5)),M5&lt;=S5)),"持仓跨财报",""))</f>
        <v/>
      </c>
      <c r="AC5" s="20">
        <f>IF(AND(E5="空",ISNUMBER(O5),ISNUMBER(S5)),ROUND(O5*(S5-R5)/360*V5*U5,2),0)</f>
        <v>0</v>
      </c>
      <c r="AD5" s="43" t="str">
        <f>IF(N(U5)=0,"",SUMIFS('成交明细'!$L$5:$L$804,'成交明细'!$A$5:$A$804,A5)+AC5)</f>
        <v/>
      </c>
      <c r="AE5" s="44" t="str">
        <f>IF(Y5&lt;&gt;"已平仓","",(SUMIFS('成交明细'!$H$5:$H$804,'成交明细'!$A$5:$A$804,A5,'成交明细'!$D$5:$D$804,"卖")-SUMIFS('成交明细'!$H$5:$H$804,'成交明细'!$A$5:$A$804,A5,'成交明细'!$D$5:$D$804,"买"))*1-AD5)</f>
        <v/>
      </c>
      <c r="AF5" s="45" t="str">
        <f>IF(AND(Y5="已平仓",ISNUMBER(L5)),(SUMIFS('成交明细'!$H$5:$H$804,'成交明细'!$A$5:$A$804,A5,'成交明细'!$D$5:$D$804,"卖")-SUMIFS('成交明细'!$H$5:$H$804,'成交明细'!$A$5:$A$804,A5,'成交明细'!$D$5:$D$804,"买"))*1/L5,"")</f>
        <v/>
      </c>
      <c r="AG5" s="45" t="str">
        <f>IF(AND(Y5="已平仓",ISNUMBER(L5)),AE5/L5,"")</f>
        <v/>
      </c>
      <c r="AH5" s="46" t="str">
        <f>IF(AND(ISNUMBER(V5),ISNUMBER(F5)),IF(E5="空",F5-V5,V5-F5),"")</f>
        <v/>
      </c>
      <c r="AI5" s="46" t="str">
        <f>IF(OR(NOT(ISNUMBER(AE5)),NOT(ISNUMBER(X5))),"",IF(AE5&lt;0,IF(E5="空",X5-G5,G5-X5),IF(NOT(ISNUMBER(H5)),"",IF(E5="空",X5-H5,H5-X5))))</f>
        <v/>
      </c>
      <c r="AJ5" s="32" t="n"/>
      <c r="AK5" s="32" t="n"/>
      <c r="AL5" s="31" t="n"/>
      <c r="AM5" s="45" t="str">
        <f>IF(A5="","",SUM(AG$5:AG5))</f>
        <v/>
      </c>
      <c r="AN5" s="37" t="str">
        <f>IF(A5="","",MAX(0,MAX(AM$5:AM5))-AM5)</f>
        <v/>
      </c>
    </row>
    <row r="6">
      <c r="A6" s="29" t="n"/>
      <c r="B6" s="30" t="n"/>
      <c r="C6" s="31" t="n"/>
      <c r="D6" s="32" t="n"/>
      <c r="E6" s="32" t="n"/>
      <c r="F6" s="33" t="n"/>
      <c r="G6" s="33" t="n"/>
      <c r="H6" s="33" t="n"/>
      <c r="I6" s="34" t="str">
        <f>IF(AND(ISNUMBER(F6),ISNUMBER(G6),ISNUMBER(H6)),IF(OR(AND(E6="多",F6&gt;G6),AND(E6="空",F6&lt;G6)),ABS(H6-F6)/ABS(F6-G6),"止损方向不对"),"")</f>
        <v/>
      </c>
      <c r="J6" s="35" t="str">
        <f>IF(AND(ISNUMBER(F6),ISNUMBER(G6)),IF(F6=G6,"",IF(INT(ROUND('参数'!$C$7/(ABS(F6-G6)*1+2*'参数'!$C$11+N('参数'!$C$14)*F6+N('参数'!$C$15))/1,6))*1&gt;0,INT(ROUND('参数'!$C$7/(ABS(F6-G6)*1+2*'参数'!$C$11+N('参数'!$C$14)*F6+N('参数'!$C$15))/1,6))*1,"预算不足，这笔不做")),"")</f>
        <v/>
      </c>
      <c r="K6" s="36" t="n"/>
      <c r="L6" s="20" t="str">
        <f>IF(AND(ISNUMBER(F6),ISNUMBER(G6),ISNUMBER(K6)),IF(AND(F6&lt;&gt;G6,K6&gt;0),ABS(F6-G6)*K6*1,""),"")</f>
        <v/>
      </c>
      <c r="M6" s="30" t="n"/>
      <c r="N6" s="37" t="str">
        <f>IF(AND(ISNUMBER(L6),ISNUMBER(M6)),IF(E6="空",(G6*(1+'参数'!$C$17)-F6),(F6-G6*(1-'参数'!$C$17)))*K6/L6,"")</f>
        <v/>
      </c>
      <c r="O6" s="38" t="n"/>
      <c r="P6" s="31" t="n"/>
      <c r="Q6" s="32" t="n"/>
      <c r="R6" s="39" t="str">
        <f>IF(N(U6)&gt;0,SUMPRODUCT(LARGE(('成交明细'!$A$5:$A$804=A6)*('成交明细'!$D$5:$D$804=IF(E6="空","卖","买"))*'成交明细'!$B$5:$B$804,COUNTIFS('成交明细'!$A$5:$A$804,A6,'成交明细'!$D$5:$D$804,IF(E6="空","卖","买")))),"")</f>
        <v/>
      </c>
      <c r="S6" s="39" t="str">
        <f>IF(AND(N(U6)&gt;0,N(W6)&gt;=N(U6)),SUMPRODUCT(MAX(('成交明细'!$A$5:$A$804=A6)*('成交明细'!$D$5:$D$804=IF(E6="空","买","卖"))*'成交明细'!$B$5:$B$804)),"")</f>
        <v/>
      </c>
      <c r="T6" s="32" t="n"/>
      <c r="U6" s="35" t="str">
        <f>IF(A6="","",SUMIFS('成交明细'!$F$5:$F$804,'成交明细'!$A$5:$A$804,A6,'成交明细'!$D$5:$D$804,IF(E6="空","卖","买")))</f>
        <v/>
      </c>
      <c r="V6" s="40" t="str">
        <f>IF(N(U6)&gt;0,SUMIFS('成交明细'!$H$5:$H$804,'成交明细'!$A$5:$A$804,A6,'成交明细'!$D$5:$D$804,IF(E6="空","卖","买"))/U6,"")</f>
        <v/>
      </c>
      <c r="W6" s="35" t="str">
        <f>IF(A6="","",SUMIFS('成交明细'!$F$5:$F$804,'成交明细'!$A$5:$A$804,A6,'成交明细'!$D$5:$D$804,IF(E6="空","买","卖")))</f>
        <v/>
      </c>
      <c r="X6" s="40" t="str">
        <f>IF(N(W6)&gt;0,SUMIFS('成交明细'!$H$5:$H$804,'成交明细'!$A$5:$A$804,A6,'成交明细'!$D$5:$D$804,IF(E6="空","买","卖"))/W6,"")</f>
        <v/>
      </c>
      <c r="Y6" s="41" t="str">
        <f>IF(A6="","",IF(Q6&lt;&gt;"已执行",IF(Q6="","未填执行情况",Q6),IF(N(U6)=0,"待录成交",IF(N(W6)&gt;N(U6),"平仓多于开仓",IF(N(W6)&lt;N(U6),"持仓中","已平仓")))))</f>
        <v/>
      </c>
      <c r="Z6" s="41" t="str">
        <f>IF(AND(ISNUMBER(R6),ISNUMBER(S6)),IF(R6=S6,"日内",""),"")</f>
        <v/>
      </c>
      <c r="AA6" s="42" t="str">
        <f>IF(Z6&lt;&gt;"日内","",COUNTIFS($Z$5:$Z$304,"日内",$S$5:$S$304,"&gt;"&amp;WORKDAY(S6,-5),$S$5:$S$304,"&lt;="&amp;S6))</f>
        <v/>
      </c>
      <c r="AB6" s="41" t="str">
        <f>IF(OR(NOT(ISNUMBER(M6)),NOT(ISNUMBER(R6))),"",IF(AND(M6&gt;=R6,OR(NOT(ISNUMBER(S6)),M6&lt;=S6)),"持仓跨财报",""))</f>
        <v/>
      </c>
      <c r="AC6" s="20">
        <f>IF(AND(E6="空",ISNUMBER(O6),ISNUMBER(S6)),ROUND(O6*(S6-R6)/360*V6*U6,2),0)</f>
        <v>0</v>
      </c>
      <c r="AD6" s="43" t="str">
        <f>IF(N(U6)=0,"",SUMIFS('成交明细'!$L$5:$L$804,'成交明细'!$A$5:$A$804,A6)+AC6)</f>
        <v/>
      </c>
      <c r="AE6" s="44" t="str">
        <f>IF(Y6&lt;&gt;"已平仓","",(SUMIFS('成交明细'!$H$5:$H$804,'成交明细'!$A$5:$A$804,A6,'成交明细'!$D$5:$D$804,"卖")-SUMIFS('成交明细'!$H$5:$H$804,'成交明细'!$A$5:$A$804,A6,'成交明细'!$D$5:$D$804,"买"))*1-AD6)</f>
        <v/>
      </c>
      <c r="AF6" s="45" t="str">
        <f>IF(AND(Y6="已平仓",ISNUMBER(L6)),(SUMIFS('成交明细'!$H$5:$H$804,'成交明细'!$A$5:$A$804,A6,'成交明细'!$D$5:$D$804,"卖")-SUMIFS('成交明细'!$H$5:$H$804,'成交明细'!$A$5:$A$804,A6,'成交明细'!$D$5:$D$804,"买"))*1/L6,"")</f>
        <v/>
      </c>
      <c r="AG6" s="45" t="str">
        <f>IF(AND(Y6="已平仓",ISNUMBER(L6)),AE6/L6,"")</f>
        <v/>
      </c>
      <c r="AH6" s="46" t="str">
        <f>IF(AND(ISNUMBER(V6),ISNUMBER(F6)),IF(E6="空",F6-V6,V6-F6),"")</f>
        <v/>
      </c>
      <c r="AI6" s="46" t="str">
        <f>IF(OR(NOT(ISNUMBER(AE6)),NOT(ISNUMBER(X6))),"",IF(AE6&lt;0,IF(E6="空",X6-G6,G6-X6),IF(NOT(ISNUMBER(H6)),"",IF(E6="空",X6-H6,H6-X6))))</f>
        <v/>
      </c>
      <c r="AJ6" s="32" t="n"/>
      <c r="AK6" s="32" t="n"/>
      <c r="AL6" s="31" t="n"/>
      <c r="AM6" s="45" t="str">
        <f>IF(A6="","",SUM(AG$5:AG6))</f>
        <v/>
      </c>
      <c r="AN6" s="37" t="str">
        <f>IF(A6="","",MAX(0,MAX(AM$5:AM6))-AM6)</f>
        <v/>
      </c>
    </row>
    <row r="7">
      <c r="A7" s="29" t="n"/>
      <c r="B7" s="30" t="n"/>
      <c r="C7" s="31" t="n"/>
      <c r="D7" s="32" t="n"/>
      <c r="E7" s="32" t="n"/>
      <c r="F7" s="33" t="n"/>
      <c r="G7" s="33" t="n"/>
      <c r="H7" s="33" t="n"/>
      <c r="I7" s="34" t="str">
        <f>IF(AND(ISNUMBER(F7),ISNUMBER(G7),ISNUMBER(H7)),IF(OR(AND(E7="多",F7&gt;G7),AND(E7="空",F7&lt;G7)),ABS(H7-F7)/ABS(F7-G7),"止损方向不对"),"")</f>
        <v/>
      </c>
      <c r="J7" s="35" t="str">
        <f>IF(AND(ISNUMBER(F7),ISNUMBER(G7)),IF(F7=G7,"",IF(INT(ROUND('参数'!$C$7/(ABS(F7-G7)*1+2*'参数'!$C$11+N('参数'!$C$14)*F7+N('参数'!$C$15))/1,6))*1&gt;0,INT(ROUND('参数'!$C$7/(ABS(F7-G7)*1+2*'参数'!$C$11+N('参数'!$C$14)*F7+N('参数'!$C$15))/1,6))*1,"预算不足，这笔不做")),"")</f>
        <v/>
      </c>
      <c r="K7" s="36" t="n"/>
      <c r="L7" s="20" t="str">
        <f>IF(AND(ISNUMBER(F7),ISNUMBER(G7),ISNUMBER(K7)),IF(AND(F7&lt;&gt;G7,K7&gt;0),ABS(F7-G7)*K7*1,""),"")</f>
        <v/>
      </c>
      <c r="M7" s="30" t="n"/>
      <c r="N7" s="37" t="str">
        <f>IF(AND(ISNUMBER(L7),ISNUMBER(M7)),IF(E7="空",(G7*(1+'参数'!$C$17)-F7),(F7-G7*(1-'参数'!$C$17)))*K7/L7,"")</f>
        <v/>
      </c>
      <c r="O7" s="38" t="n"/>
      <c r="P7" s="31" t="n"/>
      <c r="Q7" s="32" t="n"/>
      <c r="R7" s="39" t="str">
        <f>IF(N(U7)&gt;0,SUMPRODUCT(LARGE(('成交明细'!$A$5:$A$804=A7)*('成交明细'!$D$5:$D$804=IF(E7="空","卖","买"))*'成交明细'!$B$5:$B$804,COUNTIFS('成交明细'!$A$5:$A$804,A7,'成交明细'!$D$5:$D$804,IF(E7="空","卖","买")))),"")</f>
        <v/>
      </c>
      <c r="S7" s="39" t="str">
        <f>IF(AND(N(U7)&gt;0,N(W7)&gt;=N(U7)),SUMPRODUCT(MAX(('成交明细'!$A$5:$A$804=A7)*('成交明细'!$D$5:$D$804=IF(E7="空","买","卖"))*'成交明细'!$B$5:$B$804)),"")</f>
        <v/>
      </c>
      <c r="T7" s="32" t="n"/>
      <c r="U7" s="35" t="str">
        <f>IF(A7="","",SUMIFS('成交明细'!$F$5:$F$804,'成交明细'!$A$5:$A$804,A7,'成交明细'!$D$5:$D$804,IF(E7="空","卖","买")))</f>
        <v/>
      </c>
      <c r="V7" s="40" t="str">
        <f>IF(N(U7)&gt;0,SUMIFS('成交明细'!$H$5:$H$804,'成交明细'!$A$5:$A$804,A7,'成交明细'!$D$5:$D$804,IF(E7="空","卖","买"))/U7,"")</f>
        <v/>
      </c>
      <c r="W7" s="35" t="str">
        <f>IF(A7="","",SUMIFS('成交明细'!$F$5:$F$804,'成交明细'!$A$5:$A$804,A7,'成交明细'!$D$5:$D$804,IF(E7="空","买","卖")))</f>
        <v/>
      </c>
      <c r="X7" s="40" t="str">
        <f>IF(N(W7)&gt;0,SUMIFS('成交明细'!$H$5:$H$804,'成交明细'!$A$5:$A$804,A7,'成交明细'!$D$5:$D$804,IF(E7="空","买","卖"))/W7,"")</f>
        <v/>
      </c>
      <c r="Y7" s="41" t="str">
        <f>IF(A7="","",IF(Q7&lt;&gt;"已执行",IF(Q7="","未填执行情况",Q7),IF(N(U7)=0,"待录成交",IF(N(W7)&gt;N(U7),"平仓多于开仓",IF(N(W7)&lt;N(U7),"持仓中","已平仓")))))</f>
        <v/>
      </c>
      <c r="Z7" s="41" t="str">
        <f>IF(AND(ISNUMBER(R7),ISNUMBER(S7)),IF(R7=S7,"日内",""),"")</f>
        <v/>
      </c>
      <c r="AA7" s="42" t="str">
        <f>IF(Z7&lt;&gt;"日内","",COUNTIFS($Z$5:$Z$304,"日内",$S$5:$S$304,"&gt;"&amp;WORKDAY(S7,-5),$S$5:$S$304,"&lt;="&amp;S7))</f>
        <v/>
      </c>
      <c r="AB7" s="41" t="str">
        <f>IF(OR(NOT(ISNUMBER(M7)),NOT(ISNUMBER(R7))),"",IF(AND(M7&gt;=R7,OR(NOT(ISNUMBER(S7)),M7&lt;=S7)),"持仓跨财报",""))</f>
        <v/>
      </c>
      <c r="AC7" s="20">
        <f>IF(AND(E7="空",ISNUMBER(O7),ISNUMBER(S7)),ROUND(O7*(S7-R7)/360*V7*U7,2),0)</f>
        <v>0</v>
      </c>
      <c r="AD7" s="43" t="str">
        <f>IF(N(U7)=0,"",SUMIFS('成交明细'!$L$5:$L$804,'成交明细'!$A$5:$A$804,A7)+AC7)</f>
        <v/>
      </c>
      <c r="AE7" s="44" t="str">
        <f>IF(Y7&lt;&gt;"已平仓","",(SUMIFS('成交明细'!$H$5:$H$804,'成交明细'!$A$5:$A$804,A7,'成交明细'!$D$5:$D$804,"卖")-SUMIFS('成交明细'!$H$5:$H$804,'成交明细'!$A$5:$A$804,A7,'成交明细'!$D$5:$D$804,"买"))*1-AD7)</f>
        <v/>
      </c>
      <c r="AF7" s="45" t="str">
        <f>IF(AND(Y7="已平仓",ISNUMBER(L7)),(SUMIFS('成交明细'!$H$5:$H$804,'成交明细'!$A$5:$A$804,A7,'成交明细'!$D$5:$D$804,"卖")-SUMIFS('成交明细'!$H$5:$H$804,'成交明细'!$A$5:$A$804,A7,'成交明细'!$D$5:$D$804,"买"))*1/L7,"")</f>
        <v/>
      </c>
      <c r="AG7" s="45" t="str">
        <f>IF(AND(Y7="已平仓",ISNUMBER(L7)),AE7/L7,"")</f>
        <v/>
      </c>
      <c r="AH7" s="46" t="str">
        <f>IF(AND(ISNUMBER(V7),ISNUMBER(F7)),IF(E7="空",F7-V7,V7-F7),"")</f>
        <v/>
      </c>
      <c r="AI7" s="46" t="str">
        <f>IF(OR(NOT(ISNUMBER(AE7)),NOT(ISNUMBER(X7))),"",IF(AE7&lt;0,IF(E7="空",X7-G7,G7-X7),IF(NOT(ISNUMBER(H7)),"",IF(E7="空",X7-H7,H7-X7))))</f>
        <v/>
      </c>
      <c r="AJ7" s="32" t="n"/>
      <c r="AK7" s="32" t="n"/>
      <c r="AL7" s="31" t="n"/>
      <c r="AM7" s="45" t="str">
        <f>IF(A7="","",SUM(AG$5:AG7))</f>
        <v/>
      </c>
      <c r="AN7" s="37" t="str">
        <f>IF(A7="","",MAX(0,MAX(AM$5:AM7))-AM7)</f>
        <v/>
      </c>
    </row>
    <row r="8">
      <c r="A8" s="29" t="n"/>
      <c r="B8" s="30" t="n"/>
      <c r="C8" s="31" t="n"/>
      <c r="D8" s="32" t="n"/>
      <c r="E8" s="32" t="n"/>
      <c r="F8" s="33" t="n"/>
      <c r="G8" s="33" t="n"/>
      <c r="H8" s="33" t="n"/>
      <c r="I8" s="34" t="str">
        <f>IF(AND(ISNUMBER(F8),ISNUMBER(G8),ISNUMBER(H8)),IF(OR(AND(E8="多",F8&gt;G8),AND(E8="空",F8&lt;G8)),ABS(H8-F8)/ABS(F8-G8),"止损方向不对"),"")</f>
        <v/>
      </c>
      <c r="J8" s="35" t="str">
        <f>IF(AND(ISNUMBER(F8),ISNUMBER(G8)),IF(F8=G8,"",IF(INT(ROUND('参数'!$C$7/(ABS(F8-G8)*1+2*'参数'!$C$11+N('参数'!$C$14)*F8+N('参数'!$C$15))/1,6))*1&gt;0,INT(ROUND('参数'!$C$7/(ABS(F8-G8)*1+2*'参数'!$C$11+N('参数'!$C$14)*F8+N('参数'!$C$15))/1,6))*1,"预算不足，这笔不做")),"")</f>
        <v/>
      </c>
      <c r="K8" s="36" t="n"/>
      <c r="L8" s="20" t="str">
        <f>IF(AND(ISNUMBER(F8),ISNUMBER(G8),ISNUMBER(K8)),IF(AND(F8&lt;&gt;G8,K8&gt;0),ABS(F8-G8)*K8*1,""),"")</f>
        <v/>
      </c>
      <c r="M8" s="30" t="n"/>
      <c r="N8" s="37" t="str">
        <f>IF(AND(ISNUMBER(L8),ISNUMBER(M8)),IF(E8="空",(G8*(1+'参数'!$C$17)-F8),(F8-G8*(1-'参数'!$C$17)))*K8/L8,"")</f>
        <v/>
      </c>
      <c r="O8" s="38" t="n"/>
      <c r="P8" s="31" t="n"/>
      <c r="Q8" s="32" t="n"/>
      <c r="R8" s="39" t="str">
        <f>IF(N(U8)&gt;0,SUMPRODUCT(LARGE(('成交明细'!$A$5:$A$804=A8)*('成交明细'!$D$5:$D$804=IF(E8="空","卖","买"))*'成交明细'!$B$5:$B$804,COUNTIFS('成交明细'!$A$5:$A$804,A8,'成交明细'!$D$5:$D$804,IF(E8="空","卖","买")))),"")</f>
        <v/>
      </c>
      <c r="S8" s="39" t="str">
        <f>IF(AND(N(U8)&gt;0,N(W8)&gt;=N(U8)),SUMPRODUCT(MAX(('成交明细'!$A$5:$A$804=A8)*('成交明细'!$D$5:$D$804=IF(E8="空","买","卖"))*'成交明细'!$B$5:$B$804)),"")</f>
        <v/>
      </c>
      <c r="T8" s="32" t="n"/>
      <c r="U8" s="35" t="str">
        <f>IF(A8="","",SUMIFS('成交明细'!$F$5:$F$804,'成交明细'!$A$5:$A$804,A8,'成交明细'!$D$5:$D$804,IF(E8="空","卖","买")))</f>
        <v/>
      </c>
      <c r="V8" s="40" t="str">
        <f>IF(N(U8)&gt;0,SUMIFS('成交明细'!$H$5:$H$804,'成交明细'!$A$5:$A$804,A8,'成交明细'!$D$5:$D$804,IF(E8="空","卖","买"))/U8,"")</f>
        <v/>
      </c>
      <c r="W8" s="35" t="str">
        <f>IF(A8="","",SUMIFS('成交明细'!$F$5:$F$804,'成交明细'!$A$5:$A$804,A8,'成交明细'!$D$5:$D$804,IF(E8="空","买","卖")))</f>
        <v/>
      </c>
      <c r="X8" s="40" t="str">
        <f>IF(N(W8)&gt;0,SUMIFS('成交明细'!$H$5:$H$804,'成交明细'!$A$5:$A$804,A8,'成交明细'!$D$5:$D$804,IF(E8="空","买","卖"))/W8,"")</f>
        <v/>
      </c>
      <c r="Y8" s="41" t="str">
        <f>IF(A8="","",IF(Q8&lt;&gt;"已执行",IF(Q8="","未填执行情况",Q8),IF(N(U8)=0,"待录成交",IF(N(W8)&gt;N(U8),"平仓多于开仓",IF(N(W8)&lt;N(U8),"持仓中","已平仓")))))</f>
        <v/>
      </c>
      <c r="Z8" s="41" t="str">
        <f>IF(AND(ISNUMBER(R8),ISNUMBER(S8)),IF(R8=S8,"日内",""),"")</f>
        <v/>
      </c>
      <c r="AA8" s="42" t="str">
        <f>IF(Z8&lt;&gt;"日内","",COUNTIFS($Z$5:$Z$304,"日内",$S$5:$S$304,"&gt;"&amp;WORKDAY(S8,-5),$S$5:$S$304,"&lt;="&amp;S8))</f>
        <v/>
      </c>
      <c r="AB8" s="41" t="str">
        <f>IF(OR(NOT(ISNUMBER(M8)),NOT(ISNUMBER(R8))),"",IF(AND(M8&gt;=R8,OR(NOT(ISNUMBER(S8)),M8&lt;=S8)),"持仓跨财报",""))</f>
        <v/>
      </c>
      <c r="AC8" s="20">
        <f>IF(AND(E8="空",ISNUMBER(O8),ISNUMBER(S8)),ROUND(O8*(S8-R8)/360*V8*U8,2),0)</f>
        <v>0</v>
      </c>
      <c r="AD8" s="43" t="str">
        <f>IF(N(U8)=0,"",SUMIFS('成交明细'!$L$5:$L$804,'成交明细'!$A$5:$A$804,A8)+AC8)</f>
        <v/>
      </c>
      <c r="AE8" s="44" t="str">
        <f>IF(Y8&lt;&gt;"已平仓","",(SUMIFS('成交明细'!$H$5:$H$804,'成交明细'!$A$5:$A$804,A8,'成交明细'!$D$5:$D$804,"卖")-SUMIFS('成交明细'!$H$5:$H$804,'成交明细'!$A$5:$A$804,A8,'成交明细'!$D$5:$D$804,"买"))*1-AD8)</f>
        <v/>
      </c>
      <c r="AF8" s="45" t="str">
        <f>IF(AND(Y8="已平仓",ISNUMBER(L8)),(SUMIFS('成交明细'!$H$5:$H$804,'成交明细'!$A$5:$A$804,A8,'成交明细'!$D$5:$D$804,"卖")-SUMIFS('成交明细'!$H$5:$H$804,'成交明细'!$A$5:$A$804,A8,'成交明细'!$D$5:$D$804,"买"))*1/L8,"")</f>
        <v/>
      </c>
      <c r="AG8" s="45" t="str">
        <f>IF(AND(Y8="已平仓",ISNUMBER(L8)),AE8/L8,"")</f>
        <v/>
      </c>
      <c r="AH8" s="46" t="str">
        <f>IF(AND(ISNUMBER(V8),ISNUMBER(F8)),IF(E8="空",F8-V8,V8-F8),"")</f>
        <v/>
      </c>
      <c r="AI8" s="46" t="str">
        <f>IF(OR(NOT(ISNUMBER(AE8)),NOT(ISNUMBER(X8))),"",IF(AE8&lt;0,IF(E8="空",X8-G8,G8-X8),IF(NOT(ISNUMBER(H8)),"",IF(E8="空",X8-H8,H8-X8))))</f>
        <v/>
      </c>
      <c r="AJ8" s="32" t="n"/>
      <c r="AK8" s="32" t="n"/>
      <c r="AL8" s="31" t="n"/>
      <c r="AM8" s="45" t="str">
        <f>IF(A8="","",SUM(AG$5:AG8))</f>
        <v/>
      </c>
      <c r="AN8" s="37" t="str">
        <f>IF(A8="","",MAX(0,MAX(AM$5:AM8))-AM8)</f>
        <v/>
      </c>
    </row>
    <row r="9">
      <c r="A9" s="29" t="n"/>
      <c r="B9" s="30" t="n"/>
      <c r="C9" s="31" t="n"/>
      <c r="D9" s="32" t="n"/>
      <c r="E9" s="32" t="n"/>
      <c r="F9" s="33" t="n"/>
      <c r="G9" s="33" t="n"/>
      <c r="H9" s="33" t="n"/>
      <c r="I9" s="34" t="str">
        <f>IF(AND(ISNUMBER(F9),ISNUMBER(G9),ISNUMBER(H9)),IF(OR(AND(E9="多",F9&gt;G9),AND(E9="空",F9&lt;G9)),ABS(H9-F9)/ABS(F9-G9),"止损方向不对"),"")</f>
        <v/>
      </c>
      <c r="J9" s="35" t="str">
        <f>IF(AND(ISNUMBER(F9),ISNUMBER(G9)),IF(F9=G9,"",IF(INT(ROUND('参数'!$C$7/(ABS(F9-G9)*1+2*'参数'!$C$11+N('参数'!$C$14)*F9+N('参数'!$C$15))/1,6))*1&gt;0,INT(ROUND('参数'!$C$7/(ABS(F9-G9)*1+2*'参数'!$C$11+N('参数'!$C$14)*F9+N('参数'!$C$15))/1,6))*1,"预算不足，这笔不做")),"")</f>
        <v/>
      </c>
      <c r="K9" s="36" t="n"/>
      <c r="L9" s="20" t="str">
        <f>IF(AND(ISNUMBER(F9),ISNUMBER(G9),ISNUMBER(K9)),IF(AND(F9&lt;&gt;G9,K9&gt;0),ABS(F9-G9)*K9*1,""),"")</f>
        <v/>
      </c>
      <c r="M9" s="30" t="n"/>
      <c r="N9" s="37" t="str">
        <f>IF(AND(ISNUMBER(L9),ISNUMBER(M9)),IF(E9="空",(G9*(1+'参数'!$C$17)-F9),(F9-G9*(1-'参数'!$C$17)))*K9/L9,"")</f>
        <v/>
      </c>
      <c r="O9" s="38" t="n"/>
      <c r="P9" s="31" t="n"/>
      <c r="Q9" s="32" t="n"/>
      <c r="R9" s="39" t="str">
        <f>IF(N(U9)&gt;0,SUMPRODUCT(LARGE(('成交明细'!$A$5:$A$804=A9)*('成交明细'!$D$5:$D$804=IF(E9="空","卖","买"))*'成交明细'!$B$5:$B$804,COUNTIFS('成交明细'!$A$5:$A$804,A9,'成交明细'!$D$5:$D$804,IF(E9="空","卖","买")))),"")</f>
        <v/>
      </c>
      <c r="S9" s="39" t="str">
        <f>IF(AND(N(U9)&gt;0,N(W9)&gt;=N(U9)),SUMPRODUCT(MAX(('成交明细'!$A$5:$A$804=A9)*('成交明细'!$D$5:$D$804=IF(E9="空","买","卖"))*'成交明细'!$B$5:$B$804)),"")</f>
        <v/>
      </c>
      <c r="T9" s="32" t="n"/>
      <c r="U9" s="35" t="str">
        <f>IF(A9="","",SUMIFS('成交明细'!$F$5:$F$804,'成交明细'!$A$5:$A$804,A9,'成交明细'!$D$5:$D$804,IF(E9="空","卖","买")))</f>
        <v/>
      </c>
      <c r="V9" s="40" t="str">
        <f>IF(N(U9)&gt;0,SUMIFS('成交明细'!$H$5:$H$804,'成交明细'!$A$5:$A$804,A9,'成交明细'!$D$5:$D$804,IF(E9="空","卖","买"))/U9,"")</f>
        <v/>
      </c>
      <c r="W9" s="35" t="str">
        <f>IF(A9="","",SUMIFS('成交明细'!$F$5:$F$804,'成交明细'!$A$5:$A$804,A9,'成交明细'!$D$5:$D$804,IF(E9="空","买","卖")))</f>
        <v/>
      </c>
      <c r="X9" s="40" t="str">
        <f>IF(N(W9)&gt;0,SUMIFS('成交明细'!$H$5:$H$804,'成交明细'!$A$5:$A$804,A9,'成交明细'!$D$5:$D$804,IF(E9="空","买","卖"))/W9,"")</f>
        <v/>
      </c>
      <c r="Y9" s="41" t="str">
        <f>IF(A9="","",IF(Q9&lt;&gt;"已执行",IF(Q9="","未填执行情况",Q9),IF(N(U9)=0,"待录成交",IF(N(W9)&gt;N(U9),"平仓多于开仓",IF(N(W9)&lt;N(U9),"持仓中","已平仓")))))</f>
        <v/>
      </c>
      <c r="Z9" s="41" t="str">
        <f>IF(AND(ISNUMBER(R9),ISNUMBER(S9)),IF(R9=S9,"日内",""),"")</f>
        <v/>
      </c>
      <c r="AA9" s="42" t="str">
        <f>IF(Z9&lt;&gt;"日内","",COUNTIFS($Z$5:$Z$304,"日内",$S$5:$S$304,"&gt;"&amp;WORKDAY(S9,-5),$S$5:$S$304,"&lt;="&amp;S9))</f>
        <v/>
      </c>
      <c r="AB9" s="41" t="str">
        <f>IF(OR(NOT(ISNUMBER(M9)),NOT(ISNUMBER(R9))),"",IF(AND(M9&gt;=R9,OR(NOT(ISNUMBER(S9)),M9&lt;=S9)),"持仓跨财报",""))</f>
        <v/>
      </c>
      <c r="AC9" s="20">
        <f>IF(AND(E9="空",ISNUMBER(O9),ISNUMBER(S9)),ROUND(O9*(S9-R9)/360*V9*U9,2),0)</f>
        <v>0</v>
      </c>
      <c r="AD9" s="43" t="str">
        <f>IF(N(U9)=0,"",SUMIFS('成交明细'!$L$5:$L$804,'成交明细'!$A$5:$A$804,A9)+AC9)</f>
        <v/>
      </c>
      <c r="AE9" s="44" t="str">
        <f>IF(Y9&lt;&gt;"已平仓","",(SUMIFS('成交明细'!$H$5:$H$804,'成交明细'!$A$5:$A$804,A9,'成交明细'!$D$5:$D$804,"卖")-SUMIFS('成交明细'!$H$5:$H$804,'成交明细'!$A$5:$A$804,A9,'成交明细'!$D$5:$D$804,"买"))*1-AD9)</f>
        <v/>
      </c>
      <c r="AF9" s="45" t="str">
        <f>IF(AND(Y9="已平仓",ISNUMBER(L9)),(SUMIFS('成交明细'!$H$5:$H$804,'成交明细'!$A$5:$A$804,A9,'成交明细'!$D$5:$D$804,"卖")-SUMIFS('成交明细'!$H$5:$H$804,'成交明细'!$A$5:$A$804,A9,'成交明细'!$D$5:$D$804,"买"))*1/L9,"")</f>
        <v/>
      </c>
      <c r="AG9" s="45" t="str">
        <f>IF(AND(Y9="已平仓",ISNUMBER(L9)),AE9/L9,"")</f>
        <v/>
      </c>
      <c r="AH9" s="46" t="str">
        <f>IF(AND(ISNUMBER(V9),ISNUMBER(F9)),IF(E9="空",F9-V9,V9-F9),"")</f>
        <v/>
      </c>
      <c r="AI9" s="46" t="str">
        <f>IF(OR(NOT(ISNUMBER(AE9)),NOT(ISNUMBER(X9))),"",IF(AE9&lt;0,IF(E9="空",X9-G9,G9-X9),IF(NOT(ISNUMBER(H9)),"",IF(E9="空",X9-H9,H9-X9))))</f>
        <v/>
      </c>
      <c r="AJ9" s="32" t="n"/>
      <c r="AK9" s="32" t="n"/>
      <c r="AL9" s="31" t="n"/>
      <c r="AM9" s="45" t="str">
        <f>IF(A9="","",SUM(AG$5:AG9))</f>
        <v/>
      </c>
      <c r="AN9" s="37" t="str">
        <f>IF(A9="","",MAX(0,MAX(AM$5:AM9))-AM9)</f>
        <v/>
      </c>
    </row>
    <row r="10">
      <c r="A10" s="29" t="n"/>
      <c r="B10" s="30" t="n"/>
      <c r="C10" s="31" t="n"/>
      <c r="D10" s="32" t="n"/>
      <c r="E10" s="32" t="n"/>
      <c r="F10" s="33" t="n"/>
      <c r="G10" s="33" t="n"/>
      <c r="H10" s="33" t="n"/>
      <c r="I10" s="34" t="str">
        <f>IF(AND(ISNUMBER(F10),ISNUMBER(G10),ISNUMBER(H10)),IF(OR(AND(E10="多",F10&gt;G10),AND(E10="空",F10&lt;G10)),ABS(H10-F10)/ABS(F10-G10),"止损方向不对"),"")</f>
        <v/>
      </c>
      <c r="J10" s="35" t="str">
        <f>IF(AND(ISNUMBER(F10),ISNUMBER(G10)),IF(F10=G10,"",IF(INT(ROUND('参数'!$C$7/(ABS(F10-G10)*1+2*'参数'!$C$11+N('参数'!$C$14)*F10+N('参数'!$C$15))/1,6))*1&gt;0,INT(ROUND('参数'!$C$7/(ABS(F10-G10)*1+2*'参数'!$C$11+N('参数'!$C$14)*F10+N('参数'!$C$15))/1,6))*1,"预算不足，这笔不做")),"")</f>
        <v/>
      </c>
      <c r="K10" s="36" t="n"/>
      <c r="L10" s="20" t="str">
        <f>IF(AND(ISNUMBER(F10),ISNUMBER(G10),ISNUMBER(K10)),IF(AND(F10&lt;&gt;G10,K10&gt;0),ABS(F10-G10)*K10*1,""),"")</f>
        <v/>
      </c>
      <c r="M10" s="30" t="n"/>
      <c r="N10" s="37" t="str">
        <f>IF(AND(ISNUMBER(L10),ISNUMBER(M10)),IF(E10="空",(G10*(1+'参数'!$C$17)-F10),(F10-G10*(1-'参数'!$C$17)))*K10/L10,"")</f>
        <v/>
      </c>
      <c r="O10" s="38" t="n"/>
      <c r="P10" s="31" t="n"/>
      <c r="Q10" s="32" t="n"/>
      <c r="R10" s="39" t="str">
        <f>IF(N(U10)&gt;0,SUMPRODUCT(LARGE(('成交明细'!$A$5:$A$804=A10)*('成交明细'!$D$5:$D$804=IF(E10="空","卖","买"))*'成交明细'!$B$5:$B$804,COUNTIFS('成交明细'!$A$5:$A$804,A10,'成交明细'!$D$5:$D$804,IF(E10="空","卖","买")))),"")</f>
        <v/>
      </c>
      <c r="S10" s="39" t="str">
        <f>IF(AND(N(U10)&gt;0,N(W10)&gt;=N(U10)),SUMPRODUCT(MAX(('成交明细'!$A$5:$A$804=A10)*('成交明细'!$D$5:$D$804=IF(E10="空","买","卖"))*'成交明细'!$B$5:$B$804)),"")</f>
        <v/>
      </c>
      <c r="T10" s="32" t="n"/>
      <c r="U10" s="35" t="str">
        <f>IF(A10="","",SUMIFS('成交明细'!$F$5:$F$804,'成交明细'!$A$5:$A$804,A10,'成交明细'!$D$5:$D$804,IF(E10="空","卖","买")))</f>
        <v/>
      </c>
      <c r="V10" s="40" t="str">
        <f>IF(N(U10)&gt;0,SUMIFS('成交明细'!$H$5:$H$804,'成交明细'!$A$5:$A$804,A10,'成交明细'!$D$5:$D$804,IF(E10="空","卖","买"))/U10,"")</f>
        <v/>
      </c>
      <c r="W10" s="35" t="str">
        <f>IF(A10="","",SUMIFS('成交明细'!$F$5:$F$804,'成交明细'!$A$5:$A$804,A10,'成交明细'!$D$5:$D$804,IF(E10="空","买","卖")))</f>
        <v/>
      </c>
      <c r="X10" s="40" t="str">
        <f>IF(N(W10)&gt;0,SUMIFS('成交明细'!$H$5:$H$804,'成交明细'!$A$5:$A$804,A10,'成交明细'!$D$5:$D$804,IF(E10="空","买","卖"))/W10,"")</f>
        <v/>
      </c>
      <c r="Y10" s="41" t="str">
        <f>IF(A10="","",IF(Q10&lt;&gt;"已执行",IF(Q10="","未填执行情况",Q10),IF(N(U10)=0,"待录成交",IF(N(W10)&gt;N(U10),"平仓多于开仓",IF(N(W10)&lt;N(U10),"持仓中","已平仓")))))</f>
        <v/>
      </c>
      <c r="Z10" s="41" t="str">
        <f>IF(AND(ISNUMBER(R10),ISNUMBER(S10)),IF(R10=S10,"日内",""),"")</f>
        <v/>
      </c>
      <c r="AA10" s="42" t="str">
        <f>IF(Z10&lt;&gt;"日内","",COUNTIFS($Z$5:$Z$304,"日内",$S$5:$S$304,"&gt;"&amp;WORKDAY(S10,-5),$S$5:$S$304,"&lt;="&amp;S10))</f>
        <v/>
      </c>
      <c r="AB10" s="41" t="str">
        <f>IF(OR(NOT(ISNUMBER(M10)),NOT(ISNUMBER(R10))),"",IF(AND(M10&gt;=R10,OR(NOT(ISNUMBER(S10)),M10&lt;=S10)),"持仓跨财报",""))</f>
        <v/>
      </c>
      <c r="AC10" s="20">
        <f>IF(AND(E10="空",ISNUMBER(O10),ISNUMBER(S10)),ROUND(O10*(S10-R10)/360*V10*U10,2),0)</f>
        <v>0</v>
      </c>
      <c r="AD10" s="43" t="str">
        <f>IF(N(U10)=0,"",SUMIFS('成交明细'!$L$5:$L$804,'成交明细'!$A$5:$A$804,A10)+AC10)</f>
        <v/>
      </c>
      <c r="AE10" s="44" t="str">
        <f>IF(Y10&lt;&gt;"已平仓","",(SUMIFS('成交明细'!$H$5:$H$804,'成交明细'!$A$5:$A$804,A10,'成交明细'!$D$5:$D$804,"卖")-SUMIFS('成交明细'!$H$5:$H$804,'成交明细'!$A$5:$A$804,A10,'成交明细'!$D$5:$D$804,"买"))*1-AD10)</f>
        <v/>
      </c>
      <c r="AF10" s="45" t="str">
        <f>IF(AND(Y10="已平仓",ISNUMBER(L10)),(SUMIFS('成交明细'!$H$5:$H$804,'成交明细'!$A$5:$A$804,A10,'成交明细'!$D$5:$D$804,"卖")-SUMIFS('成交明细'!$H$5:$H$804,'成交明细'!$A$5:$A$804,A10,'成交明细'!$D$5:$D$804,"买"))*1/L10,"")</f>
        <v/>
      </c>
      <c r="AG10" s="45" t="str">
        <f>IF(AND(Y10="已平仓",ISNUMBER(L10)),AE10/L10,"")</f>
        <v/>
      </c>
      <c r="AH10" s="46" t="str">
        <f>IF(AND(ISNUMBER(V10),ISNUMBER(F10)),IF(E10="空",F10-V10,V10-F10),"")</f>
        <v/>
      </c>
      <c r="AI10" s="46" t="str">
        <f>IF(OR(NOT(ISNUMBER(AE10)),NOT(ISNUMBER(X10))),"",IF(AE10&lt;0,IF(E10="空",X10-G10,G10-X10),IF(NOT(ISNUMBER(H10)),"",IF(E10="空",X10-H10,H10-X10))))</f>
        <v/>
      </c>
      <c r="AJ10" s="32" t="n"/>
      <c r="AK10" s="32" t="n"/>
      <c r="AL10" s="31" t="n"/>
      <c r="AM10" s="45" t="str">
        <f>IF(A10="","",SUM(AG$5:AG10))</f>
        <v/>
      </c>
      <c r="AN10" s="37" t="str">
        <f>IF(A10="","",MAX(0,MAX(AM$5:AM10))-AM10)</f>
        <v/>
      </c>
    </row>
    <row r="11">
      <c r="A11" s="29" t="n"/>
      <c r="B11" s="30" t="n"/>
      <c r="C11" s="31" t="n"/>
      <c r="D11" s="32" t="n"/>
      <c r="E11" s="32" t="n"/>
      <c r="F11" s="33" t="n"/>
      <c r="G11" s="33" t="n"/>
      <c r="H11" s="33" t="n"/>
      <c r="I11" s="34" t="str">
        <f>IF(AND(ISNUMBER(F11),ISNUMBER(G11),ISNUMBER(H11)),IF(OR(AND(E11="多",F11&gt;G11),AND(E11="空",F11&lt;G11)),ABS(H11-F11)/ABS(F11-G11),"止损方向不对"),"")</f>
        <v/>
      </c>
      <c r="J11" s="35" t="str">
        <f>IF(AND(ISNUMBER(F11),ISNUMBER(G11)),IF(F11=G11,"",IF(INT(ROUND('参数'!$C$7/(ABS(F11-G11)*1+2*'参数'!$C$11+N('参数'!$C$14)*F11+N('参数'!$C$15))/1,6))*1&gt;0,INT(ROUND('参数'!$C$7/(ABS(F11-G11)*1+2*'参数'!$C$11+N('参数'!$C$14)*F11+N('参数'!$C$15))/1,6))*1,"预算不足，这笔不做")),"")</f>
        <v/>
      </c>
      <c r="K11" s="36" t="n"/>
      <c r="L11" s="20" t="str">
        <f>IF(AND(ISNUMBER(F11),ISNUMBER(G11),ISNUMBER(K11)),IF(AND(F11&lt;&gt;G11,K11&gt;0),ABS(F11-G11)*K11*1,""),"")</f>
        <v/>
      </c>
      <c r="M11" s="30" t="n"/>
      <c r="N11" s="37" t="str">
        <f>IF(AND(ISNUMBER(L11),ISNUMBER(M11)),IF(E11="空",(G11*(1+'参数'!$C$17)-F11),(F11-G11*(1-'参数'!$C$17)))*K11/L11,"")</f>
        <v/>
      </c>
      <c r="O11" s="38" t="n"/>
      <c r="P11" s="31" t="n"/>
      <c r="Q11" s="32" t="n"/>
      <c r="R11" s="39" t="str">
        <f>IF(N(U11)&gt;0,SUMPRODUCT(LARGE(('成交明细'!$A$5:$A$804=A11)*('成交明细'!$D$5:$D$804=IF(E11="空","卖","买"))*'成交明细'!$B$5:$B$804,COUNTIFS('成交明细'!$A$5:$A$804,A11,'成交明细'!$D$5:$D$804,IF(E11="空","卖","买")))),"")</f>
        <v/>
      </c>
      <c r="S11" s="39" t="str">
        <f>IF(AND(N(U11)&gt;0,N(W11)&gt;=N(U11)),SUMPRODUCT(MAX(('成交明细'!$A$5:$A$804=A11)*('成交明细'!$D$5:$D$804=IF(E11="空","买","卖"))*'成交明细'!$B$5:$B$804)),"")</f>
        <v/>
      </c>
      <c r="T11" s="32" t="n"/>
      <c r="U11" s="35" t="str">
        <f>IF(A11="","",SUMIFS('成交明细'!$F$5:$F$804,'成交明细'!$A$5:$A$804,A11,'成交明细'!$D$5:$D$804,IF(E11="空","卖","买")))</f>
        <v/>
      </c>
      <c r="V11" s="40" t="str">
        <f>IF(N(U11)&gt;0,SUMIFS('成交明细'!$H$5:$H$804,'成交明细'!$A$5:$A$804,A11,'成交明细'!$D$5:$D$804,IF(E11="空","卖","买"))/U11,"")</f>
        <v/>
      </c>
      <c r="W11" s="35" t="str">
        <f>IF(A11="","",SUMIFS('成交明细'!$F$5:$F$804,'成交明细'!$A$5:$A$804,A11,'成交明细'!$D$5:$D$804,IF(E11="空","买","卖")))</f>
        <v/>
      </c>
      <c r="X11" s="40" t="str">
        <f>IF(N(W11)&gt;0,SUMIFS('成交明细'!$H$5:$H$804,'成交明细'!$A$5:$A$804,A11,'成交明细'!$D$5:$D$804,IF(E11="空","买","卖"))/W11,"")</f>
        <v/>
      </c>
      <c r="Y11" s="41" t="str">
        <f>IF(A11="","",IF(Q11&lt;&gt;"已执行",IF(Q11="","未填执行情况",Q11),IF(N(U11)=0,"待录成交",IF(N(W11)&gt;N(U11),"平仓多于开仓",IF(N(W11)&lt;N(U11),"持仓中","已平仓")))))</f>
        <v/>
      </c>
      <c r="Z11" s="41" t="str">
        <f>IF(AND(ISNUMBER(R11),ISNUMBER(S11)),IF(R11=S11,"日内",""),"")</f>
        <v/>
      </c>
      <c r="AA11" s="42" t="str">
        <f>IF(Z11&lt;&gt;"日内","",COUNTIFS($Z$5:$Z$304,"日内",$S$5:$S$304,"&gt;"&amp;WORKDAY(S11,-5),$S$5:$S$304,"&lt;="&amp;S11))</f>
        <v/>
      </c>
      <c r="AB11" s="41" t="str">
        <f>IF(OR(NOT(ISNUMBER(M11)),NOT(ISNUMBER(R11))),"",IF(AND(M11&gt;=R11,OR(NOT(ISNUMBER(S11)),M11&lt;=S11)),"持仓跨财报",""))</f>
        <v/>
      </c>
      <c r="AC11" s="20">
        <f>IF(AND(E11="空",ISNUMBER(O11),ISNUMBER(S11)),ROUND(O11*(S11-R11)/360*V11*U11,2),0)</f>
        <v>0</v>
      </c>
      <c r="AD11" s="43" t="str">
        <f>IF(N(U11)=0,"",SUMIFS('成交明细'!$L$5:$L$804,'成交明细'!$A$5:$A$804,A11)+AC11)</f>
        <v/>
      </c>
      <c r="AE11" s="44" t="str">
        <f>IF(Y11&lt;&gt;"已平仓","",(SUMIFS('成交明细'!$H$5:$H$804,'成交明细'!$A$5:$A$804,A11,'成交明细'!$D$5:$D$804,"卖")-SUMIFS('成交明细'!$H$5:$H$804,'成交明细'!$A$5:$A$804,A11,'成交明细'!$D$5:$D$804,"买"))*1-AD11)</f>
        <v/>
      </c>
      <c r="AF11" s="45" t="str">
        <f>IF(AND(Y11="已平仓",ISNUMBER(L11)),(SUMIFS('成交明细'!$H$5:$H$804,'成交明细'!$A$5:$A$804,A11,'成交明细'!$D$5:$D$804,"卖")-SUMIFS('成交明细'!$H$5:$H$804,'成交明细'!$A$5:$A$804,A11,'成交明细'!$D$5:$D$804,"买"))*1/L11,"")</f>
        <v/>
      </c>
      <c r="AG11" s="45" t="str">
        <f>IF(AND(Y11="已平仓",ISNUMBER(L11)),AE11/L11,"")</f>
        <v/>
      </c>
      <c r="AH11" s="46" t="str">
        <f>IF(AND(ISNUMBER(V11),ISNUMBER(F11)),IF(E11="空",F11-V11,V11-F11),"")</f>
        <v/>
      </c>
      <c r="AI11" s="46" t="str">
        <f>IF(OR(NOT(ISNUMBER(AE11)),NOT(ISNUMBER(X11))),"",IF(AE11&lt;0,IF(E11="空",X11-G11,G11-X11),IF(NOT(ISNUMBER(H11)),"",IF(E11="空",X11-H11,H11-X11))))</f>
        <v/>
      </c>
      <c r="AJ11" s="32" t="n"/>
      <c r="AK11" s="32" t="n"/>
      <c r="AL11" s="31" t="n"/>
      <c r="AM11" s="45" t="str">
        <f>IF(A11="","",SUM(AG$5:AG11))</f>
        <v/>
      </c>
      <c r="AN11" s="37" t="str">
        <f>IF(A11="","",MAX(0,MAX(AM$5:AM11))-AM11)</f>
        <v/>
      </c>
    </row>
    <row r="12">
      <c r="A12" s="29" t="n"/>
      <c r="B12" s="30" t="n"/>
      <c r="C12" s="31" t="n"/>
      <c r="D12" s="32" t="n"/>
      <c r="E12" s="32" t="n"/>
      <c r="F12" s="33" t="n"/>
      <c r="G12" s="33" t="n"/>
      <c r="H12" s="33" t="n"/>
      <c r="I12" s="34" t="str">
        <f>IF(AND(ISNUMBER(F12),ISNUMBER(G12),ISNUMBER(H12)),IF(OR(AND(E12="多",F12&gt;G12),AND(E12="空",F12&lt;G12)),ABS(H12-F12)/ABS(F12-G12),"止损方向不对"),"")</f>
        <v/>
      </c>
      <c r="J12" s="35" t="str">
        <f>IF(AND(ISNUMBER(F12),ISNUMBER(G12)),IF(F12=G12,"",IF(INT(ROUND('参数'!$C$7/(ABS(F12-G12)*1+2*'参数'!$C$11+N('参数'!$C$14)*F12+N('参数'!$C$15))/1,6))*1&gt;0,INT(ROUND('参数'!$C$7/(ABS(F12-G12)*1+2*'参数'!$C$11+N('参数'!$C$14)*F12+N('参数'!$C$15))/1,6))*1,"预算不足，这笔不做")),"")</f>
        <v/>
      </c>
      <c r="K12" s="36" t="n"/>
      <c r="L12" s="20" t="str">
        <f>IF(AND(ISNUMBER(F12),ISNUMBER(G12),ISNUMBER(K12)),IF(AND(F12&lt;&gt;G12,K12&gt;0),ABS(F12-G12)*K12*1,""),"")</f>
        <v/>
      </c>
      <c r="M12" s="30" t="n"/>
      <c r="N12" s="37" t="str">
        <f>IF(AND(ISNUMBER(L12),ISNUMBER(M12)),IF(E12="空",(G12*(1+'参数'!$C$17)-F12),(F12-G12*(1-'参数'!$C$17)))*K12/L12,"")</f>
        <v/>
      </c>
      <c r="O12" s="38" t="n"/>
      <c r="P12" s="31" t="n"/>
      <c r="Q12" s="32" t="n"/>
      <c r="R12" s="39" t="str">
        <f>IF(N(U12)&gt;0,SUMPRODUCT(LARGE(('成交明细'!$A$5:$A$804=A12)*('成交明细'!$D$5:$D$804=IF(E12="空","卖","买"))*'成交明细'!$B$5:$B$804,COUNTIFS('成交明细'!$A$5:$A$804,A12,'成交明细'!$D$5:$D$804,IF(E12="空","卖","买")))),"")</f>
        <v/>
      </c>
      <c r="S12" s="39" t="str">
        <f>IF(AND(N(U12)&gt;0,N(W12)&gt;=N(U12)),SUMPRODUCT(MAX(('成交明细'!$A$5:$A$804=A12)*('成交明细'!$D$5:$D$804=IF(E12="空","买","卖"))*'成交明细'!$B$5:$B$804)),"")</f>
        <v/>
      </c>
      <c r="T12" s="32" t="n"/>
      <c r="U12" s="35" t="str">
        <f>IF(A12="","",SUMIFS('成交明细'!$F$5:$F$804,'成交明细'!$A$5:$A$804,A12,'成交明细'!$D$5:$D$804,IF(E12="空","卖","买")))</f>
        <v/>
      </c>
      <c r="V12" s="40" t="str">
        <f>IF(N(U12)&gt;0,SUMIFS('成交明细'!$H$5:$H$804,'成交明细'!$A$5:$A$804,A12,'成交明细'!$D$5:$D$804,IF(E12="空","卖","买"))/U12,"")</f>
        <v/>
      </c>
      <c r="W12" s="35" t="str">
        <f>IF(A12="","",SUMIFS('成交明细'!$F$5:$F$804,'成交明细'!$A$5:$A$804,A12,'成交明细'!$D$5:$D$804,IF(E12="空","买","卖")))</f>
        <v/>
      </c>
      <c r="X12" s="40" t="str">
        <f>IF(N(W12)&gt;0,SUMIFS('成交明细'!$H$5:$H$804,'成交明细'!$A$5:$A$804,A12,'成交明细'!$D$5:$D$804,IF(E12="空","买","卖"))/W12,"")</f>
        <v/>
      </c>
      <c r="Y12" s="41" t="str">
        <f>IF(A12="","",IF(Q12&lt;&gt;"已执行",IF(Q12="","未填执行情况",Q12),IF(N(U12)=0,"待录成交",IF(N(W12)&gt;N(U12),"平仓多于开仓",IF(N(W12)&lt;N(U12),"持仓中","已平仓")))))</f>
        <v/>
      </c>
      <c r="Z12" s="41" t="str">
        <f>IF(AND(ISNUMBER(R12),ISNUMBER(S12)),IF(R12=S12,"日内",""),"")</f>
        <v/>
      </c>
      <c r="AA12" s="42" t="str">
        <f>IF(Z12&lt;&gt;"日内","",COUNTIFS($Z$5:$Z$304,"日内",$S$5:$S$304,"&gt;"&amp;WORKDAY(S12,-5),$S$5:$S$304,"&lt;="&amp;S12))</f>
        <v/>
      </c>
      <c r="AB12" s="41" t="str">
        <f>IF(OR(NOT(ISNUMBER(M12)),NOT(ISNUMBER(R12))),"",IF(AND(M12&gt;=R12,OR(NOT(ISNUMBER(S12)),M12&lt;=S12)),"持仓跨财报",""))</f>
        <v/>
      </c>
      <c r="AC12" s="20">
        <f>IF(AND(E12="空",ISNUMBER(O12),ISNUMBER(S12)),ROUND(O12*(S12-R12)/360*V12*U12,2),0)</f>
        <v>0</v>
      </c>
      <c r="AD12" s="43" t="str">
        <f>IF(N(U12)=0,"",SUMIFS('成交明细'!$L$5:$L$804,'成交明细'!$A$5:$A$804,A12)+AC12)</f>
        <v/>
      </c>
      <c r="AE12" s="44" t="str">
        <f>IF(Y12&lt;&gt;"已平仓","",(SUMIFS('成交明细'!$H$5:$H$804,'成交明细'!$A$5:$A$804,A12,'成交明细'!$D$5:$D$804,"卖")-SUMIFS('成交明细'!$H$5:$H$804,'成交明细'!$A$5:$A$804,A12,'成交明细'!$D$5:$D$804,"买"))*1-AD12)</f>
        <v/>
      </c>
      <c r="AF12" s="45" t="str">
        <f>IF(AND(Y12="已平仓",ISNUMBER(L12)),(SUMIFS('成交明细'!$H$5:$H$804,'成交明细'!$A$5:$A$804,A12,'成交明细'!$D$5:$D$804,"卖")-SUMIFS('成交明细'!$H$5:$H$804,'成交明细'!$A$5:$A$804,A12,'成交明细'!$D$5:$D$804,"买"))*1/L12,"")</f>
        <v/>
      </c>
      <c r="AG12" s="45" t="str">
        <f>IF(AND(Y12="已平仓",ISNUMBER(L12)),AE12/L12,"")</f>
        <v/>
      </c>
      <c r="AH12" s="46" t="str">
        <f>IF(AND(ISNUMBER(V12),ISNUMBER(F12)),IF(E12="空",F12-V12,V12-F12),"")</f>
        <v/>
      </c>
      <c r="AI12" s="46" t="str">
        <f>IF(OR(NOT(ISNUMBER(AE12)),NOT(ISNUMBER(X12))),"",IF(AE12&lt;0,IF(E12="空",X12-G12,G12-X12),IF(NOT(ISNUMBER(H12)),"",IF(E12="空",X12-H12,H12-X12))))</f>
        <v/>
      </c>
      <c r="AJ12" s="32" t="n"/>
      <c r="AK12" s="32" t="n"/>
      <c r="AL12" s="31" t="n"/>
      <c r="AM12" s="45" t="str">
        <f>IF(A12="","",SUM(AG$5:AG12))</f>
        <v/>
      </c>
      <c r="AN12" s="37" t="str">
        <f>IF(A12="","",MAX(0,MAX(AM$5:AM12))-AM12)</f>
        <v/>
      </c>
    </row>
    <row r="13">
      <c r="A13" s="29" t="n"/>
      <c r="B13" s="30" t="n"/>
      <c r="C13" s="31" t="n"/>
      <c r="D13" s="32" t="n"/>
      <c r="E13" s="32" t="n"/>
      <c r="F13" s="33" t="n"/>
      <c r="G13" s="33" t="n"/>
      <c r="H13" s="33" t="n"/>
      <c r="I13" s="34" t="str">
        <f>IF(AND(ISNUMBER(F13),ISNUMBER(G13),ISNUMBER(H13)),IF(OR(AND(E13="多",F13&gt;G13),AND(E13="空",F13&lt;G13)),ABS(H13-F13)/ABS(F13-G13),"止损方向不对"),"")</f>
        <v/>
      </c>
      <c r="J13" s="35" t="str">
        <f>IF(AND(ISNUMBER(F13),ISNUMBER(G13)),IF(F13=G13,"",IF(INT(ROUND('参数'!$C$7/(ABS(F13-G13)*1+2*'参数'!$C$11+N('参数'!$C$14)*F13+N('参数'!$C$15))/1,6))*1&gt;0,INT(ROUND('参数'!$C$7/(ABS(F13-G13)*1+2*'参数'!$C$11+N('参数'!$C$14)*F13+N('参数'!$C$15))/1,6))*1,"预算不足，这笔不做")),"")</f>
        <v/>
      </c>
      <c r="K13" s="36" t="n"/>
      <c r="L13" s="20" t="str">
        <f>IF(AND(ISNUMBER(F13),ISNUMBER(G13),ISNUMBER(K13)),IF(AND(F13&lt;&gt;G13,K13&gt;0),ABS(F13-G13)*K13*1,""),"")</f>
        <v/>
      </c>
      <c r="M13" s="30" t="n"/>
      <c r="N13" s="37" t="str">
        <f>IF(AND(ISNUMBER(L13),ISNUMBER(M13)),IF(E13="空",(G13*(1+'参数'!$C$17)-F13),(F13-G13*(1-'参数'!$C$17)))*K13/L13,"")</f>
        <v/>
      </c>
      <c r="O13" s="38" t="n"/>
      <c r="P13" s="31" t="n"/>
      <c r="Q13" s="32" t="n"/>
      <c r="R13" s="39" t="str">
        <f>IF(N(U13)&gt;0,SUMPRODUCT(LARGE(('成交明细'!$A$5:$A$804=A13)*('成交明细'!$D$5:$D$804=IF(E13="空","卖","买"))*'成交明细'!$B$5:$B$804,COUNTIFS('成交明细'!$A$5:$A$804,A13,'成交明细'!$D$5:$D$804,IF(E13="空","卖","买")))),"")</f>
        <v/>
      </c>
      <c r="S13" s="39" t="str">
        <f>IF(AND(N(U13)&gt;0,N(W13)&gt;=N(U13)),SUMPRODUCT(MAX(('成交明细'!$A$5:$A$804=A13)*('成交明细'!$D$5:$D$804=IF(E13="空","买","卖"))*'成交明细'!$B$5:$B$804)),"")</f>
        <v/>
      </c>
      <c r="T13" s="32" t="n"/>
      <c r="U13" s="35" t="str">
        <f>IF(A13="","",SUMIFS('成交明细'!$F$5:$F$804,'成交明细'!$A$5:$A$804,A13,'成交明细'!$D$5:$D$804,IF(E13="空","卖","买")))</f>
        <v/>
      </c>
      <c r="V13" s="40" t="str">
        <f>IF(N(U13)&gt;0,SUMIFS('成交明细'!$H$5:$H$804,'成交明细'!$A$5:$A$804,A13,'成交明细'!$D$5:$D$804,IF(E13="空","卖","买"))/U13,"")</f>
        <v/>
      </c>
      <c r="W13" s="35" t="str">
        <f>IF(A13="","",SUMIFS('成交明细'!$F$5:$F$804,'成交明细'!$A$5:$A$804,A13,'成交明细'!$D$5:$D$804,IF(E13="空","买","卖")))</f>
        <v/>
      </c>
      <c r="X13" s="40" t="str">
        <f>IF(N(W13)&gt;0,SUMIFS('成交明细'!$H$5:$H$804,'成交明细'!$A$5:$A$804,A13,'成交明细'!$D$5:$D$804,IF(E13="空","买","卖"))/W13,"")</f>
        <v/>
      </c>
      <c r="Y13" s="41" t="str">
        <f>IF(A13="","",IF(Q13&lt;&gt;"已执行",IF(Q13="","未填执行情况",Q13),IF(N(U13)=0,"待录成交",IF(N(W13)&gt;N(U13),"平仓多于开仓",IF(N(W13)&lt;N(U13),"持仓中","已平仓")))))</f>
        <v/>
      </c>
      <c r="Z13" s="41" t="str">
        <f>IF(AND(ISNUMBER(R13),ISNUMBER(S13)),IF(R13=S13,"日内",""),"")</f>
        <v/>
      </c>
      <c r="AA13" s="42" t="str">
        <f>IF(Z13&lt;&gt;"日内","",COUNTIFS($Z$5:$Z$304,"日内",$S$5:$S$304,"&gt;"&amp;WORKDAY(S13,-5),$S$5:$S$304,"&lt;="&amp;S13))</f>
        <v/>
      </c>
      <c r="AB13" s="41" t="str">
        <f>IF(OR(NOT(ISNUMBER(M13)),NOT(ISNUMBER(R13))),"",IF(AND(M13&gt;=R13,OR(NOT(ISNUMBER(S13)),M13&lt;=S13)),"持仓跨财报",""))</f>
        <v/>
      </c>
      <c r="AC13" s="20">
        <f>IF(AND(E13="空",ISNUMBER(O13),ISNUMBER(S13)),ROUND(O13*(S13-R13)/360*V13*U13,2),0)</f>
        <v>0</v>
      </c>
      <c r="AD13" s="43" t="str">
        <f>IF(N(U13)=0,"",SUMIFS('成交明细'!$L$5:$L$804,'成交明细'!$A$5:$A$804,A13)+AC13)</f>
        <v/>
      </c>
      <c r="AE13" s="44" t="str">
        <f>IF(Y13&lt;&gt;"已平仓","",(SUMIFS('成交明细'!$H$5:$H$804,'成交明细'!$A$5:$A$804,A13,'成交明细'!$D$5:$D$804,"卖")-SUMIFS('成交明细'!$H$5:$H$804,'成交明细'!$A$5:$A$804,A13,'成交明细'!$D$5:$D$804,"买"))*1-AD13)</f>
        <v/>
      </c>
      <c r="AF13" s="45" t="str">
        <f>IF(AND(Y13="已平仓",ISNUMBER(L13)),(SUMIFS('成交明细'!$H$5:$H$804,'成交明细'!$A$5:$A$804,A13,'成交明细'!$D$5:$D$804,"卖")-SUMIFS('成交明细'!$H$5:$H$804,'成交明细'!$A$5:$A$804,A13,'成交明细'!$D$5:$D$804,"买"))*1/L13,"")</f>
        <v/>
      </c>
      <c r="AG13" s="45" t="str">
        <f>IF(AND(Y13="已平仓",ISNUMBER(L13)),AE13/L13,"")</f>
        <v/>
      </c>
      <c r="AH13" s="46" t="str">
        <f>IF(AND(ISNUMBER(V13),ISNUMBER(F13)),IF(E13="空",F13-V13,V13-F13),"")</f>
        <v/>
      </c>
      <c r="AI13" s="46" t="str">
        <f>IF(OR(NOT(ISNUMBER(AE13)),NOT(ISNUMBER(X13))),"",IF(AE13&lt;0,IF(E13="空",X13-G13,G13-X13),IF(NOT(ISNUMBER(H13)),"",IF(E13="空",X13-H13,H13-X13))))</f>
        <v/>
      </c>
      <c r="AJ13" s="32" t="n"/>
      <c r="AK13" s="32" t="n"/>
      <c r="AL13" s="31" t="n"/>
      <c r="AM13" s="45" t="str">
        <f>IF(A13="","",SUM(AG$5:AG13))</f>
        <v/>
      </c>
      <c r="AN13" s="37" t="str">
        <f>IF(A13="","",MAX(0,MAX(AM$5:AM13))-AM13)</f>
        <v/>
      </c>
    </row>
    <row r="14">
      <c r="A14" s="29" t="n"/>
      <c r="B14" s="30" t="n"/>
      <c r="C14" s="31" t="n"/>
      <c r="D14" s="32" t="n"/>
      <c r="E14" s="32" t="n"/>
      <c r="F14" s="33" t="n"/>
      <c r="G14" s="33" t="n"/>
      <c r="H14" s="33" t="n"/>
      <c r="I14" s="34" t="str">
        <f>IF(AND(ISNUMBER(F14),ISNUMBER(G14),ISNUMBER(H14)),IF(OR(AND(E14="多",F14&gt;G14),AND(E14="空",F14&lt;G14)),ABS(H14-F14)/ABS(F14-G14),"止损方向不对"),"")</f>
        <v/>
      </c>
      <c r="J14" s="35" t="str">
        <f>IF(AND(ISNUMBER(F14),ISNUMBER(G14)),IF(F14=G14,"",IF(INT(ROUND('参数'!$C$7/(ABS(F14-G14)*1+2*'参数'!$C$11+N('参数'!$C$14)*F14+N('参数'!$C$15))/1,6))*1&gt;0,INT(ROUND('参数'!$C$7/(ABS(F14-G14)*1+2*'参数'!$C$11+N('参数'!$C$14)*F14+N('参数'!$C$15))/1,6))*1,"预算不足，这笔不做")),"")</f>
        <v/>
      </c>
      <c r="K14" s="36" t="n"/>
      <c r="L14" s="20" t="str">
        <f>IF(AND(ISNUMBER(F14),ISNUMBER(G14),ISNUMBER(K14)),IF(AND(F14&lt;&gt;G14,K14&gt;0),ABS(F14-G14)*K14*1,""),"")</f>
        <v/>
      </c>
      <c r="M14" s="30" t="n"/>
      <c r="N14" s="37" t="str">
        <f>IF(AND(ISNUMBER(L14),ISNUMBER(M14)),IF(E14="空",(G14*(1+'参数'!$C$17)-F14),(F14-G14*(1-'参数'!$C$17)))*K14/L14,"")</f>
        <v/>
      </c>
      <c r="O14" s="38" t="n"/>
      <c r="P14" s="31" t="n"/>
      <c r="Q14" s="32" t="n"/>
      <c r="R14" s="39" t="str">
        <f>IF(N(U14)&gt;0,SUMPRODUCT(LARGE(('成交明细'!$A$5:$A$804=A14)*('成交明细'!$D$5:$D$804=IF(E14="空","卖","买"))*'成交明细'!$B$5:$B$804,COUNTIFS('成交明细'!$A$5:$A$804,A14,'成交明细'!$D$5:$D$804,IF(E14="空","卖","买")))),"")</f>
        <v/>
      </c>
      <c r="S14" s="39" t="str">
        <f>IF(AND(N(U14)&gt;0,N(W14)&gt;=N(U14)),SUMPRODUCT(MAX(('成交明细'!$A$5:$A$804=A14)*('成交明细'!$D$5:$D$804=IF(E14="空","买","卖"))*'成交明细'!$B$5:$B$804)),"")</f>
        <v/>
      </c>
      <c r="T14" s="32" t="n"/>
      <c r="U14" s="35" t="str">
        <f>IF(A14="","",SUMIFS('成交明细'!$F$5:$F$804,'成交明细'!$A$5:$A$804,A14,'成交明细'!$D$5:$D$804,IF(E14="空","卖","买")))</f>
        <v/>
      </c>
      <c r="V14" s="40" t="str">
        <f>IF(N(U14)&gt;0,SUMIFS('成交明细'!$H$5:$H$804,'成交明细'!$A$5:$A$804,A14,'成交明细'!$D$5:$D$804,IF(E14="空","卖","买"))/U14,"")</f>
        <v/>
      </c>
      <c r="W14" s="35" t="str">
        <f>IF(A14="","",SUMIFS('成交明细'!$F$5:$F$804,'成交明细'!$A$5:$A$804,A14,'成交明细'!$D$5:$D$804,IF(E14="空","买","卖")))</f>
        <v/>
      </c>
      <c r="X14" s="40" t="str">
        <f>IF(N(W14)&gt;0,SUMIFS('成交明细'!$H$5:$H$804,'成交明细'!$A$5:$A$804,A14,'成交明细'!$D$5:$D$804,IF(E14="空","买","卖"))/W14,"")</f>
        <v/>
      </c>
      <c r="Y14" s="41" t="str">
        <f>IF(A14="","",IF(Q14&lt;&gt;"已执行",IF(Q14="","未填执行情况",Q14),IF(N(U14)=0,"待录成交",IF(N(W14)&gt;N(U14),"平仓多于开仓",IF(N(W14)&lt;N(U14),"持仓中","已平仓")))))</f>
        <v/>
      </c>
      <c r="Z14" s="41" t="str">
        <f>IF(AND(ISNUMBER(R14),ISNUMBER(S14)),IF(R14=S14,"日内",""),"")</f>
        <v/>
      </c>
      <c r="AA14" s="42" t="str">
        <f>IF(Z14&lt;&gt;"日内","",COUNTIFS($Z$5:$Z$304,"日内",$S$5:$S$304,"&gt;"&amp;WORKDAY(S14,-5),$S$5:$S$304,"&lt;="&amp;S14))</f>
        <v/>
      </c>
      <c r="AB14" s="41" t="str">
        <f>IF(OR(NOT(ISNUMBER(M14)),NOT(ISNUMBER(R14))),"",IF(AND(M14&gt;=R14,OR(NOT(ISNUMBER(S14)),M14&lt;=S14)),"持仓跨财报",""))</f>
        <v/>
      </c>
      <c r="AC14" s="20">
        <f>IF(AND(E14="空",ISNUMBER(O14),ISNUMBER(S14)),ROUND(O14*(S14-R14)/360*V14*U14,2),0)</f>
        <v>0</v>
      </c>
      <c r="AD14" s="43" t="str">
        <f>IF(N(U14)=0,"",SUMIFS('成交明细'!$L$5:$L$804,'成交明细'!$A$5:$A$804,A14)+AC14)</f>
        <v/>
      </c>
      <c r="AE14" s="44" t="str">
        <f>IF(Y14&lt;&gt;"已平仓","",(SUMIFS('成交明细'!$H$5:$H$804,'成交明细'!$A$5:$A$804,A14,'成交明细'!$D$5:$D$804,"卖")-SUMIFS('成交明细'!$H$5:$H$804,'成交明细'!$A$5:$A$804,A14,'成交明细'!$D$5:$D$804,"买"))*1-AD14)</f>
        <v/>
      </c>
      <c r="AF14" s="45" t="str">
        <f>IF(AND(Y14="已平仓",ISNUMBER(L14)),(SUMIFS('成交明细'!$H$5:$H$804,'成交明细'!$A$5:$A$804,A14,'成交明细'!$D$5:$D$804,"卖")-SUMIFS('成交明细'!$H$5:$H$804,'成交明细'!$A$5:$A$804,A14,'成交明细'!$D$5:$D$804,"买"))*1/L14,"")</f>
        <v/>
      </c>
      <c r="AG14" s="45" t="str">
        <f>IF(AND(Y14="已平仓",ISNUMBER(L14)),AE14/L14,"")</f>
        <v/>
      </c>
      <c r="AH14" s="46" t="str">
        <f>IF(AND(ISNUMBER(V14),ISNUMBER(F14)),IF(E14="空",F14-V14,V14-F14),"")</f>
        <v/>
      </c>
      <c r="AI14" s="46" t="str">
        <f>IF(OR(NOT(ISNUMBER(AE14)),NOT(ISNUMBER(X14))),"",IF(AE14&lt;0,IF(E14="空",X14-G14,G14-X14),IF(NOT(ISNUMBER(H14)),"",IF(E14="空",X14-H14,H14-X14))))</f>
        <v/>
      </c>
      <c r="AJ14" s="32" t="n"/>
      <c r="AK14" s="32" t="n"/>
      <c r="AL14" s="31" t="n"/>
      <c r="AM14" s="45" t="str">
        <f>IF(A14="","",SUM(AG$5:AG14))</f>
        <v/>
      </c>
      <c r="AN14" s="37" t="str">
        <f>IF(A14="","",MAX(0,MAX(AM$5:AM14))-AM14)</f>
        <v/>
      </c>
    </row>
    <row r="15">
      <c r="A15" s="29" t="n"/>
      <c r="B15" s="30" t="n"/>
      <c r="C15" s="31" t="n"/>
      <c r="D15" s="32" t="n"/>
      <c r="E15" s="32" t="n"/>
      <c r="F15" s="33" t="n"/>
      <c r="G15" s="33" t="n"/>
      <c r="H15" s="33" t="n"/>
      <c r="I15" s="34" t="str">
        <f>IF(AND(ISNUMBER(F15),ISNUMBER(G15),ISNUMBER(H15)),IF(OR(AND(E15="多",F15&gt;G15),AND(E15="空",F15&lt;G15)),ABS(H15-F15)/ABS(F15-G15),"止损方向不对"),"")</f>
        <v/>
      </c>
      <c r="J15" s="35" t="str">
        <f>IF(AND(ISNUMBER(F15),ISNUMBER(G15)),IF(F15=G15,"",IF(INT(ROUND('参数'!$C$7/(ABS(F15-G15)*1+2*'参数'!$C$11+N('参数'!$C$14)*F15+N('参数'!$C$15))/1,6))*1&gt;0,INT(ROUND('参数'!$C$7/(ABS(F15-G15)*1+2*'参数'!$C$11+N('参数'!$C$14)*F15+N('参数'!$C$15))/1,6))*1,"预算不足，这笔不做")),"")</f>
        <v/>
      </c>
      <c r="K15" s="36" t="n"/>
      <c r="L15" s="20" t="str">
        <f>IF(AND(ISNUMBER(F15),ISNUMBER(G15),ISNUMBER(K15)),IF(AND(F15&lt;&gt;G15,K15&gt;0),ABS(F15-G15)*K15*1,""),"")</f>
        <v/>
      </c>
      <c r="M15" s="30" t="n"/>
      <c r="N15" s="37" t="str">
        <f>IF(AND(ISNUMBER(L15),ISNUMBER(M15)),IF(E15="空",(G15*(1+'参数'!$C$17)-F15),(F15-G15*(1-'参数'!$C$17)))*K15/L15,"")</f>
        <v/>
      </c>
      <c r="O15" s="38" t="n"/>
      <c r="P15" s="31" t="n"/>
      <c r="Q15" s="32" t="n"/>
      <c r="R15" s="39" t="str">
        <f>IF(N(U15)&gt;0,SUMPRODUCT(LARGE(('成交明细'!$A$5:$A$804=A15)*('成交明细'!$D$5:$D$804=IF(E15="空","卖","买"))*'成交明细'!$B$5:$B$804,COUNTIFS('成交明细'!$A$5:$A$804,A15,'成交明细'!$D$5:$D$804,IF(E15="空","卖","买")))),"")</f>
        <v/>
      </c>
      <c r="S15" s="39" t="str">
        <f>IF(AND(N(U15)&gt;0,N(W15)&gt;=N(U15)),SUMPRODUCT(MAX(('成交明细'!$A$5:$A$804=A15)*('成交明细'!$D$5:$D$804=IF(E15="空","买","卖"))*'成交明细'!$B$5:$B$804)),"")</f>
        <v/>
      </c>
      <c r="T15" s="32" t="n"/>
      <c r="U15" s="35" t="str">
        <f>IF(A15="","",SUMIFS('成交明细'!$F$5:$F$804,'成交明细'!$A$5:$A$804,A15,'成交明细'!$D$5:$D$804,IF(E15="空","卖","买")))</f>
        <v/>
      </c>
      <c r="V15" s="40" t="str">
        <f>IF(N(U15)&gt;0,SUMIFS('成交明细'!$H$5:$H$804,'成交明细'!$A$5:$A$804,A15,'成交明细'!$D$5:$D$804,IF(E15="空","卖","买"))/U15,"")</f>
        <v/>
      </c>
      <c r="W15" s="35" t="str">
        <f>IF(A15="","",SUMIFS('成交明细'!$F$5:$F$804,'成交明细'!$A$5:$A$804,A15,'成交明细'!$D$5:$D$804,IF(E15="空","买","卖")))</f>
        <v/>
      </c>
      <c r="X15" s="40" t="str">
        <f>IF(N(W15)&gt;0,SUMIFS('成交明细'!$H$5:$H$804,'成交明细'!$A$5:$A$804,A15,'成交明细'!$D$5:$D$804,IF(E15="空","买","卖"))/W15,"")</f>
        <v/>
      </c>
      <c r="Y15" s="41" t="str">
        <f>IF(A15="","",IF(Q15&lt;&gt;"已执行",IF(Q15="","未填执行情况",Q15),IF(N(U15)=0,"待录成交",IF(N(W15)&gt;N(U15),"平仓多于开仓",IF(N(W15)&lt;N(U15),"持仓中","已平仓")))))</f>
        <v/>
      </c>
      <c r="Z15" s="41" t="str">
        <f>IF(AND(ISNUMBER(R15),ISNUMBER(S15)),IF(R15=S15,"日内",""),"")</f>
        <v/>
      </c>
      <c r="AA15" s="42" t="str">
        <f>IF(Z15&lt;&gt;"日内","",COUNTIFS($Z$5:$Z$304,"日内",$S$5:$S$304,"&gt;"&amp;WORKDAY(S15,-5),$S$5:$S$304,"&lt;="&amp;S15))</f>
        <v/>
      </c>
      <c r="AB15" s="41" t="str">
        <f>IF(OR(NOT(ISNUMBER(M15)),NOT(ISNUMBER(R15))),"",IF(AND(M15&gt;=R15,OR(NOT(ISNUMBER(S15)),M15&lt;=S15)),"持仓跨财报",""))</f>
        <v/>
      </c>
      <c r="AC15" s="20">
        <f>IF(AND(E15="空",ISNUMBER(O15),ISNUMBER(S15)),ROUND(O15*(S15-R15)/360*V15*U15,2),0)</f>
        <v>0</v>
      </c>
      <c r="AD15" s="43" t="str">
        <f>IF(N(U15)=0,"",SUMIFS('成交明细'!$L$5:$L$804,'成交明细'!$A$5:$A$804,A15)+AC15)</f>
        <v/>
      </c>
      <c r="AE15" s="44" t="str">
        <f>IF(Y15&lt;&gt;"已平仓","",(SUMIFS('成交明细'!$H$5:$H$804,'成交明细'!$A$5:$A$804,A15,'成交明细'!$D$5:$D$804,"卖")-SUMIFS('成交明细'!$H$5:$H$804,'成交明细'!$A$5:$A$804,A15,'成交明细'!$D$5:$D$804,"买"))*1-AD15)</f>
        <v/>
      </c>
      <c r="AF15" s="45" t="str">
        <f>IF(AND(Y15="已平仓",ISNUMBER(L15)),(SUMIFS('成交明细'!$H$5:$H$804,'成交明细'!$A$5:$A$804,A15,'成交明细'!$D$5:$D$804,"卖")-SUMIFS('成交明细'!$H$5:$H$804,'成交明细'!$A$5:$A$804,A15,'成交明细'!$D$5:$D$804,"买"))*1/L15,"")</f>
        <v/>
      </c>
      <c r="AG15" s="45" t="str">
        <f>IF(AND(Y15="已平仓",ISNUMBER(L15)),AE15/L15,"")</f>
        <v/>
      </c>
      <c r="AH15" s="46" t="str">
        <f>IF(AND(ISNUMBER(V15),ISNUMBER(F15)),IF(E15="空",F15-V15,V15-F15),"")</f>
        <v/>
      </c>
      <c r="AI15" s="46" t="str">
        <f>IF(OR(NOT(ISNUMBER(AE15)),NOT(ISNUMBER(X15))),"",IF(AE15&lt;0,IF(E15="空",X15-G15,G15-X15),IF(NOT(ISNUMBER(H15)),"",IF(E15="空",X15-H15,H15-X15))))</f>
        <v/>
      </c>
      <c r="AJ15" s="32" t="n"/>
      <c r="AK15" s="32" t="n"/>
      <c r="AL15" s="31" t="n"/>
      <c r="AM15" s="45" t="str">
        <f>IF(A15="","",SUM(AG$5:AG15))</f>
        <v/>
      </c>
      <c r="AN15" s="37" t="str">
        <f>IF(A15="","",MAX(0,MAX(AM$5:AM15))-AM15)</f>
        <v/>
      </c>
    </row>
    <row r="16">
      <c r="A16" s="29" t="n"/>
      <c r="B16" s="30" t="n"/>
      <c r="C16" s="31" t="n"/>
      <c r="D16" s="32" t="n"/>
      <c r="E16" s="32" t="n"/>
      <c r="F16" s="33" t="n"/>
      <c r="G16" s="33" t="n"/>
      <c r="H16" s="33" t="n"/>
      <c r="I16" s="34" t="str">
        <f>IF(AND(ISNUMBER(F16),ISNUMBER(G16),ISNUMBER(H16)),IF(OR(AND(E16="多",F16&gt;G16),AND(E16="空",F16&lt;G16)),ABS(H16-F16)/ABS(F16-G16),"止损方向不对"),"")</f>
        <v/>
      </c>
      <c r="J16" s="35" t="str">
        <f>IF(AND(ISNUMBER(F16),ISNUMBER(G16)),IF(F16=G16,"",IF(INT(ROUND('参数'!$C$7/(ABS(F16-G16)*1+2*'参数'!$C$11+N('参数'!$C$14)*F16+N('参数'!$C$15))/1,6))*1&gt;0,INT(ROUND('参数'!$C$7/(ABS(F16-G16)*1+2*'参数'!$C$11+N('参数'!$C$14)*F16+N('参数'!$C$15))/1,6))*1,"预算不足，这笔不做")),"")</f>
        <v/>
      </c>
      <c r="K16" s="36" t="n"/>
      <c r="L16" s="20" t="str">
        <f>IF(AND(ISNUMBER(F16),ISNUMBER(G16),ISNUMBER(K16)),IF(AND(F16&lt;&gt;G16,K16&gt;0),ABS(F16-G16)*K16*1,""),"")</f>
        <v/>
      </c>
      <c r="M16" s="30" t="n"/>
      <c r="N16" s="37" t="str">
        <f>IF(AND(ISNUMBER(L16),ISNUMBER(M16)),IF(E16="空",(G16*(1+'参数'!$C$17)-F16),(F16-G16*(1-'参数'!$C$17)))*K16/L16,"")</f>
        <v/>
      </c>
      <c r="O16" s="38" t="n"/>
      <c r="P16" s="31" t="n"/>
      <c r="Q16" s="32" t="n"/>
      <c r="R16" s="39" t="str">
        <f>IF(N(U16)&gt;0,SUMPRODUCT(LARGE(('成交明细'!$A$5:$A$804=A16)*('成交明细'!$D$5:$D$804=IF(E16="空","卖","买"))*'成交明细'!$B$5:$B$804,COUNTIFS('成交明细'!$A$5:$A$804,A16,'成交明细'!$D$5:$D$804,IF(E16="空","卖","买")))),"")</f>
        <v/>
      </c>
      <c r="S16" s="39" t="str">
        <f>IF(AND(N(U16)&gt;0,N(W16)&gt;=N(U16)),SUMPRODUCT(MAX(('成交明细'!$A$5:$A$804=A16)*('成交明细'!$D$5:$D$804=IF(E16="空","买","卖"))*'成交明细'!$B$5:$B$804)),"")</f>
        <v/>
      </c>
      <c r="T16" s="32" t="n"/>
      <c r="U16" s="35" t="str">
        <f>IF(A16="","",SUMIFS('成交明细'!$F$5:$F$804,'成交明细'!$A$5:$A$804,A16,'成交明细'!$D$5:$D$804,IF(E16="空","卖","买")))</f>
        <v/>
      </c>
      <c r="V16" s="40" t="str">
        <f>IF(N(U16)&gt;0,SUMIFS('成交明细'!$H$5:$H$804,'成交明细'!$A$5:$A$804,A16,'成交明细'!$D$5:$D$804,IF(E16="空","卖","买"))/U16,"")</f>
        <v/>
      </c>
      <c r="W16" s="35" t="str">
        <f>IF(A16="","",SUMIFS('成交明细'!$F$5:$F$804,'成交明细'!$A$5:$A$804,A16,'成交明细'!$D$5:$D$804,IF(E16="空","买","卖")))</f>
        <v/>
      </c>
      <c r="X16" s="40" t="str">
        <f>IF(N(W16)&gt;0,SUMIFS('成交明细'!$H$5:$H$804,'成交明细'!$A$5:$A$804,A16,'成交明细'!$D$5:$D$804,IF(E16="空","买","卖"))/W16,"")</f>
        <v/>
      </c>
      <c r="Y16" s="41" t="str">
        <f>IF(A16="","",IF(Q16&lt;&gt;"已执行",IF(Q16="","未填执行情况",Q16),IF(N(U16)=0,"待录成交",IF(N(W16)&gt;N(U16),"平仓多于开仓",IF(N(W16)&lt;N(U16),"持仓中","已平仓")))))</f>
        <v/>
      </c>
      <c r="Z16" s="41" t="str">
        <f>IF(AND(ISNUMBER(R16),ISNUMBER(S16)),IF(R16=S16,"日内",""),"")</f>
        <v/>
      </c>
      <c r="AA16" s="42" t="str">
        <f>IF(Z16&lt;&gt;"日内","",COUNTIFS($Z$5:$Z$304,"日内",$S$5:$S$304,"&gt;"&amp;WORKDAY(S16,-5),$S$5:$S$304,"&lt;="&amp;S16))</f>
        <v/>
      </c>
      <c r="AB16" s="41" t="str">
        <f>IF(OR(NOT(ISNUMBER(M16)),NOT(ISNUMBER(R16))),"",IF(AND(M16&gt;=R16,OR(NOT(ISNUMBER(S16)),M16&lt;=S16)),"持仓跨财报",""))</f>
        <v/>
      </c>
      <c r="AC16" s="20">
        <f>IF(AND(E16="空",ISNUMBER(O16),ISNUMBER(S16)),ROUND(O16*(S16-R16)/360*V16*U16,2),0)</f>
        <v>0</v>
      </c>
      <c r="AD16" s="43" t="str">
        <f>IF(N(U16)=0,"",SUMIFS('成交明细'!$L$5:$L$804,'成交明细'!$A$5:$A$804,A16)+AC16)</f>
        <v/>
      </c>
      <c r="AE16" s="44" t="str">
        <f>IF(Y16&lt;&gt;"已平仓","",(SUMIFS('成交明细'!$H$5:$H$804,'成交明细'!$A$5:$A$804,A16,'成交明细'!$D$5:$D$804,"卖")-SUMIFS('成交明细'!$H$5:$H$804,'成交明细'!$A$5:$A$804,A16,'成交明细'!$D$5:$D$804,"买"))*1-AD16)</f>
        <v/>
      </c>
      <c r="AF16" s="45" t="str">
        <f>IF(AND(Y16="已平仓",ISNUMBER(L16)),(SUMIFS('成交明细'!$H$5:$H$804,'成交明细'!$A$5:$A$804,A16,'成交明细'!$D$5:$D$804,"卖")-SUMIFS('成交明细'!$H$5:$H$804,'成交明细'!$A$5:$A$804,A16,'成交明细'!$D$5:$D$804,"买"))*1/L16,"")</f>
        <v/>
      </c>
      <c r="AG16" s="45" t="str">
        <f>IF(AND(Y16="已平仓",ISNUMBER(L16)),AE16/L16,"")</f>
        <v/>
      </c>
      <c r="AH16" s="46" t="str">
        <f>IF(AND(ISNUMBER(V16),ISNUMBER(F16)),IF(E16="空",F16-V16,V16-F16),"")</f>
        <v/>
      </c>
      <c r="AI16" s="46" t="str">
        <f>IF(OR(NOT(ISNUMBER(AE16)),NOT(ISNUMBER(X16))),"",IF(AE16&lt;0,IF(E16="空",X16-G16,G16-X16),IF(NOT(ISNUMBER(H16)),"",IF(E16="空",X16-H16,H16-X16))))</f>
        <v/>
      </c>
      <c r="AJ16" s="32" t="n"/>
      <c r="AK16" s="32" t="n"/>
      <c r="AL16" s="31" t="n"/>
      <c r="AM16" s="45" t="str">
        <f>IF(A16="","",SUM(AG$5:AG16))</f>
        <v/>
      </c>
      <c r="AN16" s="37" t="str">
        <f>IF(A16="","",MAX(0,MAX(AM$5:AM16))-AM16)</f>
        <v/>
      </c>
    </row>
    <row r="17">
      <c r="A17" s="29" t="n"/>
      <c r="B17" s="30" t="n"/>
      <c r="C17" s="31" t="n"/>
      <c r="D17" s="32" t="n"/>
      <c r="E17" s="32" t="n"/>
      <c r="F17" s="33" t="n"/>
      <c r="G17" s="33" t="n"/>
      <c r="H17" s="33" t="n"/>
      <c r="I17" s="34" t="str">
        <f>IF(AND(ISNUMBER(F17),ISNUMBER(G17),ISNUMBER(H17)),IF(OR(AND(E17="多",F17&gt;G17),AND(E17="空",F17&lt;G17)),ABS(H17-F17)/ABS(F17-G17),"止损方向不对"),"")</f>
        <v/>
      </c>
      <c r="J17" s="35" t="str">
        <f>IF(AND(ISNUMBER(F17),ISNUMBER(G17)),IF(F17=G17,"",IF(INT(ROUND('参数'!$C$7/(ABS(F17-G17)*1+2*'参数'!$C$11+N('参数'!$C$14)*F17+N('参数'!$C$15))/1,6))*1&gt;0,INT(ROUND('参数'!$C$7/(ABS(F17-G17)*1+2*'参数'!$C$11+N('参数'!$C$14)*F17+N('参数'!$C$15))/1,6))*1,"预算不足，这笔不做")),"")</f>
        <v/>
      </c>
      <c r="K17" s="36" t="n"/>
      <c r="L17" s="20" t="str">
        <f>IF(AND(ISNUMBER(F17),ISNUMBER(G17),ISNUMBER(K17)),IF(AND(F17&lt;&gt;G17,K17&gt;0),ABS(F17-G17)*K17*1,""),"")</f>
        <v/>
      </c>
      <c r="M17" s="30" t="n"/>
      <c r="N17" s="37" t="str">
        <f>IF(AND(ISNUMBER(L17),ISNUMBER(M17)),IF(E17="空",(G17*(1+'参数'!$C$17)-F17),(F17-G17*(1-'参数'!$C$17)))*K17/L17,"")</f>
        <v/>
      </c>
      <c r="O17" s="38" t="n"/>
      <c r="P17" s="31" t="n"/>
      <c r="Q17" s="32" t="n"/>
      <c r="R17" s="39" t="str">
        <f>IF(N(U17)&gt;0,SUMPRODUCT(LARGE(('成交明细'!$A$5:$A$804=A17)*('成交明细'!$D$5:$D$804=IF(E17="空","卖","买"))*'成交明细'!$B$5:$B$804,COUNTIFS('成交明细'!$A$5:$A$804,A17,'成交明细'!$D$5:$D$804,IF(E17="空","卖","买")))),"")</f>
        <v/>
      </c>
      <c r="S17" s="39" t="str">
        <f>IF(AND(N(U17)&gt;0,N(W17)&gt;=N(U17)),SUMPRODUCT(MAX(('成交明细'!$A$5:$A$804=A17)*('成交明细'!$D$5:$D$804=IF(E17="空","买","卖"))*'成交明细'!$B$5:$B$804)),"")</f>
        <v/>
      </c>
      <c r="T17" s="32" t="n"/>
      <c r="U17" s="35" t="str">
        <f>IF(A17="","",SUMIFS('成交明细'!$F$5:$F$804,'成交明细'!$A$5:$A$804,A17,'成交明细'!$D$5:$D$804,IF(E17="空","卖","买")))</f>
        <v/>
      </c>
      <c r="V17" s="40" t="str">
        <f>IF(N(U17)&gt;0,SUMIFS('成交明细'!$H$5:$H$804,'成交明细'!$A$5:$A$804,A17,'成交明细'!$D$5:$D$804,IF(E17="空","卖","买"))/U17,"")</f>
        <v/>
      </c>
      <c r="W17" s="35" t="str">
        <f>IF(A17="","",SUMIFS('成交明细'!$F$5:$F$804,'成交明细'!$A$5:$A$804,A17,'成交明细'!$D$5:$D$804,IF(E17="空","买","卖")))</f>
        <v/>
      </c>
      <c r="X17" s="40" t="str">
        <f>IF(N(W17)&gt;0,SUMIFS('成交明细'!$H$5:$H$804,'成交明细'!$A$5:$A$804,A17,'成交明细'!$D$5:$D$804,IF(E17="空","买","卖"))/W17,"")</f>
        <v/>
      </c>
      <c r="Y17" s="41" t="str">
        <f>IF(A17="","",IF(Q17&lt;&gt;"已执行",IF(Q17="","未填执行情况",Q17),IF(N(U17)=0,"待录成交",IF(N(W17)&gt;N(U17),"平仓多于开仓",IF(N(W17)&lt;N(U17),"持仓中","已平仓")))))</f>
        <v/>
      </c>
      <c r="Z17" s="41" t="str">
        <f>IF(AND(ISNUMBER(R17),ISNUMBER(S17)),IF(R17=S17,"日内",""),"")</f>
        <v/>
      </c>
      <c r="AA17" s="42" t="str">
        <f>IF(Z17&lt;&gt;"日内","",COUNTIFS($Z$5:$Z$304,"日内",$S$5:$S$304,"&gt;"&amp;WORKDAY(S17,-5),$S$5:$S$304,"&lt;="&amp;S17))</f>
        <v/>
      </c>
      <c r="AB17" s="41" t="str">
        <f>IF(OR(NOT(ISNUMBER(M17)),NOT(ISNUMBER(R17))),"",IF(AND(M17&gt;=R17,OR(NOT(ISNUMBER(S17)),M17&lt;=S17)),"持仓跨财报",""))</f>
        <v/>
      </c>
      <c r="AC17" s="20">
        <f>IF(AND(E17="空",ISNUMBER(O17),ISNUMBER(S17)),ROUND(O17*(S17-R17)/360*V17*U17,2),0)</f>
        <v>0</v>
      </c>
      <c r="AD17" s="43" t="str">
        <f>IF(N(U17)=0,"",SUMIFS('成交明细'!$L$5:$L$804,'成交明细'!$A$5:$A$804,A17)+AC17)</f>
        <v/>
      </c>
      <c r="AE17" s="44" t="str">
        <f>IF(Y17&lt;&gt;"已平仓","",(SUMIFS('成交明细'!$H$5:$H$804,'成交明细'!$A$5:$A$804,A17,'成交明细'!$D$5:$D$804,"卖")-SUMIFS('成交明细'!$H$5:$H$804,'成交明细'!$A$5:$A$804,A17,'成交明细'!$D$5:$D$804,"买"))*1-AD17)</f>
        <v/>
      </c>
      <c r="AF17" s="45" t="str">
        <f>IF(AND(Y17="已平仓",ISNUMBER(L17)),(SUMIFS('成交明细'!$H$5:$H$804,'成交明细'!$A$5:$A$804,A17,'成交明细'!$D$5:$D$804,"卖")-SUMIFS('成交明细'!$H$5:$H$804,'成交明细'!$A$5:$A$804,A17,'成交明细'!$D$5:$D$804,"买"))*1/L17,"")</f>
        <v/>
      </c>
      <c r="AG17" s="45" t="str">
        <f>IF(AND(Y17="已平仓",ISNUMBER(L17)),AE17/L17,"")</f>
        <v/>
      </c>
      <c r="AH17" s="46" t="str">
        <f>IF(AND(ISNUMBER(V17),ISNUMBER(F17)),IF(E17="空",F17-V17,V17-F17),"")</f>
        <v/>
      </c>
      <c r="AI17" s="46" t="str">
        <f>IF(OR(NOT(ISNUMBER(AE17)),NOT(ISNUMBER(X17))),"",IF(AE17&lt;0,IF(E17="空",X17-G17,G17-X17),IF(NOT(ISNUMBER(H17)),"",IF(E17="空",X17-H17,H17-X17))))</f>
        <v/>
      </c>
      <c r="AJ17" s="32" t="n"/>
      <c r="AK17" s="32" t="n"/>
      <c r="AL17" s="31" t="n"/>
      <c r="AM17" s="45" t="str">
        <f>IF(A17="","",SUM(AG$5:AG17))</f>
        <v/>
      </c>
      <c r="AN17" s="37" t="str">
        <f>IF(A17="","",MAX(0,MAX(AM$5:AM17))-AM17)</f>
        <v/>
      </c>
    </row>
    <row r="18">
      <c r="A18" s="29" t="n"/>
      <c r="B18" s="30" t="n"/>
      <c r="C18" s="31" t="n"/>
      <c r="D18" s="32" t="n"/>
      <c r="E18" s="32" t="n"/>
      <c r="F18" s="33" t="n"/>
      <c r="G18" s="33" t="n"/>
      <c r="H18" s="33" t="n"/>
      <c r="I18" s="34" t="str">
        <f>IF(AND(ISNUMBER(F18),ISNUMBER(G18),ISNUMBER(H18)),IF(OR(AND(E18="多",F18&gt;G18),AND(E18="空",F18&lt;G18)),ABS(H18-F18)/ABS(F18-G18),"止损方向不对"),"")</f>
        <v/>
      </c>
      <c r="J18" s="35" t="str">
        <f>IF(AND(ISNUMBER(F18),ISNUMBER(G18)),IF(F18=G18,"",IF(INT(ROUND('参数'!$C$7/(ABS(F18-G18)*1+2*'参数'!$C$11+N('参数'!$C$14)*F18+N('参数'!$C$15))/1,6))*1&gt;0,INT(ROUND('参数'!$C$7/(ABS(F18-G18)*1+2*'参数'!$C$11+N('参数'!$C$14)*F18+N('参数'!$C$15))/1,6))*1,"预算不足，这笔不做")),"")</f>
        <v/>
      </c>
      <c r="K18" s="36" t="n"/>
      <c r="L18" s="20" t="str">
        <f>IF(AND(ISNUMBER(F18),ISNUMBER(G18),ISNUMBER(K18)),IF(AND(F18&lt;&gt;G18,K18&gt;0),ABS(F18-G18)*K18*1,""),"")</f>
        <v/>
      </c>
      <c r="M18" s="30" t="n"/>
      <c r="N18" s="37" t="str">
        <f>IF(AND(ISNUMBER(L18),ISNUMBER(M18)),IF(E18="空",(G18*(1+'参数'!$C$17)-F18),(F18-G18*(1-'参数'!$C$17)))*K18/L18,"")</f>
        <v/>
      </c>
      <c r="O18" s="38" t="n"/>
      <c r="P18" s="31" t="n"/>
      <c r="Q18" s="32" t="n"/>
      <c r="R18" s="39" t="str">
        <f>IF(N(U18)&gt;0,SUMPRODUCT(LARGE(('成交明细'!$A$5:$A$804=A18)*('成交明细'!$D$5:$D$804=IF(E18="空","卖","买"))*'成交明细'!$B$5:$B$804,COUNTIFS('成交明细'!$A$5:$A$804,A18,'成交明细'!$D$5:$D$804,IF(E18="空","卖","买")))),"")</f>
        <v/>
      </c>
      <c r="S18" s="39" t="str">
        <f>IF(AND(N(U18)&gt;0,N(W18)&gt;=N(U18)),SUMPRODUCT(MAX(('成交明细'!$A$5:$A$804=A18)*('成交明细'!$D$5:$D$804=IF(E18="空","买","卖"))*'成交明细'!$B$5:$B$804)),"")</f>
        <v/>
      </c>
      <c r="T18" s="32" t="n"/>
      <c r="U18" s="35" t="str">
        <f>IF(A18="","",SUMIFS('成交明细'!$F$5:$F$804,'成交明细'!$A$5:$A$804,A18,'成交明细'!$D$5:$D$804,IF(E18="空","卖","买")))</f>
        <v/>
      </c>
      <c r="V18" s="40" t="str">
        <f>IF(N(U18)&gt;0,SUMIFS('成交明细'!$H$5:$H$804,'成交明细'!$A$5:$A$804,A18,'成交明细'!$D$5:$D$804,IF(E18="空","卖","买"))/U18,"")</f>
        <v/>
      </c>
      <c r="W18" s="35" t="str">
        <f>IF(A18="","",SUMIFS('成交明细'!$F$5:$F$804,'成交明细'!$A$5:$A$804,A18,'成交明细'!$D$5:$D$804,IF(E18="空","买","卖")))</f>
        <v/>
      </c>
      <c r="X18" s="40" t="str">
        <f>IF(N(W18)&gt;0,SUMIFS('成交明细'!$H$5:$H$804,'成交明细'!$A$5:$A$804,A18,'成交明细'!$D$5:$D$804,IF(E18="空","买","卖"))/W18,"")</f>
        <v/>
      </c>
      <c r="Y18" s="41" t="str">
        <f>IF(A18="","",IF(Q18&lt;&gt;"已执行",IF(Q18="","未填执行情况",Q18),IF(N(U18)=0,"待录成交",IF(N(W18)&gt;N(U18),"平仓多于开仓",IF(N(W18)&lt;N(U18),"持仓中","已平仓")))))</f>
        <v/>
      </c>
      <c r="Z18" s="41" t="str">
        <f>IF(AND(ISNUMBER(R18),ISNUMBER(S18)),IF(R18=S18,"日内",""),"")</f>
        <v/>
      </c>
      <c r="AA18" s="42" t="str">
        <f>IF(Z18&lt;&gt;"日内","",COUNTIFS($Z$5:$Z$304,"日内",$S$5:$S$304,"&gt;"&amp;WORKDAY(S18,-5),$S$5:$S$304,"&lt;="&amp;S18))</f>
        <v/>
      </c>
      <c r="AB18" s="41" t="str">
        <f>IF(OR(NOT(ISNUMBER(M18)),NOT(ISNUMBER(R18))),"",IF(AND(M18&gt;=R18,OR(NOT(ISNUMBER(S18)),M18&lt;=S18)),"持仓跨财报",""))</f>
        <v/>
      </c>
      <c r="AC18" s="20">
        <f>IF(AND(E18="空",ISNUMBER(O18),ISNUMBER(S18)),ROUND(O18*(S18-R18)/360*V18*U18,2),0)</f>
        <v>0</v>
      </c>
      <c r="AD18" s="43" t="str">
        <f>IF(N(U18)=0,"",SUMIFS('成交明细'!$L$5:$L$804,'成交明细'!$A$5:$A$804,A18)+AC18)</f>
        <v/>
      </c>
      <c r="AE18" s="44" t="str">
        <f>IF(Y18&lt;&gt;"已平仓","",(SUMIFS('成交明细'!$H$5:$H$804,'成交明细'!$A$5:$A$804,A18,'成交明细'!$D$5:$D$804,"卖")-SUMIFS('成交明细'!$H$5:$H$804,'成交明细'!$A$5:$A$804,A18,'成交明细'!$D$5:$D$804,"买"))*1-AD18)</f>
        <v/>
      </c>
      <c r="AF18" s="45" t="str">
        <f>IF(AND(Y18="已平仓",ISNUMBER(L18)),(SUMIFS('成交明细'!$H$5:$H$804,'成交明细'!$A$5:$A$804,A18,'成交明细'!$D$5:$D$804,"卖")-SUMIFS('成交明细'!$H$5:$H$804,'成交明细'!$A$5:$A$804,A18,'成交明细'!$D$5:$D$804,"买"))*1/L18,"")</f>
        <v/>
      </c>
      <c r="AG18" s="45" t="str">
        <f>IF(AND(Y18="已平仓",ISNUMBER(L18)),AE18/L18,"")</f>
        <v/>
      </c>
      <c r="AH18" s="46" t="str">
        <f>IF(AND(ISNUMBER(V18),ISNUMBER(F18)),IF(E18="空",F18-V18,V18-F18),"")</f>
        <v/>
      </c>
      <c r="AI18" s="46" t="str">
        <f>IF(OR(NOT(ISNUMBER(AE18)),NOT(ISNUMBER(X18))),"",IF(AE18&lt;0,IF(E18="空",X18-G18,G18-X18),IF(NOT(ISNUMBER(H18)),"",IF(E18="空",X18-H18,H18-X18))))</f>
        <v/>
      </c>
      <c r="AJ18" s="32" t="n"/>
      <c r="AK18" s="32" t="n"/>
      <c r="AL18" s="31" t="n"/>
      <c r="AM18" s="45" t="str">
        <f>IF(A18="","",SUM(AG$5:AG18))</f>
        <v/>
      </c>
      <c r="AN18" s="37" t="str">
        <f>IF(A18="","",MAX(0,MAX(AM$5:AM18))-AM18)</f>
        <v/>
      </c>
    </row>
    <row r="19">
      <c r="A19" s="29" t="n"/>
      <c r="B19" s="30" t="n"/>
      <c r="C19" s="31" t="n"/>
      <c r="D19" s="32" t="n"/>
      <c r="E19" s="32" t="n"/>
      <c r="F19" s="33" t="n"/>
      <c r="G19" s="33" t="n"/>
      <c r="H19" s="33" t="n"/>
      <c r="I19" s="34" t="str">
        <f>IF(AND(ISNUMBER(F19),ISNUMBER(G19),ISNUMBER(H19)),IF(OR(AND(E19="多",F19&gt;G19),AND(E19="空",F19&lt;G19)),ABS(H19-F19)/ABS(F19-G19),"止损方向不对"),"")</f>
        <v/>
      </c>
      <c r="J19" s="35" t="str">
        <f>IF(AND(ISNUMBER(F19),ISNUMBER(G19)),IF(F19=G19,"",IF(INT(ROUND('参数'!$C$7/(ABS(F19-G19)*1+2*'参数'!$C$11+N('参数'!$C$14)*F19+N('参数'!$C$15))/1,6))*1&gt;0,INT(ROUND('参数'!$C$7/(ABS(F19-G19)*1+2*'参数'!$C$11+N('参数'!$C$14)*F19+N('参数'!$C$15))/1,6))*1,"预算不足，这笔不做")),"")</f>
        <v/>
      </c>
      <c r="K19" s="36" t="n"/>
      <c r="L19" s="20" t="str">
        <f>IF(AND(ISNUMBER(F19),ISNUMBER(G19),ISNUMBER(K19)),IF(AND(F19&lt;&gt;G19,K19&gt;0),ABS(F19-G19)*K19*1,""),"")</f>
        <v/>
      </c>
      <c r="M19" s="30" t="n"/>
      <c r="N19" s="37" t="str">
        <f>IF(AND(ISNUMBER(L19),ISNUMBER(M19)),IF(E19="空",(G19*(1+'参数'!$C$17)-F19),(F19-G19*(1-'参数'!$C$17)))*K19/L19,"")</f>
        <v/>
      </c>
      <c r="O19" s="38" t="n"/>
      <c r="P19" s="31" t="n"/>
      <c r="Q19" s="32" t="n"/>
      <c r="R19" s="39" t="str">
        <f>IF(N(U19)&gt;0,SUMPRODUCT(LARGE(('成交明细'!$A$5:$A$804=A19)*('成交明细'!$D$5:$D$804=IF(E19="空","卖","买"))*'成交明细'!$B$5:$B$804,COUNTIFS('成交明细'!$A$5:$A$804,A19,'成交明细'!$D$5:$D$804,IF(E19="空","卖","买")))),"")</f>
        <v/>
      </c>
      <c r="S19" s="39" t="str">
        <f>IF(AND(N(U19)&gt;0,N(W19)&gt;=N(U19)),SUMPRODUCT(MAX(('成交明细'!$A$5:$A$804=A19)*('成交明细'!$D$5:$D$804=IF(E19="空","买","卖"))*'成交明细'!$B$5:$B$804)),"")</f>
        <v/>
      </c>
      <c r="T19" s="32" t="n"/>
      <c r="U19" s="35" t="str">
        <f>IF(A19="","",SUMIFS('成交明细'!$F$5:$F$804,'成交明细'!$A$5:$A$804,A19,'成交明细'!$D$5:$D$804,IF(E19="空","卖","买")))</f>
        <v/>
      </c>
      <c r="V19" s="40" t="str">
        <f>IF(N(U19)&gt;0,SUMIFS('成交明细'!$H$5:$H$804,'成交明细'!$A$5:$A$804,A19,'成交明细'!$D$5:$D$804,IF(E19="空","卖","买"))/U19,"")</f>
        <v/>
      </c>
      <c r="W19" s="35" t="str">
        <f>IF(A19="","",SUMIFS('成交明细'!$F$5:$F$804,'成交明细'!$A$5:$A$804,A19,'成交明细'!$D$5:$D$804,IF(E19="空","买","卖")))</f>
        <v/>
      </c>
      <c r="X19" s="40" t="str">
        <f>IF(N(W19)&gt;0,SUMIFS('成交明细'!$H$5:$H$804,'成交明细'!$A$5:$A$804,A19,'成交明细'!$D$5:$D$804,IF(E19="空","买","卖"))/W19,"")</f>
        <v/>
      </c>
      <c r="Y19" s="41" t="str">
        <f>IF(A19="","",IF(Q19&lt;&gt;"已执行",IF(Q19="","未填执行情况",Q19),IF(N(U19)=0,"待录成交",IF(N(W19)&gt;N(U19),"平仓多于开仓",IF(N(W19)&lt;N(U19),"持仓中","已平仓")))))</f>
        <v/>
      </c>
      <c r="Z19" s="41" t="str">
        <f>IF(AND(ISNUMBER(R19),ISNUMBER(S19)),IF(R19=S19,"日内",""),"")</f>
        <v/>
      </c>
      <c r="AA19" s="42" t="str">
        <f>IF(Z19&lt;&gt;"日内","",COUNTIFS($Z$5:$Z$304,"日内",$S$5:$S$304,"&gt;"&amp;WORKDAY(S19,-5),$S$5:$S$304,"&lt;="&amp;S19))</f>
        <v/>
      </c>
      <c r="AB19" s="41" t="str">
        <f>IF(OR(NOT(ISNUMBER(M19)),NOT(ISNUMBER(R19))),"",IF(AND(M19&gt;=R19,OR(NOT(ISNUMBER(S19)),M19&lt;=S19)),"持仓跨财报",""))</f>
        <v/>
      </c>
      <c r="AC19" s="20">
        <f>IF(AND(E19="空",ISNUMBER(O19),ISNUMBER(S19)),ROUND(O19*(S19-R19)/360*V19*U19,2),0)</f>
        <v>0</v>
      </c>
      <c r="AD19" s="43" t="str">
        <f>IF(N(U19)=0,"",SUMIFS('成交明细'!$L$5:$L$804,'成交明细'!$A$5:$A$804,A19)+AC19)</f>
        <v/>
      </c>
      <c r="AE19" s="44" t="str">
        <f>IF(Y19&lt;&gt;"已平仓","",(SUMIFS('成交明细'!$H$5:$H$804,'成交明细'!$A$5:$A$804,A19,'成交明细'!$D$5:$D$804,"卖")-SUMIFS('成交明细'!$H$5:$H$804,'成交明细'!$A$5:$A$804,A19,'成交明细'!$D$5:$D$804,"买"))*1-AD19)</f>
        <v/>
      </c>
      <c r="AF19" s="45" t="str">
        <f>IF(AND(Y19="已平仓",ISNUMBER(L19)),(SUMIFS('成交明细'!$H$5:$H$804,'成交明细'!$A$5:$A$804,A19,'成交明细'!$D$5:$D$804,"卖")-SUMIFS('成交明细'!$H$5:$H$804,'成交明细'!$A$5:$A$804,A19,'成交明细'!$D$5:$D$804,"买"))*1/L19,"")</f>
        <v/>
      </c>
      <c r="AG19" s="45" t="str">
        <f>IF(AND(Y19="已平仓",ISNUMBER(L19)),AE19/L19,"")</f>
        <v/>
      </c>
      <c r="AH19" s="46" t="str">
        <f>IF(AND(ISNUMBER(V19),ISNUMBER(F19)),IF(E19="空",F19-V19,V19-F19),"")</f>
        <v/>
      </c>
      <c r="AI19" s="46" t="str">
        <f>IF(OR(NOT(ISNUMBER(AE19)),NOT(ISNUMBER(X19))),"",IF(AE19&lt;0,IF(E19="空",X19-G19,G19-X19),IF(NOT(ISNUMBER(H19)),"",IF(E19="空",X19-H19,H19-X19))))</f>
        <v/>
      </c>
      <c r="AJ19" s="32" t="n"/>
      <c r="AK19" s="32" t="n"/>
      <c r="AL19" s="31" t="n"/>
      <c r="AM19" s="45" t="str">
        <f>IF(A19="","",SUM(AG$5:AG19))</f>
        <v/>
      </c>
      <c r="AN19" s="37" t="str">
        <f>IF(A19="","",MAX(0,MAX(AM$5:AM19))-AM19)</f>
        <v/>
      </c>
    </row>
    <row r="20">
      <c r="A20" s="29" t="n"/>
      <c r="B20" s="30" t="n"/>
      <c r="C20" s="31" t="n"/>
      <c r="D20" s="32" t="n"/>
      <c r="E20" s="32" t="n"/>
      <c r="F20" s="33" t="n"/>
      <c r="G20" s="33" t="n"/>
      <c r="H20" s="33" t="n"/>
      <c r="I20" s="34" t="str">
        <f>IF(AND(ISNUMBER(F20),ISNUMBER(G20),ISNUMBER(H20)),IF(OR(AND(E20="多",F20&gt;G20),AND(E20="空",F20&lt;G20)),ABS(H20-F20)/ABS(F20-G20),"止损方向不对"),"")</f>
        <v/>
      </c>
      <c r="J20" s="35" t="str">
        <f>IF(AND(ISNUMBER(F20),ISNUMBER(G20)),IF(F20=G20,"",IF(INT(ROUND('参数'!$C$7/(ABS(F20-G20)*1+2*'参数'!$C$11+N('参数'!$C$14)*F20+N('参数'!$C$15))/1,6))*1&gt;0,INT(ROUND('参数'!$C$7/(ABS(F20-G20)*1+2*'参数'!$C$11+N('参数'!$C$14)*F20+N('参数'!$C$15))/1,6))*1,"预算不足，这笔不做")),"")</f>
        <v/>
      </c>
      <c r="K20" s="36" t="n"/>
      <c r="L20" s="20" t="str">
        <f>IF(AND(ISNUMBER(F20),ISNUMBER(G20),ISNUMBER(K20)),IF(AND(F20&lt;&gt;G20,K20&gt;0),ABS(F20-G20)*K20*1,""),"")</f>
        <v/>
      </c>
      <c r="M20" s="30" t="n"/>
      <c r="N20" s="37" t="str">
        <f>IF(AND(ISNUMBER(L20),ISNUMBER(M20)),IF(E20="空",(G20*(1+'参数'!$C$17)-F20),(F20-G20*(1-'参数'!$C$17)))*K20/L20,"")</f>
        <v/>
      </c>
      <c r="O20" s="38" t="n"/>
      <c r="P20" s="31" t="n"/>
      <c r="Q20" s="32" t="n"/>
      <c r="R20" s="39" t="str">
        <f>IF(N(U20)&gt;0,SUMPRODUCT(LARGE(('成交明细'!$A$5:$A$804=A20)*('成交明细'!$D$5:$D$804=IF(E20="空","卖","买"))*'成交明细'!$B$5:$B$804,COUNTIFS('成交明细'!$A$5:$A$804,A20,'成交明细'!$D$5:$D$804,IF(E20="空","卖","买")))),"")</f>
        <v/>
      </c>
      <c r="S20" s="39" t="str">
        <f>IF(AND(N(U20)&gt;0,N(W20)&gt;=N(U20)),SUMPRODUCT(MAX(('成交明细'!$A$5:$A$804=A20)*('成交明细'!$D$5:$D$804=IF(E20="空","买","卖"))*'成交明细'!$B$5:$B$804)),"")</f>
        <v/>
      </c>
      <c r="T20" s="32" t="n"/>
      <c r="U20" s="35" t="str">
        <f>IF(A20="","",SUMIFS('成交明细'!$F$5:$F$804,'成交明细'!$A$5:$A$804,A20,'成交明细'!$D$5:$D$804,IF(E20="空","卖","买")))</f>
        <v/>
      </c>
      <c r="V20" s="40" t="str">
        <f>IF(N(U20)&gt;0,SUMIFS('成交明细'!$H$5:$H$804,'成交明细'!$A$5:$A$804,A20,'成交明细'!$D$5:$D$804,IF(E20="空","卖","买"))/U20,"")</f>
        <v/>
      </c>
      <c r="W20" s="35" t="str">
        <f>IF(A20="","",SUMIFS('成交明细'!$F$5:$F$804,'成交明细'!$A$5:$A$804,A20,'成交明细'!$D$5:$D$804,IF(E20="空","买","卖")))</f>
        <v/>
      </c>
      <c r="X20" s="40" t="str">
        <f>IF(N(W20)&gt;0,SUMIFS('成交明细'!$H$5:$H$804,'成交明细'!$A$5:$A$804,A20,'成交明细'!$D$5:$D$804,IF(E20="空","买","卖"))/W20,"")</f>
        <v/>
      </c>
      <c r="Y20" s="41" t="str">
        <f>IF(A20="","",IF(Q20&lt;&gt;"已执行",IF(Q20="","未填执行情况",Q20),IF(N(U20)=0,"待录成交",IF(N(W20)&gt;N(U20),"平仓多于开仓",IF(N(W20)&lt;N(U20),"持仓中","已平仓")))))</f>
        <v/>
      </c>
      <c r="Z20" s="41" t="str">
        <f>IF(AND(ISNUMBER(R20),ISNUMBER(S20)),IF(R20=S20,"日内",""),"")</f>
        <v/>
      </c>
      <c r="AA20" s="42" t="str">
        <f>IF(Z20&lt;&gt;"日内","",COUNTIFS($Z$5:$Z$304,"日内",$S$5:$S$304,"&gt;"&amp;WORKDAY(S20,-5),$S$5:$S$304,"&lt;="&amp;S20))</f>
        <v/>
      </c>
      <c r="AB20" s="41" t="str">
        <f>IF(OR(NOT(ISNUMBER(M20)),NOT(ISNUMBER(R20))),"",IF(AND(M20&gt;=R20,OR(NOT(ISNUMBER(S20)),M20&lt;=S20)),"持仓跨财报",""))</f>
        <v/>
      </c>
      <c r="AC20" s="20">
        <f>IF(AND(E20="空",ISNUMBER(O20),ISNUMBER(S20)),ROUND(O20*(S20-R20)/360*V20*U20,2),0)</f>
        <v>0</v>
      </c>
      <c r="AD20" s="43" t="str">
        <f>IF(N(U20)=0,"",SUMIFS('成交明细'!$L$5:$L$804,'成交明细'!$A$5:$A$804,A20)+AC20)</f>
        <v/>
      </c>
      <c r="AE20" s="44" t="str">
        <f>IF(Y20&lt;&gt;"已平仓","",(SUMIFS('成交明细'!$H$5:$H$804,'成交明细'!$A$5:$A$804,A20,'成交明细'!$D$5:$D$804,"卖")-SUMIFS('成交明细'!$H$5:$H$804,'成交明细'!$A$5:$A$804,A20,'成交明细'!$D$5:$D$804,"买"))*1-AD20)</f>
        <v/>
      </c>
      <c r="AF20" s="45" t="str">
        <f>IF(AND(Y20="已平仓",ISNUMBER(L20)),(SUMIFS('成交明细'!$H$5:$H$804,'成交明细'!$A$5:$A$804,A20,'成交明细'!$D$5:$D$804,"卖")-SUMIFS('成交明细'!$H$5:$H$804,'成交明细'!$A$5:$A$804,A20,'成交明细'!$D$5:$D$804,"买"))*1/L20,"")</f>
        <v/>
      </c>
      <c r="AG20" s="45" t="str">
        <f>IF(AND(Y20="已平仓",ISNUMBER(L20)),AE20/L20,"")</f>
        <v/>
      </c>
      <c r="AH20" s="46" t="str">
        <f>IF(AND(ISNUMBER(V20),ISNUMBER(F20)),IF(E20="空",F20-V20,V20-F20),"")</f>
        <v/>
      </c>
      <c r="AI20" s="46" t="str">
        <f>IF(OR(NOT(ISNUMBER(AE20)),NOT(ISNUMBER(X20))),"",IF(AE20&lt;0,IF(E20="空",X20-G20,G20-X20),IF(NOT(ISNUMBER(H20)),"",IF(E20="空",X20-H20,H20-X20))))</f>
        <v/>
      </c>
      <c r="AJ20" s="32" t="n"/>
      <c r="AK20" s="32" t="n"/>
      <c r="AL20" s="31" t="n"/>
      <c r="AM20" s="45" t="str">
        <f>IF(A20="","",SUM(AG$5:AG20))</f>
        <v/>
      </c>
      <c r="AN20" s="37" t="str">
        <f>IF(A20="","",MAX(0,MAX(AM$5:AM20))-AM20)</f>
        <v/>
      </c>
    </row>
    <row r="21">
      <c r="A21" s="29" t="n"/>
      <c r="B21" s="30" t="n"/>
      <c r="C21" s="31" t="n"/>
      <c r="D21" s="32" t="n"/>
      <c r="E21" s="32" t="n"/>
      <c r="F21" s="33" t="n"/>
      <c r="G21" s="33" t="n"/>
      <c r="H21" s="33" t="n"/>
      <c r="I21" s="34" t="str">
        <f>IF(AND(ISNUMBER(F21),ISNUMBER(G21),ISNUMBER(H21)),IF(OR(AND(E21="多",F21&gt;G21),AND(E21="空",F21&lt;G21)),ABS(H21-F21)/ABS(F21-G21),"止损方向不对"),"")</f>
        <v/>
      </c>
      <c r="J21" s="35" t="str">
        <f>IF(AND(ISNUMBER(F21),ISNUMBER(G21)),IF(F21=G21,"",IF(INT(ROUND('参数'!$C$7/(ABS(F21-G21)*1+2*'参数'!$C$11+N('参数'!$C$14)*F21+N('参数'!$C$15))/1,6))*1&gt;0,INT(ROUND('参数'!$C$7/(ABS(F21-G21)*1+2*'参数'!$C$11+N('参数'!$C$14)*F21+N('参数'!$C$15))/1,6))*1,"预算不足，这笔不做")),"")</f>
        <v/>
      </c>
      <c r="K21" s="36" t="n"/>
      <c r="L21" s="20" t="str">
        <f>IF(AND(ISNUMBER(F21),ISNUMBER(G21),ISNUMBER(K21)),IF(AND(F21&lt;&gt;G21,K21&gt;0),ABS(F21-G21)*K21*1,""),"")</f>
        <v/>
      </c>
      <c r="M21" s="30" t="n"/>
      <c r="N21" s="37" t="str">
        <f>IF(AND(ISNUMBER(L21),ISNUMBER(M21)),IF(E21="空",(G21*(1+'参数'!$C$17)-F21),(F21-G21*(1-'参数'!$C$17)))*K21/L21,"")</f>
        <v/>
      </c>
      <c r="O21" s="38" t="n"/>
      <c r="P21" s="31" t="n"/>
      <c r="Q21" s="32" t="n"/>
      <c r="R21" s="39" t="str">
        <f>IF(N(U21)&gt;0,SUMPRODUCT(LARGE(('成交明细'!$A$5:$A$804=A21)*('成交明细'!$D$5:$D$804=IF(E21="空","卖","买"))*'成交明细'!$B$5:$B$804,COUNTIFS('成交明细'!$A$5:$A$804,A21,'成交明细'!$D$5:$D$804,IF(E21="空","卖","买")))),"")</f>
        <v/>
      </c>
      <c r="S21" s="39" t="str">
        <f>IF(AND(N(U21)&gt;0,N(W21)&gt;=N(U21)),SUMPRODUCT(MAX(('成交明细'!$A$5:$A$804=A21)*('成交明细'!$D$5:$D$804=IF(E21="空","买","卖"))*'成交明细'!$B$5:$B$804)),"")</f>
        <v/>
      </c>
      <c r="T21" s="32" t="n"/>
      <c r="U21" s="35" t="str">
        <f>IF(A21="","",SUMIFS('成交明细'!$F$5:$F$804,'成交明细'!$A$5:$A$804,A21,'成交明细'!$D$5:$D$804,IF(E21="空","卖","买")))</f>
        <v/>
      </c>
      <c r="V21" s="40" t="str">
        <f>IF(N(U21)&gt;0,SUMIFS('成交明细'!$H$5:$H$804,'成交明细'!$A$5:$A$804,A21,'成交明细'!$D$5:$D$804,IF(E21="空","卖","买"))/U21,"")</f>
        <v/>
      </c>
      <c r="W21" s="35" t="str">
        <f>IF(A21="","",SUMIFS('成交明细'!$F$5:$F$804,'成交明细'!$A$5:$A$804,A21,'成交明细'!$D$5:$D$804,IF(E21="空","买","卖")))</f>
        <v/>
      </c>
      <c r="X21" s="40" t="str">
        <f>IF(N(W21)&gt;0,SUMIFS('成交明细'!$H$5:$H$804,'成交明细'!$A$5:$A$804,A21,'成交明细'!$D$5:$D$804,IF(E21="空","买","卖"))/W21,"")</f>
        <v/>
      </c>
      <c r="Y21" s="41" t="str">
        <f>IF(A21="","",IF(Q21&lt;&gt;"已执行",IF(Q21="","未填执行情况",Q21),IF(N(U21)=0,"待录成交",IF(N(W21)&gt;N(U21),"平仓多于开仓",IF(N(W21)&lt;N(U21),"持仓中","已平仓")))))</f>
        <v/>
      </c>
      <c r="Z21" s="41" t="str">
        <f>IF(AND(ISNUMBER(R21),ISNUMBER(S21)),IF(R21=S21,"日内",""),"")</f>
        <v/>
      </c>
      <c r="AA21" s="42" t="str">
        <f>IF(Z21&lt;&gt;"日内","",COUNTIFS($Z$5:$Z$304,"日内",$S$5:$S$304,"&gt;"&amp;WORKDAY(S21,-5),$S$5:$S$304,"&lt;="&amp;S21))</f>
        <v/>
      </c>
      <c r="AB21" s="41" t="str">
        <f>IF(OR(NOT(ISNUMBER(M21)),NOT(ISNUMBER(R21))),"",IF(AND(M21&gt;=R21,OR(NOT(ISNUMBER(S21)),M21&lt;=S21)),"持仓跨财报",""))</f>
        <v/>
      </c>
      <c r="AC21" s="20">
        <f>IF(AND(E21="空",ISNUMBER(O21),ISNUMBER(S21)),ROUND(O21*(S21-R21)/360*V21*U21,2),0)</f>
        <v>0</v>
      </c>
      <c r="AD21" s="43" t="str">
        <f>IF(N(U21)=0,"",SUMIFS('成交明细'!$L$5:$L$804,'成交明细'!$A$5:$A$804,A21)+AC21)</f>
        <v/>
      </c>
      <c r="AE21" s="44" t="str">
        <f>IF(Y21&lt;&gt;"已平仓","",(SUMIFS('成交明细'!$H$5:$H$804,'成交明细'!$A$5:$A$804,A21,'成交明细'!$D$5:$D$804,"卖")-SUMIFS('成交明细'!$H$5:$H$804,'成交明细'!$A$5:$A$804,A21,'成交明细'!$D$5:$D$804,"买"))*1-AD21)</f>
        <v/>
      </c>
      <c r="AF21" s="45" t="str">
        <f>IF(AND(Y21="已平仓",ISNUMBER(L21)),(SUMIFS('成交明细'!$H$5:$H$804,'成交明细'!$A$5:$A$804,A21,'成交明细'!$D$5:$D$804,"卖")-SUMIFS('成交明细'!$H$5:$H$804,'成交明细'!$A$5:$A$804,A21,'成交明细'!$D$5:$D$804,"买"))*1/L21,"")</f>
        <v/>
      </c>
      <c r="AG21" s="45" t="str">
        <f>IF(AND(Y21="已平仓",ISNUMBER(L21)),AE21/L21,"")</f>
        <v/>
      </c>
      <c r="AH21" s="46" t="str">
        <f>IF(AND(ISNUMBER(V21),ISNUMBER(F21)),IF(E21="空",F21-V21,V21-F21),"")</f>
        <v/>
      </c>
      <c r="AI21" s="46" t="str">
        <f>IF(OR(NOT(ISNUMBER(AE21)),NOT(ISNUMBER(X21))),"",IF(AE21&lt;0,IF(E21="空",X21-G21,G21-X21),IF(NOT(ISNUMBER(H21)),"",IF(E21="空",X21-H21,H21-X21))))</f>
        <v/>
      </c>
      <c r="AJ21" s="32" t="n"/>
      <c r="AK21" s="32" t="n"/>
      <c r="AL21" s="31" t="n"/>
      <c r="AM21" s="45" t="str">
        <f>IF(A21="","",SUM(AG$5:AG21))</f>
        <v/>
      </c>
      <c r="AN21" s="37" t="str">
        <f>IF(A21="","",MAX(0,MAX(AM$5:AM21))-AM21)</f>
        <v/>
      </c>
    </row>
    <row r="22">
      <c r="A22" s="29" t="n"/>
      <c r="B22" s="30" t="n"/>
      <c r="C22" s="31" t="n"/>
      <c r="D22" s="32" t="n"/>
      <c r="E22" s="32" t="n"/>
      <c r="F22" s="33" t="n"/>
      <c r="G22" s="33" t="n"/>
      <c r="H22" s="33" t="n"/>
      <c r="I22" s="34" t="str">
        <f>IF(AND(ISNUMBER(F22),ISNUMBER(G22),ISNUMBER(H22)),IF(OR(AND(E22="多",F22&gt;G22),AND(E22="空",F22&lt;G22)),ABS(H22-F22)/ABS(F22-G22),"止损方向不对"),"")</f>
        <v/>
      </c>
      <c r="J22" s="35" t="str">
        <f>IF(AND(ISNUMBER(F22),ISNUMBER(G22)),IF(F22=G22,"",IF(INT(ROUND('参数'!$C$7/(ABS(F22-G22)*1+2*'参数'!$C$11+N('参数'!$C$14)*F22+N('参数'!$C$15))/1,6))*1&gt;0,INT(ROUND('参数'!$C$7/(ABS(F22-G22)*1+2*'参数'!$C$11+N('参数'!$C$14)*F22+N('参数'!$C$15))/1,6))*1,"预算不足，这笔不做")),"")</f>
        <v/>
      </c>
      <c r="K22" s="36" t="n"/>
      <c r="L22" s="20" t="str">
        <f>IF(AND(ISNUMBER(F22),ISNUMBER(G22),ISNUMBER(K22)),IF(AND(F22&lt;&gt;G22,K22&gt;0),ABS(F22-G22)*K22*1,""),"")</f>
        <v/>
      </c>
      <c r="M22" s="30" t="n"/>
      <c r="N22" s="37" t="str">
        <f>IF(AND(ISNUMBER(L22),ISNUMBER(M22)),IF(E22="空",(G22*(1+'参数'!$C$17)-F22),(F22-G22*(1-'参数'!$C$17)))*K22/L22,"")</f>
        <v/>
      </c>
      <c r="O22" s="38" t="n"/>
      <c r="P22" s="31" t="n"/>
      <c r="Q22" s="32" t="n"/>
      <c r="R22" s="39" t="str">
        <f>IF(N(U22)&gt;0,SUMPRODUCT(LARGE(('成交明细'!$A$5:$A$804=A22)*('成交明细'!$D$5:$D$804=IF(E22="空","卖","买"))*'成交明细'!$B$5:$B$804,COUNTIFS('成交明细'!$A$5:$A$804,A22,'成交明细'!$D$5:$D$804,IF(E22="空","卖","买")))),"")</f>
        <v/>
      </c>
      <c r="S22" s="39" t="str">
        <f>IF(AND(N(U22)&gt;0,N(W22)&gt;=N(U22)),SUMPRODUCT(MAX(('成交明细'!$A$5:$A$804=A22)*('成交明细'!$D$5:$D$804=IF(E22="空","买","卖"))*'成交明细'!$B$5:$B$804)),"")</f>
        <v/>
      </c>
      <c r="T22" s="32" t="n"/>
      <c r="U22" s="35" t="str">
        <f>IF(A22="","",SUMIFS('成交明细'!$F$5:$F$804,'成交明细'!$A$5:$A$804,A22,'成交明细'!$D$5:$D$804,IF(E22="空","卖","买")))</f>
        <v/>
      </c>
      <c r="V22" s="40" t="str">
        <f>IF(N(U22)&gt;0,SUMIFS('成交明细'!$H$5:$H$804,'成交明细'!$A$5:$A$804,A22,'成交明细'!$D$5:$D$804,IF(E22="空","卖","买"))/U22,"")</f>
        <v/>
      </c>
      <c r="W22" s="35" t="str">
        <f>IF(A22="","",SUMIFS('成交明细'!$F$5:$F$804,'成交明细'!$A$5:$A$804,A22,'成交明细'!$D$5:$D$804,IF(E22="空","买","卖")))</f>
        <v/>
      </c>
      <c r="X22" s="40" t="str">
        <f>IF(N(W22)&gt;0,SUMIFS('成交明细'!$H$5:$H$804,'成交明细'!$A$5:$A$804,A22,'成交明细'!$D$5:$D$804,IF(E22="空","买","卖"))/W22,"")</f>
        <v/>
      </c>
      <c r="Y22" s="41" t="str">
        <f>IF(A22="","",IF(Q22&lt;&gt;"已执行",IF(Q22="","未填执行情况",Q22),IF(N(U22)=0,"待录成交",IF(N(W22)&gt;N(U22),"平仓多于开仓",IF(N(W22)&lt;N(U22),"持仓中","已平仓")))))</f>
        <v/>
      </c>
      <c r="Z22" s="41" t="str">
        <f>IF(AND(ISNUMBER(R22),ISNUMBER(S22)),IF(R22=S22,"日内",""),"")</f>
        <v/>
      </c>
      <c r="AA22" s="42" t="str">
        <f>IF(Z22&lt;&gt;"日内","",COUNTIFS($Z$5:$Z$304,"日内",$S$5:$S$304,"&gt;"&amp;WORKDAY(S22,-5),$S$5:$S$304,"&lt;="&amp;S22))</f>
        <v/>
      </c>
      <c r="AB22" s="41" t="str">
        <f>IF(OR(NOT(ISNUMBER(M22)),NOT(ISNUMBER(R22))),"",IF(AND(M22&gt;=R22,OR(NOT(ISNUMBER(S22)),M22&lt;=S22)),"持仓跨财报",""))</f>
        <v/>
      </c>
      <c r="AC22" s="20">
        <f>IF(AND(E22="空",ISNUMBER(O22),ISNUMBER(S22)),ROUND(O22*(S22-R22)/360*V22*U22,2),0)</f>
        <v>0</v>
      </c>
      <c r="AD22" s="43" t="str">
        <f>IF(N(U22)=0,"",SUMIFS('成交明细'!$L$5:$L$804,'成交明细'!$A$5:$A$804,A22)+AC22)</f>
        <v/>
      </c>
      <c r="AE22" s="44" t="str">
        <f>IF(Y22&lt;&gt;"已平仓","",(SUMIFS('成交明细'!$H$5:$H$804,'成交明细'!$A$5:$A$804,A22,'成交明细'!$D$5:$D$804,"卖")-SUMIFS('成交明细'!$H$5:$H$804,'成交明细'!$A$5:$A$804,A22,'成交明细'!$D$5:$D$804,"买"))*1-AD22)</f>
        <v/>
      </c>
      <c r="AF22" s="45" t="str">
        <f>IF(AND(Y22="已平仓",ISNUMBER(L22)),(SUMIFS('成交明细'!$H$5:$H$804,'成交明细'!$A$5:$A$804,A22,'成交明细'!$D$5:$D$804,"卖")-SUMIFS('成交明细'!$H$5:$H$804,'成交明细'!$A$5:$A$804,A22,'成交明细'!$D$5:$D$804,"买"))*1/L22,"")</f>
        <v/>
      </c>
      <c r="AG22" s="45" t="str">
        <f>IF(AND(Y22="已平仓",ISNUMBER(L22)),AE22/L22,"")</f>
        <v/>
      </c>
      <c r="AH22" s="46" t="str">
        <f>IF(AND(ISNUMBER(V22),ISNUMBER(F22)),IF(E22="空",F22-V22,V22-F22),"")</f>
        <v/>
      </c>
      <c r="AI22" s="46" t="str">
        <f>IF(OR(NOT(ISNUMBER(AE22)),NOT(ISNUMBER(X22))),"",IF(AE22&lt;0,IF(E22="空",X22-G22,G22-X22),IF(NOT(ISNUMBER(H22)),"",IF(E22="空",X22-H22,H22-X22))))</f>
        <v/>
      </c>
      <c r="AJ22" s="32" t="n"/>
      <c r="AK22" s="32" t="n"/>
      <c r="AL22" s="31" t="n"/>
      <c r="AM22" s="45" t="str">
        <f>IF(A22="","",SUM(AG$5:AG22))</f>
        <v/>
      </c>
      <c r="AN22" s="37" t="str">
        <f>IF(A22="","",MAX(0,MAX(AM$5:AM22))-AM22)</f>
        <v/>
      </c>
    </row>
    <row r="23">
      <c r="A23" s="29" t="n"/>
      <c r="B23" s="30" t="n"/>
      <c r="C23" s="31" t="n"/>
      <c r="D23" s="32" t="n"/>
      <c r="E23" s="32" t="n"/>
      <c r="F23" s="33" t="n"/>
      <c r="G23" s="33" t="n"/>
      <c r="H23" s="33" t="n"/>
      <c r="I23" s="34" t="str">
        <f>IF(AND(ISNUMBER(F23),ISNUMBER(G23),ISNUMBER(H23)),IF(OR(AND(E23="多",F23&gt;G23),AND(E23="空",F23&lt;G23)),ABS(H23-F23)/ABS(F23-G23),"止损方向不对"),"")</f>
        <v/>
      </c>
      <c r="J23" s="35" t="str">
        <f>IF(AND(ISNUMBER(F23),ISNUMBER(G23)),IF(F23=G23,"",IF(INT(ROUND('参数'!$C$7/(ABS(F23-G23)*1+2*'参数'!$C$11+N('参数'!$C$14)*F23+N('参数'!$C$15))/1,6))*1&gt;0,INT(ROUND('参数'!$C$7/(ABS(F23-G23)*1+2*'参数'!$C$11+N('参数'!$C$14)*F23+N('参数'!$C$15))/1,6))*1,"预算不足，这笔不做")),"")</f>
        <v/>
      </c>
      <c r="K23" s="36" t="n"/>
      <c r="L23" s="20" t="str">
        <f>IF(AND(ISNUMBER(F23),ISNUMBER(G23),ISNUMBER(K23)),IF(AND(F23&lt;&gt;G23,K23&gt;0),ABS(F23-G23)*K23*1,""),"")</f>
        <v/>
      </c>
      <c r="M23" s="30" t="n"/>
      <c r="N23" s="37" t="str">
        <f>IF(AND(ISNUMBER(L23),ISNUMBER(M23)),IF(E23="空",(G23*(1+'参数'!$C$17)-F23),(F23-G23*(1-'参数'!$C$17)))*K23/L23,"")</f>
        <v/>
      </c>
      <c r="O23" s="38" t="n"/>
      <c r="P23" s="31" t="n"/>
      <c r="Q23" s="32" t="n"/>
      <c r="R23" s="39" t="str">
        <f>IF(N(U23)&gt;0,SUMPRODUCT(LARGE(('成交明细'!$A$5:$A$804=A23)*('成交明细'!$D$5:$D$804=IF(E23="空","卖","买"))*'成交明细'!$B$5:$B$804,COUNTIFS('成交明细'!$A$5:$A$804,A23,'成交明细'!$D$5:$D$804,IF(E23="空","卖","买")))),"")</f>
        <v/>
      </c>
      <c r="S23" s="39" t="str">
        <f>IF(AND(N(U23)&gt;0,N(W23)&gt;=N(U23)),SUMPRODUCT(MAX(('成交明细'!$A$5:$A$804=A23)*('成交明细'!$D$5:$D$804=IF(E23="空","买","卖"))*'成交明细'!$B$5:$B$804)),"")</f>
        <v/>
      </c>
      <c r="T23" s="32" t="n"/>
      <c r="U23" s="35" t="str">
        <f>IF(A23="","",SUMIFS('成交明细'!$F$5:$F$804,'成交明细'!$A$5:$A$804,A23,'成交明细'!$D$5:$D$804,IF(E23="空","卖","买")))</f>
        <v/>
      </c>
      <c r="V23" s="40" t="str">
        <f>IF(N(U23)&gt;0,SUMIFS('成交明细'!$H$5:$H$804,'成交明细'!$A$5:$A$804,A23,'成交明细'!$D$5:$D$804,IF(E23="空","卖","买"))/U23,"")</f>
        <v/>
      </c>
      <c r="W23" s="35" t="str">
        <f>IF(A23="","",SUMIFS('成交明细'!$F$5:$F$804,'成交明细'!$A$5:$A$804,A23,'成交明细'!$D$5:$D$804,IF(E23="空","买","卖")))</f>
        <v/>
      </c>
      <c r="X23" s="40" t="str">
        <f>IF(N(W23)&gt;0,SUMIFS('成交明细'!$H$5:$H$804,'成交明细'!$A$5:$A$804,A23,'成交明细'!$D$5:$D$804,IF(E23="空","买","卖"))/W23,"")</f>
        <v/>
      </c>
      <c r="Y23" s="41" t="str">
        <f>IF(A23="","",IF(Q23&lt;&gt;"已执行",IF(Q23="","未填执行情况",Q23),IF(N(U23)=0,"待录成交",IF(N(W23)&gt;N(U23),"平仓多于开仓",IF(N(W23)&lt;N(U23),"持仓中","已平仓")))))</f>
        <v/>
      </c>
      <c r="Z23" s="41" t="str">
        <f>IF(AND(ISNUMBER(R23),ISNUMBER(S23)),IF(R23=S23,"日内",""),"")</f>
        <v/>
      </c>
      <c r="AA23" s="42" t="str">
        <f>IF(Z23&lt;&gt;"日内","",COUNTIFS($Z$5:$Z$304,"日内",$S$5:$S$304,"&gt;"&amp;WORKDAY(S23,-5),$S$5:$S$304,"&lt;="&amp;S23))</f>
        <v/>
      </c>
      <c r="AB23" s="41" t="str">
        <f>IF(OR(NOT(ISNUMBER(M23)),NOT(ISNUMBER(R23))),"",IF(AND(M23&gt;=R23,OR(NOT(ISNUMBER(S23)),M23&lt;=S23)),"持仓跨财报",""))</f>
        <v/>
      </c>
      <c r="AC23" s="20">
        <f>IF(AND(E23="空",ISNUMBER(O23),ISNUMBER(S23)),ROUND(O23*(S23-R23)/360*V23*U23,2),0)</f>
        <v>0</v>
      </c>
      <c r="AD23" s="43" t="str">
        <f>IF(N(U23)=0,"",SUMIFS('成交明细'!$L$5:$L$804,'成交明细'!$A$5:$A$804,A23)+AC23)</f>
        <v/>
      </c>
      <c r="AE23" s="44" t="str">
        <f>IF(Y23&lt;&gt;"已平仓","",(SUMIFS('成交明细'!$H$5:$H$804,'成交明细'!$A$5:$A$804,A23,'成交明细'!$D$5:$D$804,"卖")-SUMIFS('成交明细'!$H$5:$H$804,'成交明细'!$A$5:$A$804,A23,'成交明细'!$D$5:$D$804,"买"))*1-AD23)</f>
        <v/>
      </c>
      <c r="AF23" s="45" t="str">
        <f>IF(AND(Y23="已平仓",ISNUMBER(L23)),(SUMIFS('成交明细'!$H$5:$H$804,'成交明细'!$A$5:$A$804,A23,'成交明细'!$D$5:$D$804,"卖")-SUMIFS('成交明细'!$H$5:$H$804,'成交明细'!$A$5:$A$804,A23,'成交明细'!$D$5:$D$804,"买"))*1/L23,"")</f>
        <v/>
      </c>
      <c r="AG23" s="45" t="str">
        <f>IF(AND(Y23="已平仓",ISNUMBER(L23)),AE23/L23,"")</f>
        <v/>
      </c>
      <c r="AH23" s="46" t="str">
        <f>IF(AND(ISNUMBER(V23),ISNUMBER(F23)),IF(E23="空",F23-V23,V23-F23),"")</f>
        <v/>
      </c>
      <c r="AI23" s="46" t="str">
        <f>IF(OR(NOT(ISNUMBER(AE23)),NOT(ISNUMBER(X23))),"",IF(AE23&lt;0,IF(E23="空",X23-G23,G23-X23),IF(NOT(ISNUMBER(H23)),"",IF(E23="空",X23-H23,H23-X23))))</f>
        <v/>
      </c>
      <c r="AJ23" s="32" t="n"/>
      <c r="AK23" s="32" t="n"/>
      <c r="AL23" s="31" t="n"/>
      <c r="AM23" s="45" t="str">
        <f>IF(A23="","",SUM(AG$5:AG23))</f>
        <v/>
      </c>
      <c r="AN23" s="37" t="str">
        <f>IF(A23="","",MAX(0,MAX(AM$5:AM23))-AM23)</f>
        <v/>
      </c>
    </row>
    <row r="24">
      <c r="A24" s="29" t="n"/>
      <c r="B24" s="30" t="n"/>
      <c r="C24" s="31" t="n"/>
      <c r="D24" s="32" t="n"/>
      <c r="E24" s="32" t="n"/>
      <c r="F24" s="33" t="n"/>
      <c r="G24" s="33" t="n"/>
      <c r="H24" s="33" t="n"/>
      <c r="I24" s="34" t="str">
        <f>IF(AND(ISNUMBER(F24),ISNUMBER(G24),ISNUMBER(H24)),IF(OR(AND(E24="多",F24&gt;G24),AND(E24="空",F24&lt;G24)),ABS(H24-F24)/ABS(F24-G24),"止损方向不对"),"")</f>
        <v/>
      </c>
      <c r="J24" s="35" t="str">
        <f>IF(AND(ISNUMBER(F24),ISNUMBER(G24)),IF(F24=G24,"",IF(INT(ROUND('参数'!$C$7/(ABS(F24-G24)*1+2*'参数'!$C$11+N('参数'!$C$14)*F24+N('参数'!$C$15))/1,6))*1&gt;0,INT(ROUND('参数'!$C$7/(ABS(F24-G24)*1+2*'参数'!$C$11+N('参数'!$C$14)*F24+N('参数'!$C$15))/1,6))*1,"预算不足，这笔不做")),"")</f>
        <v/>
      </c>
      <c r="K24" s="36" t="n"/>
      <c r="L24" s="20" t="str">
        <f>IF(AND(ISNUMBER(F24),ISNUMBER(G24),ISNUMBER(K24)),IF(AND(F24&lt;&gt;G24,K24&gt;0),ABS(F24-G24)*K24*1,""),"")</f>
        <v/>
      </c>
      <c r="M24" s="30" t="n"/>
      <c r="N24" s="37" t="str">
        <f>IF(AND(ISNUMBER(L24),ISNUMBER(M24)),IF(E24="空",(G24*(1+'参数'!$C$17)-F24),(F24-G24*(1-'参数'!$C$17)))*K24/L24,"")</f>
        <v/>
      </c>
      <c r="O24" s="38" t="n"/>
      <c r="P24" s="31" t="n"/>
      <c r="Q24" s="32" t="n"/>
      <c r="R24" s="39" t="str">
        <f>IF(N(U24)&gt;0,SUMPRODUCT(LARGE(('成交明细'!$A$5:$A$804=A24)*('成交明细'!$D$5:$D$804=IF(E24="空","卖","买"))*'成交明细'!$B$5:$B$804,COUNTIFS('成交明细'!$A$5:$A$804,A24,'成交明细'!$D$5:$D$804,IF(E24="空","卖","买")))),"")</f>
        <v/>
      </c>
      <c r="S24" s="39" t="str">
        <f>IF(AND(N(U24)&gt;0,N(W24)&gt;=N(U24)),SUMPRODUCT(MAX(('成交明细'!$A$5:$A$804=A24)*('成交明细'!$D$5:$D$804=IF(E24="空","买","卖"))*'成交明细'!$B$5:$B$804)),"")</f>
        <v/>
      </c>
      <c r="T24" s="32" t="n"/>
      <c r="U24" s="35" t="str">
        <f>IF(A24="","",SUMIFS('成交明细'!$F$5:$F$804,'成交明细'!$A$5:$A$804,A24,'成交明细'!$D$5:$D$804,IF(E24="空","卖","买")))</f>
        <v/>
      </c>
      <c r="V24" s="40" t="str">
        <f>IF(N(U24)&gt;0,SUMIFS('成交明细'!$H$5:$H$804,'成交明细'!$A$5:$A$804,A24,'成交明细'!$D$5:$D$804,IF(E24="空","卖","买"))/U24,"")</f>
        <v/>
      </c>
      <c r="W24" s="35" t="str">
        <f>IF(A24="","",SUMIFS('成交明细'!$F$5:$F$804,'成交明细'!$A$5:$A$804,A24,'成交明细'!$D$5:$D$804,IF(E24="空","买","卖")))</f>
        <v/>
      </c>
      <c r="X24" s="40" t="str">
        <f>IF(N(W24)&gt;0,SUMIFS('成交明细'!$H$5:$H$804,'成交明细'!$A$5:$A$804,A24,'成交明细'!$D$5:$D$804,IF(E24="空","买","卖"))/W24,"")</f>
        <v/>
      </c>
      <c r="Y24" s="41" t="str">
        <f>IF(A24="","",IF(Q24&lt;&gt;"已执行",IF(Q24="","未填执行情况",Q24),IF(N(U24)=0,"待录成交",IF(N(W24)&gt;N(U24),"平仓多于开仓",IF(N(W24)&lt;N(U24),"持仓中","已平仓")))))</f>
        <v/>
      </c>
      <c r="Z24" s="41" t="str">
        <f>IF(AND(ISNUMBER(R24),ISNUMBER(S24)),IF(R24=S24,"日内",""),"")</f>
        <v/>
      </c>
      <c r="AA24" s="42" t="str">
        <f>IF(Z24&lt;&gt;"日内","",COUNTIFS($Z$5:$Z$304,"日内",$S$5:$S$304,"&gt;"&amp;WORKDAY(S24,-5),$S$5:$S$304,"&lt;="&amp;S24))</f>
        <v/>
      </c>
      <c r="AB24" s="41" t="str">
        <f>IF(OR(NOT(ISNUMBER(M24)),NOT(ISNUMBER(R24))),"",IF(AND(M24&gt;=R24,OR(NOT(ISNUMBER(S24)),M24&lt;=S24)),"持仓跨财报",""))</f>
        <v/>
      </c>
      <c r="AC24" s="20">
        <f>IF(AND(E24="空",ISNUMBER(O24),ISNUMBER(S24)),ROUND(O24*(S24-R24)/360*V24*U24,2),0)</f>
        <v>0</v>
      </c>
      <c r="AD24" s="43" t="str">
        <f>IF(N(U24)=0,"",SUMIFS('成交明细'!$L$5:$L$804,'成交明细'!$A$5:$A$804,A24)+AC24)</f>
        <v/>
      </c>
      <c r="AE24" s="44" t="str">
        <f>IF(Y24&lt;&gt;"已平仓","",(SUMIFS('成交明细'!$H$5:$H$804,'成交明细'!$A$5:$A$804,A24,'成交明细'!$D$5:$D$804,"卖")-SUMIFS('成交明细'!$H$5:$H$804,'成交明细'!$A$5:$A$804,A24,'成交明细'!$D$5:$D$804,"买"))*1-AD24)</f>
        <v/>
      </c>
      <c r="AF24" s="45" t="str">
        <f>IF(AND(Y24="已平仓",ISNUMBER(L24)),(SUMIFS('成交明细'!$H$5:$H$804,'成交明细'!$A$5:$A$804,A24,'成交明细'!$D$5:$D$804,"卖")-SUMIFS('成交明细'!$H$5:$H$804,'成交明细'!$A$5:$A$804,A24,'成交明细'!$D$5:$D$804,"买"))*1/L24,"")</f>
        <v/>
      </c>
      <c r="AG24" s="45" t="str">
        <f>IF(AND(Y24="已平仓",ISNUMBER(L24)),AE24/L24,"")</f>
        <v/>
      </c>
      <c r="AH24" s="46" t="str">
        <f>IF(AND(ISNUMBER(V24),ISNUMBER(F24)),IF(E24="空",F24-V24,V24-F24),"")</f>
        <v/>
      </c>
      <c r="AI24" s="46" t="str">
        <f>IF(OR(NOT(ISNUMBER(AE24)),NOT(ISNUMBER(X24))),"",IF(AE24&lt;0,IF(E24="空",X24-G24,G24-X24),IF(NOT(ISNUMBER(H24)),"",IF(E24="空",X24-H24,H24-X24))))</f>
        <v/>
      </c>
      <c r="AJ24" s="32" t="n"/>
      <c r="AK24" s="32" t="n"/>
      <c r="AL24" s="31" t="n"/>
      <c r="AM24" s="45" t="str">
        <f>IF(A24="","",SUM(AG$5:AG24))</f>
        <v/>
      </c>
      <c r="AN24" s="37" t="str">
        <f>IF(A24="","",MAX(0,MAX(AM$5:AM24))-AM24)</f>
        <v/>
      </c>
    </row>
    <row r="25">
      <c r="A25" s="29" t="n"/>
      <c r="B25" s="30" t="n"/>
      <c r="C25" s="31" t="n"/>
      <c r="D25" s="32" t="n"/>
      <c r="E25" s="32" t="n"/>
      <c r="F25" s="33" t="n"/>
      <c r="G25" s="33" t="n"/>
      <c r="H25" s="33" t="n"/>
      <c r="I25" s="34" t="str">
        <f>IF(AND(ISNUMBER(F25),ISNUMBER(G25),ISNUMBER(H25)),IF(OR(AND(E25="多",F25&gt;G25),AND(E25="空",F25&lt;G25)),ABS(H25-F25)/ABS(F25-G25),"止损方向不对"),"")</f>
        <v/>
      </c>
      <c r="J25" s="35" t="str">
        <f>IF(AND(ISNUMBER(F25),ISNUMBER(G25)),IF(F25=G25,"",IF(INT(ROUND('参数'!$C$7/(ABS(F25-G25)*1+2*'参数'!$C$11+N('参数'!$C$14)*F25+N('参数'!$C$15))/1,6))*1&gt;0,INT(ROUND('参数'!$C$7/(ABS(F25-G25)*1+2*'参数'!$C$11+N('参数'!$C$14)*F25+N('参数'!$C$15))/1,6))*1,"预算不足，这笔不做")),"")</f>
        <v/>
      </c>
      <c r="K25" s="36" t="n"/>
      <c r="L25" s="20" t="str">
        <f>IF(AND(ISNUMBER(F25),ISNUMBER(G25),ISNUMBER(K25)),IF(AND(F25&lt;&gt;G25,K25&gt;0),ABS(F25-G25)*K25*1,""),"")</f>
        <v/>
      </c>
      <c r="M25" s="30" t="n"/>
      <c r="N25" s="37" t="str">
        <f>IF(AND(ISNUMBER(L25),ISNUMBER(M25)),IF(E25="空",(G25*(1+'参数'!$C$17)-F25),(F25-G25*(1-'参数'!$C$17)))*K25/L25,"")</f>
        <v/>
      </c>
      <c r="O25" s="38" t="n"/>
      <c r="P25" s="31" t="n"/>
      <c r="Q25" s="32" t="n"/>
      <c r="R25" s="39" t="str">
        <f>IF(N(U25)&gt;0,SUMPRODUCT(LARGE(('成交明细'!$A$5:$A$804=A25)*('成交明细'!$D$5:$D$804=IF(E25="空","卖","买"))*'成交明细'!$B$5:$B$804,COUNTIFS('成交明细'!$A$5:$A$804,A25,'成交明细'!$D$5:$D$804,IF(E25="空","卖","买")))),"")</f>
        <v/>
      </c>
      <c r="S25" s="39" t="str">
        <f>IF(AND(N(U25)&gt;0,N(W25)&gt;=N(U25)),SUMPRODUCT(MAX(('成交明细'!$A$5:$A$804=A25)*('成交明细'!$D$5:$D$804=IF(E25="空","买","卖"))*'成交明细'!$B$5:$B$804)),"")</f>
        <v/>
      </c>
      <c r="T25" s="32" t="n"/>
      <c r="U25" s="35" t="str">
        <f>IF(A25="","",SUMIFS('成交明细'!$F$5:$F$804,'成交明细'!$A$5:$A$804,A25,'成交明细'!$D$5:$D$804,IF(E25="空","卖","买")))</f>
        <v/>
      </c>
      <c r="V25" s="40" t="str">
        <f>IF(N(U25)&gt;0,SUMIFS('成交明细'!$H$5:$H$804,'成交明细'!$A$5:$A$804,A25,'成交明细'!$D$5:$D$804,IF(E25="空","卖","买"))/U25,"")</f>
        <v/>
      </c>
      <c r="W25" s="35" t="str">
        <f>IF(A25="","",SUMIFS('成交明细'!$F$5:$F$804,'成交明细'!$A$5:$A$804,A25,'成交明细'!$D$5:$D$804,IF(E25="空","买","卖")))</f>
        <v/>
      </c>
      <c r="X25" s="40" t="str">
        <f>IF(N(W25)&gt;0,SUMIFS('成交明细'!$H$5:$H$804,'成交明细'!$A$5:$A$804,A25,'成交明细'!$D$5:$D$804,IF(E25="空","买","卖"))/W25,"")</f>
        <v/>
      </c>
      <c r="Y25" s="41" t="str">
        <f>IF(A25="","",IF(Q25&lt;&gt;"已执行",IF(Q25="","未填执行情况",Q25),IF(N(U25)=0,"待录成交",IF(N(W25)&gt;N(U25),"平仓多于开仓",IF(N(W25)&lt;N(U25),"持仓中","已平仓")))))</f>
        <v/>
      </c>
      <c r="Z25" s="41" t="str">
        <f>IF(AND(ISNUMBER(R25),ISNUMBER(S25)),IF(R25=S25,"日内",""),"")</f>
        <v/>
      </c>
      <c r="AA25" s="42" t="str">
        <f>IF(Z25&lt;&gt;"日内","",COUNTIFS($Z$5:$Z$304,"日内",$S$5:$S$304,"&gt;"&amp;WORKDAY(S25,-5),$S$5:$S$304,"&lt;="&amp;S25))</f>
        <v/>
      </c>
      <c r="AB25" s="41" t="str">
        <f>IF(OR(NOT(ISNUMBER(M25)),NOT(ISNUMBER(R25))),"",IF(AND(M25&gt;=R25,OR(NOT(ISNUMBER(S25)),M25&lt;=S25)),"持仓跨财报",""))</f>
        <v/>
      </c>
      <c r="AC25" s="20">
        <f>IF(AND(E25="空",ISNUMBER(O25),ISNUMBER(S25)),ROUND(O25*(S25-R25)/360*V25*U25,2),0)</f>
        <v>0</v>
      </c>
      <c r="AD25" s="43" t="str">
        <f>IF(N(U25)=0,"",SUMIFS('成交明细'!$L$5:$L$804,'成交明细'!$A$5:$A$804,A25)+AC25)</f>
        <v/>
      </c>
      <c r="AE25" s="44" t="str">
        <f>IF(Y25&lt;&gt;"已平仓","",(SUMIFS('成交明细'!$H$5:$H$804,'成交明细'!$A$5:$A$804,A25,'成交明细'!$D$5:$D$804,"卖")-SUMIFS('成交明细'!$H$5:$H$804,'成交明细'!$A$5:$A$804,A25,'成交明细'!$D$5:$D$804,"买"))*1-AD25)</f>
        <v/>
      </c>
      <c r="AF25" s="45" t="str">
        <f>IF(AND(Y25="已平仓",ISNUMBER(L25)),(SUMIFS('成交明细'!$H$5:$H$804,'成交明细'!$A$5:$A$804,A25,'成交明细'!$D$5:$D$804,"卖")-SUMIFS('成交明细'!$H$5:$H$804,'成交明细'!$A$5:$A$804,A25,'成交明细'!$D$5:$D$804,"买"))*1/L25,"")</f>
        <v/>
      </c>
      <c r="AG25" s="45" t="str">
        <f>IF(AND(Y25="已平仓",ISNUMBER(L25)),AE25/L25,"")</f>
        <v/>
      </c>
      <c r="AH25" s="46" t="str">
        <f>IF(AND(ISNUMBER(V25),ISNUMBER(F25)),IF(E25="空",F25-V25,V25-F25),"")</f>
        <v/>
      </c>
      <c r="AI25" s="46" t="str">
        <f>IF(OR(NOT(ISNUMBER(AE25)),NOT(ISNUMBER(X25))),"",IF(AE25&lt;0,IF(E25="空",X25-G25,G25-X25),IF(NOT(ISNUMBER(H25)),"",IF(E25="空",X25-H25,H25-X25))))</f>
        <v/>
      </c>
      <c r="AJ25" s="32" t="n"/>
      <c r="AK25" s="32" t="n"/>
      <c r="AL25" s="31" t="n"/>
      <c r="AM25" s="45" t="str">
        <f>IF(A25="","",SUM(AG$5:AG25))</f>
        <v/>
      </c>
      <c r="AN25" s="37" t="str">
        <f>IF(A25="","",MAX(0,MAX(AM$5:AM25))-AM25)</f>
        <v/>
      </c>
    </row>
    <row r="26">
      <c r="A26" s="29" t="n"/>
      <c r="B26" s="30" t="n"/>
      <c r="C26" s="31" t="n"/>
      <c r="D26" s="32" t="n"/>
      <c r="E26" s="32" t="n"/>
      <c r="F26" s="33" t="n"/>
      <c r="G26" s="33" t="n"/>
      <c r="H26" s="33" t="n"/>
      <c r="I26" s="34" t="str">
        <f>IF(AND(ISNUMBER(F26),ISNUMBER(G26),ISNUMBER(H26)),IF(OR(AND(E26="多",F26&gt;G26),AND(E26="空",F26&lt;G26)),ABS(H26-F26)/ABS(F26-G26),"止损方向不对"),"")</f>
        <v/>
      </c>
      <c r="J26" s="35" t="str">
        <f>IF(AND(ISNUMBER(F26),ISNUMBER(G26)),IF(F26=G26,"",IF(INT(ROUND('参数'!$C$7/(ABS(F26-G26)*1+2*'参数'!$C$11+N('参数'!$C$14)*F26+N('参数'!$C$15))/1,6))*1&gt;0,INT(ROUND('参数'!$C$7/(ABS(F26-G26)*1+2*'参数'!$C$11+N('参数'!$C$14)*F26+N('参数'!$C$15))/1,6))*1,"预算不足，这笔不做")),"")</f>
        <v/>
      </c>
      <c r="K26" s="36" t="n"/>
      <c r="L26" s="20" t="str">
        <f>IF(AND(ISNUMBER(F26),ISNUMBER(G26),ISNUMBER(K26)),IF(AND(F26&lt;&gt;G26,K26&gt;0),ABS(F26-G26)*K26*1,""),"")</f>
        <v/>
      </c>
      <c r="M26" s="30" t="n"/>
      <c r="N26" s="37" t="str">
        <f>IF(AND(ISNUMBER(L26),ISNUMBER(M26)),IF(E26="空",(G26*(1+'参数'!$C$17)-F26),(F26-G26*(1-'参数'!$C$17)))*K26/L26,"")</f>
        <v/>
      </c>
      <c r="O26" s="38" t="n"/>
      <c r="P26" s="31" t="n"/>
      <c r="Q26" s="32" t="n"/>
      <c r="R26" s="39" t="str">
        <f>IF(N(U26)&gt;0,SUMPRODUCT(LARGE(('成交明细'!$A$5:$A$804=A26)*('成交明细'!$D$5:$D$804=IF(E26="空","卖","买"))*'成交明细'!$B$5:$B$804,COUNTIFS('成交明细'!$A$5:$A$804,A26,'成交明细'!$D$5:$D$804,IF(E26="空","卖","买")))),"")</f>
        <v/>
      </c>
      <c r="S26" s="39" t="str">
        <f>IF(AND(N(U26)&gt;0,N(W26)&gt;=N(U26)),SUMPRODUCT(MAX(('成交明细'!$A$5:$A$804=A26)*('成交明细'!$D$5:$D$804=IF(E26="空","买","卖"))*'成交明细'!$B$5:$B$804)),"")</f>
        <v/>
      </c>
      <c r="T26" s="32" t="n"/>
      <c r="U26" s="35" t="str">
        <f>IF(A26="","",SUMIFS('成交明细'!$F$5:$F$804,'成交明细'!$A$5:$A$804,A26,'成交明细'!$D$5:$D$804,IF(E26="空","卖","买")))</f>
        <v/>
      </c>
      <c r="V26" s="40" t="str">
        <f>IF(N(U26)&gt;0,SUMIFS('成交明细'!$H$5:$H$804,'成交明细'!$A$5:$A$804,A26,'成交明细'!$D$5:$D$804,IF(E26="空","卖","买"))/U26,"")</f>
        <v/>
      </c>
      <c r="W26" s="35" t="str">
        <f>IF(A26="","",SUMIFS('成交明细'!$F$5:$F$804,'成交明细'!$A$5:$A$804,A26,'成交明细'!$D$5:$D$804,IF(E26="空","买","卖")))</f>
        <v/>
      </c>
      <c r="X26" s="40" t="str">
        <f>IF(N(W26)&gt;0,SUMIFS('成交明细'!$H$5:$H$804,'成交明细'!$A$5:$A$804,A26,'成交明细'!$D$5:$D$804,IF(E26="空","买","卖"))/W26,"")</f>
        <v/>
      </c>
      <c r="Y26" s="41" t="str">
        <f>IF(A26="","",IF(Q26&lt;&gt;"已执行",IF(Q26="","未填执行情况",Q26),IF(N(U26)=0,"待录成交",IF(N(W26)&gt;N(U26),"平仓多于开仓",IF(N(W26)&lt;N(U26),"持仓中","已平仓")))))</f>
        <v/>
      </c>
      <c r="Z26" s="41" t="str">
        <f>IF(AND(ISNUMBER(R26),ISNUMBER(S26)),IF(R26=S26,"日内",""),"")</f>
        <v/>
      </c>
      <c r="AA26" s="42" t="str">
        <f>IF(Z26&lt;&gt;"日内","",COUNTIFS($Z$5:$Z$304,"日内",$S$5:$S$304,"&gt;"&amp;WORKDAY(S26,-5),$S$5:$S$304,"&lt;="&amp;S26))</f>
        <v/>
      </c>
      <c r="AB26" s="41" t="str">
        <f>IF(OR(NOT(ISNUMBER(M26)),NOT(ISNUMBER(R26))),"",IF(AND(M26&gt;=R26,OR(NOT(ISNUMBER(S26)),M26&lt;=S26)),"持仓跨财报",""))</f>
        <v/>
      </c>
      <c r="AC26" s="20">
        <f>IF(AND(E26="空",ISNUMBER(O26),ISNUMBER(S26)),ROUND(O26*(S26-R26)/360*V26*U26,2),0)</f>
        <v>0</v>
      </c>
      <c r="AD26" s="43" t="str">
        <f>IF(N(U26)=0,"",SUMIFS('成交明细'!$L$5:$L$804,'成交明细'!$A$5:$A$804,A26)+AC26)</f>
        <v/>
      </c>
      <c r="AE26" s="44" t="str">
        <f>IF(Y26&lt;&gt;"已平仓","",(SUMIFS('成交明细'!$H$5:$H$804,'成交明细'!$A$5:$A$804,A26,'成交明细'!$D$5:$D$804,"卖")-SUMIFS('成交明细'!$H$5:$H$804,'成交明细'!$A$5:$A$804,A26,'成交明细'!$D$5:$D$804,"买"))*1-AD26)</f>
        <v/>
      </c>
      <c r="AF26" s="45" t="str">
        <f>IF(AND(Y26="已平仓",ISNUMBER(L26)),(SUMIFS('成交明细'!$H$5:$H$804,'成交明细'!$A$5:$A$804,A26,'成交明细'!$D$5:$D$804,"卖")-SUMIFS('成交明细'!$H$5:$H$804,'成交明细'!$A$5:$A$804,A26,'成交明细'!$D$5:$D$804,"买"))*1/L26,"")</f>
        <v/>
      </c>
      <c r="AG26" s="45" t="str">
        <f>IF(AND(Y26="已平仓",ISNUMBER(L26)),AE26/L26,"")</f>
        <v/>
      </c>
      <c r="AH26" s="46" t="str">
        <f>IF(AND(ISNUMBER(V26),ISNUMBER(F26)),IF(E26="空",F26-V26,V26-F26),"")</f>
        <v/>
      </c>
      <c r="AI26" s="46" t="str">
        <f>IF(OR(NOT(ISNUMBER(AE26)),NOT(ISNUMBER(X26))),"",IF(AE26&lt;0,IF(E26="空",X26-G26,G26-X26),IF(NOT(ISNUMBER(H26)),"",IF(E26="空",X26-H26,H26-X26))))</f>
        <v/>
      </c>
      <c r="AJ26" s="32" t="n"/>
      <c r="AK26" s="32" t="n"/>
      <c r="AL26" s="31" t="n"/>
      <c r="AM26" s="45" t="str">
        <f>IF(A26="","",SUM(AG$5:AG26))</f>
        <v/>
      </c>
      <c r="AN26" s="37" t="str">
        <f>IF(A26="","",MAX(0,MAX(AM$5:AM26))-AM26)</f>
        <v/>
      </c>
    </row>
    <row r="27">
      <c r="A27" s="29" t="n"/>
      <c r="B27" s="30" t="n"/>
      <c r="C27" s="31" t="n"/>
      <c r="D27" s="32" t="n"/>
      <c r="E27" s="32" t="n"/>
      <c r="F27" s="33" t="n"/>
      <c r="G27" s="33" t="n"/>
      <c r="H27" s="33" t="n"/>
      <c r="I27" s="34" t="str">
        <f>IF(AND(ISNUMBER(F27),ISNUMBER(G27),ISNUMBER(H27)),IF(OR(AND(E27="多",F27&gt;G27),AND(E27="空",F27&lt;G27)),ABS(H27-F27)/ABS(F27-G27),"止损方向不对"),"")</f>
        <v/>
      </c>
      <c r="J27" s="35" t="str">
        <f>IF(AND(ISNUMBER(F27),ISNUMBER(G27)),IF(F27=G27,"",IF(INT(ROUND('参数'!$C$7/(ABS(F27-G27)*1+2*'参数'!$C$11+N('参数'!$C$14)*F27+N('参数'!$C$15))/1,6))*1&gt;0,INT(ROUND('参数'!$C$7/(ABS(F27-G27)*1+2*'参数'!$C$11+N('参数'!$C$14)*F27+N('参数'!$C$15))/1,6))*1,"预算不足，这笔不做")),"")</f>
        <v/>
      </c>
      <c r="K27" s="36" t="n"/>
      <c r="L27" s="20" t="str">
        <f>IF(AND(ISNUMBER(F27),ISNUMBER(G27),ISNUMBER(K27)),IF(AND(F27&lt;&gt;G27,K27&gt;0),ABS(F27-G27)*K27*1,""),"")</f>
        <v/>
      </c>
      <c r="M27" s="30" t="n"/>
      <c r="N27" s="37" t="str">
        <f>IF(AND(ISNUMBER(L27),ISNUMBER(M27)),IF(E27="空",(G27*(1+'参数'!$C$17)-F27),(F27-G27*(1-'参数'!$C$17)))*K27/L27,"")</f>
        <v/>
      </c>
      <c r="O27" s="38" t="n"/>
      <c r="P27" s="31" t="n"/>
      <c r="Q27" s="32" t="n"/>
      <c r="R27" s="39" t="str">
        <f>IF(N(U27)&gt;0,SUMPRODUCT(LARGE(('成交明细'!$A$5:$A$804=A27)*('成交明细'!$D$5:$D$804=IF(E27="空","卖","买"))*'成交明细'!$B$5:$B$804,COUNTIFS('成交明细'!$A$5:$A$804,A27,'成交明细'!$D$5:$D$804,IF(E27="空","卖","买")))),"")</f>
        <v/>
      </c>
      <c r="S27" s="39" t="str">
        <f>IF(AND(N(U27)&gt;0,N(W27)&gt;=N(U27)),SUMPRODUCT(MAX(('成交明细'!$A$5:$A$804=A27)*('成交明细'!$D$5:$D$804=IF(E27="空","买","卖"))*'成交明细'!$B$5:$B$804)),"")</f>
        <v/>
      </c>
      <c r="T27" s="32" t="n"/>
      <c r="U27" s="35" t="str">
        <f>IF(A27="","",SUMIFS('成交明细'!$F$5:$F$804,'成交明细'!$A$5:$A$804,A27,'成交明细'!$D$5:$D$804,IF(E27="空","卖","买")))</f>
        <v/>
      </c>
      <c r="V27" s="40" t="str">
        <f>IF(N(U27)&gt;0,SUMIFS('成交明细'!$H$5:$H$804,'成交明细'!$A$5:$A$804,A27,'成交明细'!$D$5:$D$804,IF(E27="空","卖","买"))/U27,"")</f>
        <v/>
      </c>
      <c r="W27" s="35" t="str">
        <f>IF(A27="","",SUMIFS('成交明细'!$F$5:$F$804,'成交明细'!$A$5:$A$804,A27,'成交明细'!$D$5:$D$804,IF(E27="空","买","卖")))</f>
        <v/>
      </c>
      <c r="X27" s="40" t="str">
        <f>IF(N(W27)&gt;0,SUMIFS('成交明细'!$H$5:$H$804,'成交明细'!$A$5:$A$804,A27,'成交明细'!$D$5:$D$804,IF(E27="空","买","卖"))/W27,"")</f>
        <v/>
      </c>
      <c r="Y27" s="41" t="str">
        <f>IF(A27="","",IF(Q27&lt;&gt;"已执行",IF(Q27="","未填执行情况",Q27),IF(N(U27)=0,"待录成交",IF(N(W27)&gt;N(U27),"平仓多于开仓",IF(N(W27)&lt;N(U27),"持仓中","已平仓")))))</f>
        <v/>
      </c>
      <c r="Z27" s="41" t="str">
        <f>IF(AND(ISNUMBER(R27),ISNUMBER(S27)),IF(R27=S27,"日内",""),"")</f>
        <v/>
      </c>
      <c r="AA27" s="42" t="str">
        <f>IF(Z27&lt;&gt;"日内","",COUNTIFS($Z$5:$Z$304,"日内",$S$5:$S$304,"&gt;"&amp;WORKDAY(S27,-5),$S$5:$S$304,"&lt;="&amp;S27))</f>
        <v/>
      </c>
      <c r="AB27" s="41" t="str">
        <f>IF(OR(NOT(ISNUMBER(M27)),NOT(ISNUMBER(R27))),"",IF(AND(M27&gt;=R27,OR(NOT(ISNUMBER(S27)),M27&lt;=S27)),"持仓跨财报",""))</f>
        <v/>
      </c>
      <c r="AC27" s="20">
        <f>IF(AND(E27="空",ISNUMBER(O27),ISNUMBER(S27)),ROUND(O27*(S27-R27)/360*V27*U27,2),0)</f>
        <v>0</v>
      </c>
      <c r="AD27" s="43" t="str">
        <f>IF(N(U27)=0,"",SUMIFS('成交明细'!$L$5:$L$804,'成交明细'!$A$5:$A$804,A27)+AC27)</f>
        <v/>
      </c>
      <c r="AE27" s="44" t="str">
        <f>IF(Y27&lt;&gt;"已平仓","",(SUMIFS('成交明细'!$H$5:$H$804,'成交明细'!$A$5:$A$804,A27,'成交明细'!$D$5:$D$804,"卖")-SUMIFS('成交明细'!$H$5:$H$804,'成交明细'!$A$5:$A$804,A27,'成交明细'!$D$5:$D$804,"买"))*1-AD27)</f>
        <v/>
      </c>
      <c r="AF27" s="45" t="str">
        <f>IF(AND(Y27="已平仓",ISNUMBER(L27)),(SUMIFS('成交明细'!$H$5:$H$804,'成交明细'!$A$5:$A$804,A27,'成交明细'!$D$5:$D$804,"卖")-SUMIFS('成交明细'!$H$5:$H$804,'成交明细'!$A$5:$A$804,A27,'成交明细'!$D$5:$D$804,"买"))*1/L27,"")</f>
        <v/>
      </c>
      <c r="AG27" s="45" t="str">
        <f>IF(AND(Y27="已平仓",ISNUMBER(L27)),AE27/L27,"")</f>
        <v/>
      </c>
      <c r="AH27" s="46" t="str">
        <f>IF(AND(ISNUMBER(V27),ISNUMBER(F27)),IF(E27="空",F27-V27,V27-F27),"")</f>
        <v/>
      </c>
      <c r="AI27" s="46" t="str">
        <f>IF(OR(NOT(ISNUMBER(AE27)),NOT(ISNUMBER(X27))),"",IF(AE27&lt;0,IF(E27="空",X27-G27,G27-X27),IF(NOT(ISNUMBER(H27)),"",IF(E27="空",X27-H27,H27-X27))))</f>
        <v/>
      </c>
      <c r="AJ27" s="32" t="n"/>
      <c r="AK27" s="32" t="n"/>
      <c r="AL27" s="31" t="n"/>
      <c r="AM27" s="45" t="str">
        <f>IF(A27="","",SUM(AG$5:AG27))</f>
        <v/>
      </c>
      <c r="AN27" s="37" t="str">
        <f>IF(A27="","",MAX(0,MAX(AM$5:AM27))-AM27)</f>
        <v/>
      </c>
    </row>
    <row r="28">
      <c r="A28" s="29" t="n"/>
      <c r="B28" s="30" t="n"/>
      <c r="C28" s="31" t="n"/>
      <c r="D28" s="32" t="n"/>
      <c r="E28" s="32" t="n"/>
      <c r="F28" s="33" t="n"/>
      <c r="G28" s="33" t="n"/>
      <c r="H28" s="33" t="n"/>
      <c r="I28" s="34" t="str">
        <f>IF(AND(ISNUMBER(F28),ISNUMBER(G28),ISNUMBER(H28)),IF(OR(AND(E28="多",F28&gt;G28),AND(E28="空",F28&lt;G28)),ABS(H28-F28)/ABS(F28-G28),"止损方向不对"),"")</f>
        <v/>
      </c>
      <c r="J28" s="35" t="str">
        <f>IF(AND(ISNUMBER(F28),ISNUMBER(G28)),IF(F28=G28,"",IF(INT(ROUND('参数'!$C$7/(ABS(F28-G28)*1+2*'参数'!$C$11+N('参数'!$C$14)*F28+N('参数'!$C$15))/1,6))*1&gt;0,INT(ROUND('参数'!$C$7/(ABS(F28-G28)*1+2*'参数'!$C$11+N('参数'!$C$14)*F28+N('参数'!$C$15))/1,6))*1,"预算不足，这笔不做")),"")</f>
        <v/>
      </c>
      <c r="K28" s="36" t="n"/>
      <c r="L28" s="20" t="str">
        <f>IF(AND(ISNUMBER(F28),ISNUMBER(G28),ISNUMBER(K28)),IF(AND(F28&lt;&gt;G28,K28&gt;0),ABS(F28-G28)*K28*1,""),"")</f>
        <v/>
      </c>
      <c r="M28" s="30" t="n"/>
      <c r="N28" s="37" t="str">
        <f>IF(AND(ISNUMBER(L28),ISNUMBER(M28)),IF(E28="空",(G28*(1+'参数'!$C$17)-F28),(F28-G28*(1-'参数'!$C$17)))*K28/L28,"")</f>
        <v/>
      </c>
      <c r="O28" s="38" t="n"/>
      <c r="P28" s="31" t="n"/>
      <c r="Q28" s="32" t="n"/>
      <c r="R28" s="39" t="str">
        <f>IF(N(U28)&gt;0,SUMPRODUCT(LARGE(('成交明细'!$A$5:$A$804=A28)*('成交明细'!$D$5:$D$804=IF(E28="空","卖","买"))*'成交明细'!$B$5:$B$804,COUNTIFS('成交明细'!$A$5:$A$804,A28,'成交明细'!$D$5:$D$804,IF(E28="空","卖","买")))),"")</f>
        <v/>
      </c>
      <c r="S28" s="39" t="str">
        <f>IF(AND(N(U28)&gt;0,N(W28)&gt;=N(U28)),SUMPRODUCT(MAX(('成交明细'!$A$5:$A$804=A28)*('成交明细'!$D$5:$D$804=IF(E28="空","买","卖"))*'成交明细'!$B$5:$B$804)),"")</f>
        <v/>
      </c>
      <c r="T28" s="32" t="n"/>
      <c r="U28" s="35" t="str">
        <f>IF(A28="","",SUMIFS('成交明细'!$F$5:$F$804,'成交明细'!$A$5:$A$804,A28,'成交明细'!$D$5:$D$804,IF(E28="空","卖","买")))</f>
        <v/>
      </c>
      <c r="V28" s="40" t="str">
        <f>IF(N(U28)&gt;0,SUMIFS('成交明细'!$H$5:$H$804,'成交明细'!$A$5:$A$804,A28,'成交明细'!$D$5:$D$804,IF(E28="空","卖","买"))/U28,"")</f>
        <v/>
      </c>
      <c r="W28" s="35" t="str">
        <f>IF(A28="","",SUMIFS('成交明细'!$F$5:$F$804,'成交明细'!$A$5:$A$804,A28,'成交明细'!$D$5:$D$804,IF(E28="空","买","卖")))</f>
        <v/>
      </c>
      <c r="X28" s="40" t="str">
        <f>IF(N(W28)&gt;0,SUMIFS('成交明细'!$H$5:$H$804,'成交明细'!$A$5:$A$804,A28,'成交明细'!$D$5:$D$804,IF(E28="空","买","卖"))/W28,"")</f>
        <v/>
      </c>
      <c r="Y28" s="41" t="str">
        <f>IF(A28="","",IF(Q28&lt;&gt;"已执行",IF(Q28="","未填执行情况",Q28),IF(N(U28)=0,"待录成交",IF(N(W28)&gt;N(U28),"平仓多于开仓",IF(N(W28)&lt;N(U28),"持仓中","已平仓")))))</f>
        <v/>
      </c>
      <c r="Z28" s="41" t="str">
        <f>IF(AND(ISNUMBER(R28),ISNUMBER(S28)),IF(R28=S28,"日内",""),"")</f>
        <v/>
      </c>
      <c r="AA28" s="42" t="str">
        <f>IF(Z28&lt;&gt;"日内","",COUNTIFS($Z$5:$Z$304,"日内",$S$5:$S$304,"&gt;"&amp;WORKDAY(S28,-5),$S$5:$S$304,"&lt;="&amp;S28))</f>
        <v/>
      </c>
      <c r="AB28" s="41" t="str">
        <f>IF(OR(NOT(ISNUMBER(M28)),NOT(ISNUMBER(R28))),"",IF(AND(M28&gt;=R28,OR(NOT(ISNUMBER(S28)),M28&lt;=S28)),"持仓跨财报",""))</f>
        <v/>
      </c>
      <c r="AC28" s="20">
        <f>IF(AND(E28="空",ISNUMBER(O28),ISNUMBER(S28)),ROUND(O28*(S28-R28)/360*V28*U28,2),0)</f>
        <v>0</v>
      </c>
      <c r="AD28" s="43" t="str">
        <f>IF(N(U28)=0,"",SUMIFS('成交明细'!$L$5:$L$804,'成交明细'!$A$5:$A$804,A28)+AC28)</f>
        <v/>
      </c>
      <c r="AE28" s="44" t="str">
        <f>IF(Y28&lt;&gt;"已平仓","",(SUMIFS('成交明细'!$H$5:$H$804,'成交明细'!$A$5:$A$804,A28,'成交明细'!$D$5:$D$804,"卖")-SUMIFS('成交明细'!$H$5:$H$804,'成交明细'!$A$5:$A$804,A28,'成交明细'!$D$5:$D$804,"买"))*1-AD28)</f>
        <v/>
      </c>
      <c r="AF28" s="45" t="str">
        <f>IF(AND(Y28="已平仓",ISNUMBER(L28)),(SUMIFS('成交明细'!$H$5:$H$804,'成交明细'!$A$5:$A$804,A28,'成交明细'!$D$5:$D$804,"卖")-SUMIFS('成交明细'!$H$5:$H$804,'成交明细'!$A$5:$A$804,A28,'成交明细'!$D$5:$D$804,"买"))*1/L28,"")</f>
        <v/>
      </c>
      <c r="AG28" s="45" t="str">
        <f>IF(AND(Y28="已平仓",ISNUMBER(L28)),AE28/L28,"")</f>
        <v/>
      </c>
      <c r="AH28" s="46" t="str">
        <f>IF(AND(ISNUMBER(V28),ISNUMBER(F28)),IF(E28="空",F28-V28,V28-F28),"")</f>
        <v/>
      </c>
      <c r="AI28" s="46" t="str">
        <f>IF(OR(NOT(ISNUMBER(AE28)),NOT(ISNUMBER(X28))),"",IF(AE28&lt;0,IF(E28="空",X28-G28,G28-X28),IF(NOT(ISNUMBER(H28)),"",IF(E28="空",X28-H28,H28-X28))))</f>
        <v/>
      </c>
      <c r="AJ28" s="32" t="n"/>
      <c r="AK28" s="32" t="n"/>
      <c r="AL28" s="31" t="n"/>
      <c r="AM28" s="45" t="str">
        <f>IF(A28="","",SUM(AG$5:AG28))</f>
        <v/>
      </c>
      <c r="AN28" s="37" t="str">
        <f>IF(A28="","",MAX(0,MAX(AM$5:AM28))-AM28)</f>
        <v/>
      </c>
    </row>
    <row r="29">
      <c r="A29" s="29" t="n"/>
      <c r="B29" s="30" t="n"/>
      <c r="C29" s="31" t="n"/>
      <c r="D29" s="32" t="n"/>
      <c r="E29" s="32" t="n"/>
      <c r="F29" s="33" t="n"/>
      <c r="G29" s="33" t="n"/>
      <c r="H29" s="33" t="n"/>
      <c r="I29" s="34" t="str">
        <f>IF(AND(ISNUMBER(F29),ISNUMBER(G29),ISNUMBER(H29)),IF(OR(AND(E29="多",F29&gt;G29),AND(E29="空",F29&lt;G29)),ABS(H29-F29)/ABS(F29-G29),"止损方向不对"),"")</f>
        <v/>
      </c>
      <c r="J29" s="35" t="str">
        <f>IF(AND(ISNUMBER(F29),ISNUMBER(G29)),IF(F29=G29,"",IF(INT(ROUND('参数'!$C$7/(ABS(F29-G29)*1+2*'参数'!$C$11+N('参数'!$C$14)*F29+N('参数'!$C$15))/1,6))*1&gt;0,INT(ROUND('参数'!$C$7/(ABS(F29-G29)*1+2*'参数'!$C$11+N('参数'!$C$14)*F29+N('参数'!$C$15))/1,6))*1,"预算不足，这笔不做")),"")</f>
        <v/>
      </c>
      <c r="K29" s="36" t="n"/>
      <c r="L29" s="20" t="str">
        <f>IF(AND(ISNUMBER(F29),ISNUMBER(G29),ISNUMBER(K29)),IF(AND(F29&lt;&gt;G29,K29&gt;0),ABS(F29-G29)*K29*1,""),"")</f>
        <v/>
      </c>
      <c r="M29" s="30" t="n"/>
      <c r="N29" s="37" t="str">
        <f>IF(AND(ISNUMBER(L29),ISNUMBER(M29)),IF(E29="空",(G29*(1+'参数'!$C$17)-F29),(F29-G29*(1-'参数'!$C$17)))*K29/L29,"")</f>
        <v/>
      </c>
      <c r="O29" s="38" t="n"/>
      <c r="P29" s="31" t="n"/>
      <c r="Q29" s="32" t="n"/>
      <c r="R29" s="39" t="str">
        <f>IF(N(U29)&gt;0,SUMPRODUCT(LARGE(('成交明细'!$A$5:$A$804=A29)*('成交明细'!$D$5:$D$804=IF(E29="空","卖","买"))*'成交明细'!$B$5:$B$804,COUNTIFS('成交明细'!$A$5:$A$804,A29,'成交明细'!$D$5:$D$804,IF(E29="空","卖","买")))),"")</f>
        <v/>
      </c>
      <c r="S29" s="39" t="str">
        <f>IF(AND(N(U29)&gt;0,N(W29)&gt;=N(U29)),SUMPRODUCT(MAX(('成交明细'!$A$5:$A$804=A29)*('成交明细'!$D$5:$D$804=IF(E29="空","买","卖"))*'成交明细'!$B$5:$B$804)),"")</f>
        <v/>
      </c>
      <c r="T29" s="32" t="n"/>
      <c r="U29" s="35" t="str">
        <f>IF(A29="","",SUMIFS('成交明细'!$F$5:$F$804,'成交明细'!$A$5:$A$804,A29,'成交明细'!$D$5:$D$804,IF(E29="空","卖","买")))</f>
        <v/>
      </c>
      <c r="V29" s="40" t="str">
        <f>IF(N(U29)&gt;0,SUMIFS('成交明细'!$H$5:$H$804,'成交明细'!$A$5:$A$804,A29,'成交明细'!$D$5:$D$804,IF(E29="空","卖","买"))/U29,"")</f>
        <v/>
      </c>
      <c r="W29" s="35" t="str">
        <f>IF(A29="","",SUMIFS('成交明细'!$F$5:$F$804,'成交明细'!$A$5:$A$804,A29,'成交明细'!$D$5:$D$804,IF(E29="空","买","卖")))</f>
        <v/>
      </c>
      <c r="X29" s="40" t="str">
        <f>IF(N(W29)&gt;0,SUMIFS('成交明细'!$H$5:$H$804,'成交明细'!$A$5:$A$804,A29,'成交明细'!$D$5:$D$804,IF(E29="空","买","卖"))/W29,"")</f>
        <v/>
      </c>
      <c r="Y29" s="41" t="str">
        <f>IF(A29="","",IF(Q29&lt;&gt;"已执行",IF(Q29="","未填执行情况",Q29),IF(N(U29)=0,"待录成交",IF(N(W29)&gt;N(U29),"平仓多于开仓",IF(N(W29)&lt;N(U29),"持仓中","已平仓")))))</f>
        <v/>
      </c>
      <c r="Z29" s="41" t="str">
        <f>IF(AND(ISNUMBER(R29),ISNUMBER(S29)),IF(R29=S29,"日内",""),"")</f>
        <v/>
      </c>
      <c r="AA29" s="42" t="str">
        <f>IF(Z29&lt;&gt;"日内","",COUNTIFS($Z$5:$Z$304,"日内",$S$5:$S$304,"&gt;"&amp;WORKDAY(S29,-5),$S$5:$S$304,"&lt;="&amp;S29))</f>
        <v/>
      </c>
      <c r="AB29" s="41" t="str">
        <f>IF(OR(NOT(ISNUMBER(M29)),NOT(ISNUMBER(R29))),"",IF(AND(M29&gt;=R29,OR(NOT(ISNUMBER(S29)),M29&lt;=S29)),"持仓跨财报",""))</f>
        <v/>
      </c>
      <c r="AC29" s="20">
        <f>IF(AND(E29="空",ISNUMBER(O29),ISNUMBER(S29)),ROUND(O29*(S29-R29)/360*V29*U29,2),0)</f>
        <v>0</v>
      </c>
      <c r="AD29" s="43" t="str">
        <f>IF(N(U29)=0,"",SUMIFS('成交明细'!$L$5:$L$804,'成交明细'!$A$5:$A$804,A29)+AC29)</f>
        <v/>
      </c>
      <c r="AE29" s="44" t="str">
        <f>IF(Y29&lt;&gt;"已平仓","",(SUMIFS('成交明细'!$H$5:$H$804,'成交明细'!$A$5:$A$804,A29,'成交明细'!$D$5:$D$804,"卖")-SUMIFS('成交明细'!$H$5:$H$804,'成交明细'!$A$5:$A$804,A29,'成交明细'!$D$5:$D$804,"买"))*1-AD29)</f>
        <v/>
      </c>
      <c r="AF29" s="45" t="str">
        <f>IF(AND(Y29="已平仓",ISNUMBER(L29)),(SUMIFS('成交明细'!$H$5:$H$804,'成交明细'!$A$5:$A$804,A29,'成交明细'!$D$5:$D$804,"卖")-SUMIFS('成交明细'!$H$5:$H$804,'成交明细'!$A$5:$A$804,A29,'成交明细'!$D$5:$D$804,"买"))*1/L29,"")</f>
        <v/>
      </c>
      <c r="AG29" s="45" t="str">
        <f>IF(AND(Y29="已平仓",ISNUMBER(L29)),AE29/L29,"")</f>
        <v/>
      </c>
      <c r="AH29" s="46" t="str">
        <f>IF(AND(ISNUMBER(V29),ISNUMBER(F29)),IF(E29="空",F29-V29,V29-F29),"")</f>
        <v/>
      </c>
      <c r="AI29" s="46" t="str">
        <f>IF(OR(NOT(ISNUMBER(AE29)),NOT(ISNUMBER(X29))),"",IF(AE29&lt;0,IF(E29="空",X29-G29,G29-X29),IF(NOT(ISNUMBER(H29)),"",IF(E29="空",X29-H29,H29-X29))))</f>
        <v/>
      </c>
      <c r="AJ29" s="32" t="n"/>
      <c r="AK29" s="32" t="n"/>
      <c r="AL29" s="31" t="n"/>
      <c r="AM29" s="45" t="str">
        <f>IF(A29="","",SUM(AG$5:AG29))</f>
        <v/>
      </c>
      <c r="AN29" s="37" t="str">
        <f>IF(A29="","",MAX(0,MAX(AM$5:AM29))-AM29)</f>
        <v/>
      </c>
    </row>
    <row r="30">
      <c r="A30" s="29" t="n"/>
      <c r="B30" s="30" t="n"/>
      <c r="C30" s="31" t="n"/>
      <c r="D30" s="32" t="n"/>
      <c r="E30" s="32" t="n"/>
      <c r="F30" s="33" t="n"/>
      <c r="G30" s="33" t="n"/>
      <c r="H30" s="33" t="n"/>
      <c r="I30" s="34" t="str">
        <f>IF(AND(ISNUMBER(F30),ISNUMBER(G30),ISNUMBER(H30)),IF(OR(AND(E30="多",F30&gt;G30),AND(E30="空",F30&lt;G30)),ABS(H30-F30)/ABS(F30-G30),"止损方向不对"),"")</f>
        <v/>
      </c>
      <c r="J30" s="35" t="str">
        <f>IF(AND(ISNUMBER(F30),ISNUMBER(G30)),IF(F30=G30,"",IF(INT(ROUND('参数'!$C$7/(ABS(F30-G30)*1+2*'参数'!$C$11+N('参数'!$C$14)*F30+N('参数'!$C$15))/1,6))*1&gt;0,INT(ROUND('参数'!$C$7/(ABS(F30-G30)*1+2*'参数'!$C$11+N('参数'!$C$14)*F30+N('参数'!$C$15))/1,6))*1,"预算不足，这笔不做")),"")</f>
        <v/>
      </c>
      <c r="K30" s="36" t="n"/>
      <c r="L30" s="20" t="str">
        <f>IF(AND(ISNUMBER(F30),ISNUMBER(G30),ISNUMBER(K30)),IF(AND(F30&lt;&gt;G30,K30&gt;0),ABS(F30-G30)*K30*1,""),"")</f>
        <v/>
      </c>
      <c r="M30" s="30" t="n"/>
      <c r="N30" s="37" t="str">
        <f>IF(AND(ISNUMBER(L30),ISNUMBER(M30)),IF(E30="空",(G30*(1+'参数'!$C$17)-F30),(F30-G30*(1-'参数'!$C$17)))*K30/L30,"")</f>
        <v/>
      </c>
      <c r="O30" s="38" t="n"/>
      <c r="P30" s="31" t="n"/>
      <c r="Q30" s="32" t="n"/>
      <c r="R30" s="39" t="str">
        <f>IF(N(U30)&gt;0,SUMPRODUCT(LARGE(('成交明细'!$A$5:$A$804=A30)*('成交明细'!$D$5:$D$804=IF(E30="空","卖","买"))*'成交明细'!$B$5:$B$804,COUNTIFS('成交明细'!$A$5:$A$804,A30,'成交明细'!$D$5:$D$804,IF(E30="空","卖","买")))),"")</f>
        <v/>
      </c>
      <c r="S30" s="39" t="str">
        <f>IF(AND(N(U30)&gt;0,N(W30)&gt;=N(U30)),SUMPRODUCT(MAX(('成交明细'!$A$5:$A$804=A30)*('成交明细'!$D$5:$D$804=IF(E30="空","买","卖"))*'成交明细'!$B$5:$B$804)),"")</f>
        <v/>
      </c>
      <c r="T30" s="32" t="n"/>
      <c r="U30" s="35" t="str">
        <f>IF(A30="","",SUMIFS('成交明细'!$F$5:$F$804,'成交明细'!$A$5:$A$804,A30,'成交明细'!$D$5:$D$804,IF(E30="空","卖","买")))</f>
        <v/>
      </c>
      <c r="V30" s="40" t="str">
        <f>IF(N(U30)&gt;0,SUMIFS('成交明细'!$H$5:$H$804,'成交明细'!$A$5:$A$804,A30,'成交明细'!$D$5:$D$804,IF(E30="空","卖","买"))/U30,"")</f>
        <v/>
      </c>
      <c r="W30" s="35" t="str">
        <f>IF(A30="","",SUMIFS('成交明细'!$F$5:$F$804,'成交明细'!$A$5:$A$804,A30,'成交明细'!$D$5:$D$804,IF(E30="空","买","卖")))</f>
        <v/>
      </c>
      <c r="X30" s="40" t="str">
        <f>IF(N(W30)&gt;0,SUMIFS('成交明细'!$H$5:$H$804,'成交明细'!$A$5:$A$804,A30,'成交明细'!$D$5:$D$804,IF(E30="空","买","卖"))/W30,"")</f>
        <v/>
      </c>
      <c r="Y30" s="41" t="str">
        <f>IF(A30="","",IF(Q30&lt;&gt;"已执行",IF(Q30="","未填执行情况",Q30),IF(N(U30)=0,"待录成交",IF(N(W30)&gt;N(U30),"平仓多于开仓",IF(N(W30)&lt;N(U30),"持仓中","已平仓")))))</f>
        <v/>
      </c>
      <c r="Z30" s="41" t="str">
        <f>IF(AND(ISNUMBER(R30),ISNUMBER(S30)),IF(R30=S30,"日内",""),"")</f>
        <v/>
      </c>
      <c r="AA30" s="42" t="str">
        <f>IF(Z30&lt;&gt;"日内","",COUNTIFS($Z$5:$Z$304,"日内",$S$5:$S$304,"&gt;"&amp;WORKDAY(S30,-5),$S$5:$S$304,"&lt;="&amp;S30))</f>
        <v/>
      </c>
      <c r="AB30" s="41" t="str">
        <f>IF(OR(NOT(ISNUMBER(M30)),NOT(ISNUMBER(R30))),"",IF(AND(M30&gt;=R30,OR(NOT(ISNUMBER(S30)),M30&lt;=S30)),"持仓跨财报",""))</f>
        <v/>
      </c>
      <c r="AC30" s="20">
        <f>IF(AND(E30="空",ISNUMBER(O30),ISNUMBER(S30)),ROUND(O30*(S30-R30)/360*V30*U30,2),0)</f>
        <v>0</v>
      </c>
      <c r="AD30" s="43" t="str">
        <f>IF(N(U30)=0,"",SUMIFS('成交明细'!$L$5:$L$804,'成交明细'!$A$5:$A$804,A30)+AC30)</f>
        <v/>
      </c>
      <c r="AE30" s="44" t="str">
        <f>IF(Y30&lt;&gt;"已平仓","",(SUMIFS('成交明细'!$H$5:$H$804,'成交明细'!$A$5:$A$804,A30,'成交明细'!$D$5:$D$804,"卖")-SUMIFS('成交明细'!$H$5:$H$804,'成交明细'!$A$5:$A$804,A30,'成交明细'!$D$5:$D$804,"买"))*1-AD30)</f>
        <v/>
      </c>
      <c r="AF30" s="45" t="str">
        <f>IF(AND(Y30="已平仓",ISNUMBER(L30)),(SUMIFS('成交明细'!$H$5:$H$804,'成交明细'!$A$5:$A$804,A30,'成交明细'!$D$5:$D$804,"卖")-SUMIFS('成交明细'!$H$5:$H$804,'成交明细'!$A$5:$A$804,A30,'成交明细'!$D$5:$D$804,"买"))*1/L30,"")</f>
        <v/>
      </c>
      <c r="AG30" s="45" t="str">
        <f>IF(AND(Y30="已平仓",ISNUMBER(L30)),AE30/L30,"")</f>
        <v/>
      </c>
      <c r="AH30" s="46" t="str">
        <f>IF(AND(ISNUMBER(V30),ISNUMBER(F30)),IF(E30="空",F30-V30,V30-F30),"")</f>
        <v/>
      </c>
      <c r="AI30" s="46" t="str">
        <f>IF(OR(NOT(ISNUMBER(AE30)),NOT(ISNUMBER(X30))),"",IF(AE30&lt;0,IF(E30="空",X30-G30,G30-X30),IF(NOT(ISNUMBER(H30)),"",IF(E30="空",X30-H30,H30-X30))))</f>
        <v/>
      </c>
      <c r="AJ30" s="32" t="n"/>
      <c r="AK30" s="32" t="n"/>
      <c r="AL30" s="31" t="n"/>
      <c r="AM30" s="45" t="str">
        <f>IF(A30="","",SUM(AG$5:AG30))</f>
        <v/>
      </c>
      <c r="AN30" s="37" t="str">
        <f>IF(A30="","",MAX(0,MAX(AM$5:AM30))-AM30)</f>
        <v/>
      </c>
    </row>
    <row r="31">
      <c r="A31" s="29" t="n"/>
      <c r="B31" s="30" t="n"/>
      <c r="C31" s="31" t="n"/>
      <c r="D31" s="32" t="n"/>
      <c r="E31" s="32" t="n"/>
      <c r="F31" s="33" t="n"/>
      <c r="G31" s="33" t="n"/>
      <c r="H31" s="33" t="n"/>
      <c r="I31" s="34" t="str">
        <f>IF(AND(ISNUMBER(F31),ISNUMBER(G31),ISNUMBER(H31)),IF(OR(AND(E31="多",F31&gt;G31),AND(E31="空",F31&lt;G31)),ABS(H31-F31)/ABS(F31-G31),"止损方向不对"),"")</f>
        <v/>
      </c>
      <c r="J31" s="35" t="str">
        <f>IF(AND(ISNUMBER(F31),ISNUMBER(G31)),IF(F31=G31,"",IF(INT(ROUND('参数'!$C$7/(ABS(F31-G31)*1+2*'参数'!$C$11+N('参数'!$C$14)*F31+N('参数'!$C$15))/1,6))*1&gt;0,INT(ROUND('参数'!$C$7/(ABS(F31-G31)*1+2*'参数'!$C$11+N('参数'!$C$14)*F31+N('参数'!$C$15))/1,6))*1,"预算不足，这笔不做")),"")</f>
        <v/>
      </c>
      <c r="K31" s="36" t="n"/>
      <c r="L31" s="20" t="str">
        <f>IF(AND(ISNUMBER(F31),ISNUMBER(G31),ISNUMBER(K31)),IF(AND(F31&lt;&gt;G31,K31&gt;0),ABS(F31-G31)*K31*1,""),"")</f>
        <v/>
      </c>
      <c r="M31" s="30" t="n"/>
      <c r="N31" s="37" t="str">
        <f>IF(AND(ISNUMBER(L31),ISNUMBER(M31)),IF(E31="空",(G31*(1+'参数'!$C$17)-F31),(F31-G31*(1-'参数'!$C$17)))*K31/L31,"")</f>
        <v/>
      </c>
      <c r="O31" s="38" t="n"/>
      <c r="P31" s="31" t="n"/>
      <c r="Q31" s="32" t="n"/>
      <c r="R31" s="39" t="str">
        <f>IF(N(U31)&gt;0,SUMPRODUCT(LARGE(('成交明细'!$A$5:$A$804=A31)*('成交明细'!$D$5:$D$804=IF(E31="空","卖","买"))*'成交明细'!$B$5:$B$804,COUNTIFS('成交明细'!$A$5:$A$804,A31,'成交明细'!$D$5:$D$804,IF(E31="空","卖","买")))),"")</f>
        <v/>
      </c>
      <c r="S31" s="39" t="str">
        <f>IF(AND(N(U31)&gt;0,N(W31)&gt;=N(U31)),SUMPRODUCT(MAX(('成交明细'!$A$5:$A$804=A31)*('成交明细'!$D$5:$D$804=IF(E31="空","买","卖"))*'成交明细'!$B$5:$B$804)),"")</f>
        <v/>
      </c>
      <c r="T31" s="32" t="n"/>
      <c r="U31" s="35" t="str">
        <f>IF(A31="","",SUMIFS('成交明细'!$F$5:$F$804,'成交明细'!$A$5:$A$804,A31,'成交明细'!$D$5:$D$804,IF(E31="空","卖","买")))</f>
        <v/>
      </c>
      <c r="V31" s="40" t="str">
        <f>IF(N(U31)&gt;0,SUMIFS('成交明细'!$H$5:$H$804,'成交明细'!$A$5:$A$804,A31,'成交明细'!$D$5:$D$804,IF(E31="空","卖","买"))/U31,"")</f>
        <v/>
      </c>
      <c r="W31" s="35" t="str">
        <f>IF(A31="","",SUMIFS('成交明细'!$F$5:$F$804,'成交明细'!$A$5:$A$804,A31,'成交明细'!$D$5:$D$804,IF(E31="空","买","卖")))</f>
        <v/>
      </c>
      <c r="X31" s="40" t="str">
        <f>IF(N(W31)&gt;0,SUMIFS('成交明细'!$H$5:$H$804,'成交明细'!$A$5:$A$804,A31,'成交明细'!$D$5:$D$804,IF(E31="空","买","卖"))/W31,"")</f>
        <v/>
      </c>
      <c r="Y31" s="41" t="str">
        <f>IF(A31="","",IF(Q31&lt;&gt;"已执行",IF(Q31="","未填执行情况",Q31),IF(N(U31)=0,"待录成交",IF(N(W31)&gt;N(U31),"平仓多于开仓",IF(N(W31)&lt;N(U31),"持仓中","已平仓")))))</f>
        <v/>
      </c>
      <c r="Z31" s="41" t="str">
        <f>IF(AND(ISNUMBER(R31),ISNUMBER(S31)),IF(R31=S31,"日内",""),"")</f>
        <v/>
      </c>
      <c r="AA31" s="42" t="str">
        <f>IF(Z31&lt;&gt;"日内","",COUNTIFS($Z$5:$Z$304,"日内",$S$5:$S$304,"&gt;"&amp;WORKDAY(S31,-5),$S$5:$S$304,"&lt;="&amp;S31))</f>
        <v/>
      </c>
      <c r="AB31" s="41" t="str">
        <f>IF(OR(NOT(ISNUMBER(M31)),NOT(ISNUMBER(R31))),"",IF(AND(M31&gt;=R31,OR(NOT(ISNUMBER(S31)),M31&lt;=S31)),"持仓跨财报",""))</f>
        <v/>
      </c>
      <c r="AC31" s="20">
        <f>IF(AND(E31="空",ISNUMBER(O31),ISNUMBER(S31)),ROUND(O31*(S31-R31)/360*V31*U31,2),0)</f>
        <v>0</v>
      </c>
      <c r="AD31" s="43" t="str">
        <f>IF(N(U31)=0,"",SUMIFS('成交明细'!$L$5:$L$804,'成交明细'!$A$5:$A$804,A31)+AC31)</f>
        <v/>
      </c>
      <c r="AE31" s="44" t="str">
        <f>IF(Y31&lt;&gt;"已平仓","",(SUMIFS('成交明细'!$H$5:$H$804,'成交明细'!$A$5:$A$804,A31,'成交明细'!$D$5:$D$804,"卖")-SUMIFS('成交明细'!$H$5:$H$804,'成交明细'!$A$5:$A$804,A31,'成交明细'!$D$5:$D$804,"买"))*1-AD31)</f>
        <v/>
      </c>
      <c r="AF31" s="45" t="str">
        <f>IF(AND(Y31="已平仓",ISNUMBER(L31)),(SUMIFS('成交明细'!$H$5:$H$804,'成交明细'!$A$5:$A$804,A31,'成交明细'!$D$5:$D$804,"卖")-SUMIFS('成交明细'!$H$5:$H$804,'成交明细'!$A$5:$A$804,A31,'成交明细'!$D$5:$D$804,"买"))*1/L31,"")</f>
        <v/>
      </c>
      <c r="AG31" s="45" t="str">
        <f>IF(AND(Y31="已平仓",ISNUMBER(L31)),AE31/L31,"")</f>
        <v/>
      </c>
      <c r="AH31" s="46" t="str">
        <f>IF(AND(ISNUMBER(V31),ISNUMBER(F31)),IF(E31="空",F31-V31,V31-F31),"")</f>
        <v/>
      </c>
      <c r="AI31" s="46" t="str">
        <f>IF(OR(NOT(ISNUMBER(AE31)),NOT(ISNUMBER(X31))),"",IF(AE31&lt;0,IF(E31="空",X31-G31,G31-X31),IF(NOT(ISNUMBER(H31)),"",IF(E31="空",X31-H31,H31-X31))))</f>
        <v/>
      </c>
      <c r="AJ31" s="32" t="n"/>
      <c r="AK31" s="32" t="n"/>
      <c r="AL31" s="31" t="n"/>
      <c r="AM31" s="45" t="str">
        <f>IF(A31="","",SUM(AG$5:AG31))</f>
        <v/>
      </c>
      <c r="AN31" s="37" t="str">
        <f>IF(A31="","",MAX(0,MAX(AM$5:AM31))-AM31)</f>
        <v/>
      </c>
    </row>
    <row r="32">
      <c r="A32" s="29" t="n"/>
      <c r="B32" s="30" t="n"/>
      <c r="C32" s="31" t="n"/>
      <c r="D32" s="32" t="n"/>
      <c r="E32" s="32" t="n"/>
      <c r="F32" s="33" t="n"/>
      <c r="G32" s="33" t="n"/>
      <c r="H32" s="33" t="n"/>
      <c r="I32" s="34" t="str">
        <f>IF(AND(ISNUMBER(F32),ISNUMBER(G32),ISNUMBER(H32)),IF(OR(AND(E32="多",F32&gt;G32),AND(E32="空",F32&lt;G32)),ABS(H32-F32)/ABS(F32-G32),"止损方向不对"),"")</f>
        <v/>
      </c>
      <c r="J32" s="35" t="str">
        <f>IF(AND(ISNUMBER(F32),ISNUMBER(G32)),IF(F32=G32,"",IF(INT(ROUND('参数'!$C$7/(ABS(F32-G32)*1+2*'参数'!$C$11+N('参数'!$C$14)*F32+N('参数'!$C$15))/1,6))*1&gt;0,INT(ROUND('参数'!$C$7/(ABS(F32-G32)*1+2*'参数'!$C$11+N('参数'!$C$14)*F32+N('参数'!$C$15))/1,6))*1,"预算不足，这笔不做")),"")</f>
        <v/>
      </c>
      <c r="K32" s="36" t="n"/>
      <c r="L32" s="20" t="str">
        <f>IF(AND(ISNUMBER(F32),ISNUMBER(G32),ISNUMBER(K32)),IF(AND(F32&lt;&gt;G32,K32&gt;0),ABS(F32-G32)*K32*1,""),"")</f>
        <v/>
      </c>
      <c r="M32" s="30" t="n"/>
      <c r="N32" s="37" t="str">
        <f>IF(AND(ISNUMBER(L32),ISNUMBER(M32)),IF(E32="空",(G32*(1+'参数'!$C$17)-F32),(F32-G32*(1-'参数'!$C$17)))*K32/L32,"")</f>
        <v/>
      </c>
      <c r="O32" s="38" t="n"/>
      <c r="P32" s="31" t="n"/>
      <c r="Q32" s="32" t="n"/>
      <c r="R32" s="39" t="str">
        <f>IF(N(U32)&gt;0,SUMPRODUCT(LARGE(('成交明细'!$A$5:$A$804=A32)*('成交明细'!$D$5:$D$804=IF(E32="空","卖","买"))*'成交明细'!$B$5:$B$804,COUNTIFS('成交明细'!$A$5:$A$804,A32,'成交明细'!$D$5:$D$804,IF(E32="空","卖","买")))),"")</f>
        <v/>
      </c>
      <c r="S32" s="39" t="str">
        <f>IF(AND(N(U32)&gt;0,N(W32)&gt;=N(U32)),SUMPRODUCT(MAX(('成交明细'!$A$5:$A$804=A32)*('成交明细'!$D$5:$D$804=IF(E32="空","买","卖"))*'成交明细'!$B$5:$B$804)),"")</f>
        <v/>
      </c>
      <c r="T32" s="32" t="n"/>
      <c r="U32" s="35" t="str">
        <f>IF(A32="","",SUMIFS('成交明细'!$F$5:$F$804,'成交明细'!$A$5:$A$804,A32,'成交明细'!$D$5:$D$804,IF(E32="空","卖","买")))</f>
        <v/>
      </c>
      <c r="V32" s="40" t="str">
        <f>IF(N(U32)&gt;0,SUMIFS('成交明细'!$H$5:$H$804,'成交明细'!$A$5:$A$804,A32,'成交明细'!$D$5:$D$804,IF(E32="空","卖","买"))/U32,"")</f>
        <v/>
      </c>
      <c r="W32" s="35" t="str">
        <f>IF(A32="","",SUMIFS('成交明细'!$F$5:$F$804,'成交明细'!$A$5:$A$804,A32,'成交明细'!$D$5:$D$804,IF(E32="空","买","卖")))</f>
        <v/>
      </c>
      <c r="X32" s="40" t="str">
        <f>IF(N(W32)&gt;0,SUMIFS('成交明细'!$H$5:$H$804,'成交明细'!$A$5:$A$804,A32,'成交明细'!$D$5:$D$804,IF(E32="空","买","卖"))/W32,"")</f>
        <v/>
      </c>
      <c r="Y32" s="41" t="str">
        <f>IF(A32="","",IF(Q32&lt;&gt;"已执行",IF(Q32="","未填执行情况",Q32),IF(N(U32)=0,"待录成交",IF(N(W32)&gt;N(U32),"平仓多于开仓",IF(N(W32)&lt;N(U32),"持仓中","已平仓")))))</f>
        <v/>
      </c>
      <c r="Z32" s="41" t="str">
        <f>IF(AND(ISNUMBER(R32),ISNUMBER(S32)),IF(R32=S32,"日内",""),"")</f>
        <v/>
      </c>
      <c r="AA32" s="42" t="str">
        <f>IF(Z32&lt;&gt;"日内","",COUNTIFS($Z$5:$Z$304,"日内",$S$5:$S$304,"&gt;"&amp;WORKDAY(S32,-5),$S$5:$S$304,"&lt;="&amp;S32))</f>
        <v/>
      </c>
      <c r="AB32" s="41" t="str">
        <f>IF(OR(NOT(ISNUMBER(M32)),NOT(ISNUMBER(R32))),"",IF(AND(M32&gt;=R32,OR(NOT(ISNUMBER(S32)),M32&lt;=S32)),"持仓跨财报",""))</f>
        <v/>
      </c>
      <c r="AC32" s="20">
        <f>IF(AND(E32="空",ISNUMBER(O32),ISNUMBER(S32)),ROUND(O32*(S32-R32)/360*V32*U32,2),0)</f>
        <v>0</v>
      </c>
      <c r="AD32" s="43" t="str">
        <f>IF(N(U32)=0,"",SUMIFS('成交明细'!$L$5:$L$804,'成交明细'!$A$5:$A$804,A32)+AC32)</f>
        <v/>
      </c>
      <c r="AE32" s="44" t="str">
        <f>IF(Y32&lt;&gt;"已平仓","",(SUMIFS('成交明细'!$H$5:$H$804,'成交明细'!$A$5:$A$804,A32,'成交明细'!$D$5:$D$804,"卖")-SUMIFS('成交明细'!$H$5:$H$804,'成交明细'!$A$5:$A$804,A32,'成交明细'!$D$5:$D$804,"买"))*1-AD32)</f>
        <v/>
      </c>
      <c r="AF32" s="45" t="str">
        <f>IF(AND(Y32="已平仓",ISNUMBER(L32)),(SUMIFS('成交明细'!$H$5:$H$804,'成交明细'!$A$5:$A$804,A32,'成交明细'!$D$5:$D$804,"卖")-SUMIFS('成交明细'!$H$5:$H$804,'成交明细'!$A$5:$A$804,A32,'成交明细'!$D$5:$D$804,"买"))*1/L32,"")</f>
        <v/>
      </c>
      <c r="AG32" s="45" t="str">
        <f>IF(AND(Y32="已平仓",ISNUMBER(L32)),AE32/L32,"")</f>
        <v/>
      </c>
      <c r="AH32" s="46" t="str">
        <f>IF(AND(ISNUMBER(V32),ISNUMBER(F32)),IF(E32="空",F32-V32,V32-F32),"")</f>
        <v/>
      </c>
      <c r="AI32" s="46" t="str">
        <f>IF(OR(NOT(ISNUMBER(AE32)),NOT(ISNUMBER(X32))),"",IF(AE32&lt;0,IF(E32="空",X32-G32,G32-X32),IF(NOT(ISNUMBER(H32)),"",IF(E32="空",X32-H32,H32-X32))))</f>
        <v/>
      </c>
      <c r="AJ32" s="32" t="n"/>
      <c r="AK32" s="32" t="n"/>
      <c r="AL32" s="31" t="n"/>
      <c r="AM32" s="45" t="str">
        <f>IF(A32="","",SUM(AG$5:AG32))</f>
        <v/>
      </c>
      <c r="AN32" s="37" t="str">
        <f>IF(A32="","",MAX(0,MAX(AM$5:AM32))-AM32)</f>
        <v/>
      </c>
    </row>
    <row r="33">
      <c r="A33" s="29" t="n"/>
      <c r="B33" s="30" t="n"/>
      <c r="C33" s="31" t="n"/>
      <c r="D33" s="32" t="n"/>
      <c r="E33" s="32" t="n"/>
      <c r="F33" s="33" t="n"/>
      <c r="G33" s="33" t="n"/>
      <c r="H33" s="33" t="n"/>
      <c r="I33" s="34" t="str">
        <f>IF(AND(ISNUMBER(F33),ISNUMBER(G33),ISNUMBER(H33)),IF(OR(AND(E33="多",F33&gt;G33),AND(E33="空",F33&lt;G33)),ABS(H33-F33)/ABS(F33-G33),"止损方向不对"),"")</f>
        <v/>
      </c>
      <c r="J33" s="35" t="str">
        <f>IF(AND(ISNUMBER(F33),ISNUMBER(G33)),IF(F33=G33,"",IF(INT(ROUND('参数'!$C$7/(ABS(F33-G33)*1+2*'参数'!$C$11+N('参数'!$C$14)*F33+N('参数'!$C$15))/1,6))*1&gt;0,INT(ROUND('参数'!$C$7/(ABS(F33-G33)*1+2*'参数'!$C$11+N('参数'!$C$14)*F33+N('参数'!$C$15))/1,6))*1,"预算不足，这笔不做")),"")</f>
        <v/>
      </c>
      <c r="K33" s="36" t="n"/>
      <c r="L33" s="20" t="str">
        <f>IF(AND(ISNUMBER(F33),ISNUMBER(G33),ISNUMBER(K33)),IF(AND(F33&lt;&gt;G33,K33&gt;0),ABS(F33-G33)*K33*1,""),"")</f>
        <v/>
      </c>
      <c r="M33" s="30" t="n"/>
      <c r="N33" s="37" t="str">
        <f>IF(AND(ISNUMBER(L33),ISNUMBER(M33)),IF(E33="空",(G33*(1+'参数'!$C$17)-F33),(F33-G33*(1-'参数'!$C$17)))*K33/L33,"")</f>
        <v/>
      </c>
      <c r="O33" s="38" t="n"/>
      <c r="P33" s="31" t="n"/>
      <c r="Q33" s="32" t="n"/>
      <c r="R33" s="39" t="str">
        <f>IF(N(U33)&gt;0,SUMPRODUCT(LARGE(('成交明细'!$A$5:$A$804=A33)*('成交明细'!$D$5:$D$804=IF(E33="空","卖","买"))*'成交明细'!$B$5:$B$804,COUNTIFS('成交明细'!$A$5:$A$804,A33,'成交明细'!$D$5:$D$804,IF(E33="空","卖","买")))),"")</f>
        <v/>
      </c>
      <c r="S33" s="39" t="str">
        <f>IF(AND(N(U33)&gt;0,N(W33)&gt;=N(U33)),SUMPRODUCT(MAX(('成交明细'!$A$5:$A$804=A33)*('成交明细'!$D$5:$D$804=IF(E33="空","买","卖"))*'成交明细'!$B$5:$B$804)),"")</f>
        <v/>
      </c>
      <c r="T33" s="32" t="n"/>
      <c r="U33" s="35" t="str">
        <f>IF(A33="","",SUMIFS('成交明细'!$F$5:$F$804,'成交明细'!$A$5:$A$804,A33,'成交明细'!$D$5:$D$804,IF(E33="空","卖","买")))</f>
        <v/>
      </c>
      <c r="V33" s="40" t="str">
        <f>IF(N(U33)&gt;0,SUMIFS('成交明细'!$H$5:$H$804,'成交明细'!$A$5:$A$804,A33,'成交明细'!$D$5:$D$804,IF(E33="空","卖","买"))/U33,"")</f>
        <v/>
      </c>
      <c r="W33" s="35" t="str">
        <f>IF(A33="","",SUMIFS('成交明细'!$F$5:$F$804,'成交明细'!$A$5:$A$804,A33,'成交明细'!$D$5:$D$804,IF(E33="空","买","卖")))</f>
        <v/>
      </c>
      <c r="X33" s="40" t="str">
        <f>IF(N(W33)&gt;0,SUMIFS('成交明细'!$H$5:$H$804,'成交明细'!$A$5:$A$804,A33,'成交明细'!$D$5:$D$804,IF(E33="空","买","卖"))/W33,"")</f>
        <v/>
      </c>
      <c r="Y33" s="41" t="str">
        <f>IF(A33="","",IF(Q33&lt;&gt;"已执行",IF(Q33="","未填执行情况",Q33),IF(N(U33)=0,"待录成交",IF(N(W33)&gt;N(U33),"平仓多于开仓",IF(N(W33)&lt;N(U33),"持仓中","已平仓")))))</f>
        <v/>
      </c>
      <c r="Z33" s="41" t="str">
        <f>IF(AND(ISNUMBER(R33),ISNUMBER(S33)),IF(R33=S33,"日内",""),"")</f>
        <v/>
      </c>
      <c r="AA33" s="42" t="str">
        <f>IF(Z33&lt;&gt;"日内","",COUNTIFS($Z$5:$Z$304,"日内",$S$5:$S$304,"&gt;"&amp;WORKDAY(S33,-5),$S$5:$S$304,"&lt;="&amp;S33))</f>
        <v/>
      </c>
      <c r="AB33" s="41" t="str">
        <f>IF(OR(NOT(ISNUMBER(M33)),NOT(ISNUMBER(R33))),"",IF(AND(M33&gt;=R33,OR(NOT(ISNUMBER(S33)),M33&lt;=S33)),"持仓跨财报",""))</f>
        <v/>
      </c>
      <c r="AC33" s="20">
        <f>IF(AND(E33="空",ISNUMBER(O33),ISNUMBER(S33)),ROUND(O33*(S33-R33)/360*V33*U33,2),0)</f>
        <v>0</v>
      </c>
      <c r="AD33" s="43" t="str">
        <f>IF(N(U33)=0,"",SUMIFS('成交明细'!$L$5:$L$804,'成交明细'!$A$5:$A$804,A33)+AC33)</f>
        <v/>
      </c>
      <c r="AE33" s="44" t="str">
        <f>IF(Y33&lt;&gt;"已平仓","",(SUMIFS('成交明细'!$H$5:$H$804,'成交明细'!$A$5:$A$804,A33,'成交明细'!$D$5:$D$804,"卖")-SUMIFS('成交明细'!$H$5:$H$804,'成交明细'!$A$5:$A$804,A33,'成交明细'!$D$5:$D$804,"买"))*1-AD33)</f>
        <v/>
      </c>
      <c r="AF33" s="45" t="str">
        <f>IF(AND(Y33="已平仓",ISNUMBER(L33)),(SUMIFS('成交明细'!$H$5:$H$804,'成交明细'!$A$5:$A$804,A33,'成交明细'!$D$5:$D$804,"卖")-SUMIFS('成交明细'!$H$5:$H$804,'成交明细'!$A$5:$A$804,A33,'成交明细'!$D$5:$D$804,"买"))*1/L33,"")</f>
        <v/>
      </c>
      <c r="AG33" s="45" t="str">
        <f>IF(AND(Y33="已平仓",ISNUMBER(L33)),AE33/L33,"")</f>
        <v/>
      </c>
      <c r="AH33" s="46" t="str">
        <f>IF(AND(ISNUMBER(V33),ISNUMBER(F33)),IF(E33="空",F33-V33,V33-F33),"")</f>
        <v/>
      </c>
      <c r="AI33" s="46" t="str">
        <f>IF(OR(NOT(ISNUMBER(AE33)),NOT(ISNUMBER(X33))),"",IF(AE33&lt;0,IF(E33="空",X33-G33,G33-X33),IF(NOT(ISNUMBER(H33)),"",IF(E33="空",X33-H33,H33-X33))))</f>
        <v/>
      </c>
      <c r="AJ33" s="32" t="n"/>
      <c r="AK33" s="32" t="n"/>
      <c r="AL33" s="31" t="n"/>
      <c r="AM33" s="45" t="str">
        <f>IF(A33="","",SUM(AG$5:AG33))</f>
        <v/>
      </c>
      <c r="AN33" s="37" t="str">
        <f>IF(A33="","",MAX(0,MAX(AM$5:AM33))-AM33)</f>
        <v/>
      </c>
    </row>
    <row r="34">
      <c r="A34" s="29" t="n"/>
      <c r="B34" s="30" t="n"/>
      <c r="C34" s="31" t="n"/>
      <c r="D34" s="32" t="n"/>
      <c r="E34" s="32" t="n"/>
      <c r="F34" s="33" t="n"/>
      <c r="G34" s="33" t="n"/>
      <c r="H34" s="33" t="n"/>
      <c r="I34" s="34" t="str">
        <f>IF(AND(ISNUMBER(F34),ISNUMBER(G34),ISNUMBER(H34)),IF(OR(AND(E34="多",F34&gt;G34),AND(E34="空",F34&lt;G34)),ABS(H34-F34)/ABS(F34-G34),"止损方向不对"),"")</f>
        <v/>
      </c>
      <c r="J34" s="35" t="str">
        <f>IF(AND(ISNUMBER(F34),ISNUMBER(G34)),IF(F34=G34,"",IF(INT(ROUND('参数'!$C$7/(ABS(F34-G34)*1+2*'参数'!$C$11+N('参数'!$C$14)*F34+N('参数'!$C$15))/1,6))*1&gt;0,INT(ROUND('参数'!$C$7/(ABS(F34-G34)*1+2*'参数'!$C$11+N('参数'!$C$14)*F34+N('参数'!$C$15))/1,6))*1,"预算不足，这笔不做")),"")</f>
        <v/>
      </c>
      <c r="K34" s="36" t="n"/>
      <c r="L34" s="20" t="str">
        <f>IF(AND(ISNUMBER(F34),ISNUMBER(G34),ISNUMBER(K34)),IF(AND(F34&lt;&gt;G34,K34&gt;0),ABS(F34-G34)*K34*1,""),"")</f>
        <v/>
      </c>
      <c r="M34" s="30" t="n"/>
      <c r="N34" s="37" t="str">
        <f>IF(AND(ISNUMBER(L34),ISNUMBER(M34)),IF(E34="空",(G34*(1+'参数'!$C$17)-F34),(F34-G34*(1-'参数'!$C$17)))*K34/L34,"")</f>
        <v/>
      </c>
      <c r="O34" s="38" t="n"/>
      <c r="P34" s="31" t="n"/>
      <c r="Q34" s="32" t="n"/>
      <c r="R34" s="39" t="str">
        <f>IF(N(U34)&gt;0,SUMPRODUCT(LARGE(('成交明细'!$A$5:$A$804=A34)*('成交明细'!$D$5:$D$804=IF(E34="空","卖","买"))*'成交明细'!$B$5:$B$804,COUNTIFS('成交明细'!$A$5:$A$804,A34,'成交明细'!$D$5:$D$804,IF(E34="空","卖","买")))),"")</f>
        <v/>
      </c>
      <c r="S34" s="39" t="str">
        <f>IF(AND(N(U34)&gt;0,N(W34)&gt;=N(U34)),SUMPRODUCT(MAX(('成交明细'!$A$5:$A$804=A34)*('成交明细'!$D$5:$D$804=IF(E34="空","买","卖"))*'成交明细'!$B$5:$B$804)),"")</f>
        <v/>
      </c>
      <c r="T34" s="32" t="n"/>
      <c r="U34" s="35" t="str">
        <f>IF(A34="","",SUMIFS('成交明细'!$F$5:$F$804,'成交明细'!$A$5:$A$804,A34,'成交明细'!$D$5:$D$804,IF(E34="空","卖","买")))</f>
        <v/>
      </c>
      <c r="V34" s="40" t="str">
        <f>IF(N(U34)&gt;0,SUMIFS('成交明细'!$H$5:$H$804,'成交明细'!$A$5:$A$804,A34,'成交明细'!$D$5:$D$804,IF(E34="空","卖","买"))/U34,"")</f>
        <v/>
      </c>
      <c r="W34" s="35" t="str">
        <f>IF(A34="","",SUMIFS('成交明细'!$F$5:$F$804,'成交明细'!$A$5:$A$804,A34,'成交明细'!$D$5:$D$804,IF(E34="空","买","卖")))</f>
        <v/>
      </c>
      <c r="X34" s="40" t="str">
        <f>IF(N(W34)&gt;0,SUMIFS('成交明细'!$H$5:$H$804,'成交明细'!$A$5:$A$804,A34,'成交明细'!$D$5:$D$804,IF(E34="空","买","卖"))/W34,"")</f>
        <v/>
      </c>
      <c r="Y34" s="41" t="str">
        <f>IF(A34="","",IF(Q34&lt;&gt;"已执行",IF(Q34="","未填执行情况",Q34),IF(N(U34)=0,"待录成交",IF(N(W34)&gt;N(U34),"平仓多于开仓",IF(N(W34)&lt;N(U34),"持仓中","已平仓")))))</f>
        <v/>
      </c>
      <c r="Z34" s="41" t="str">
        <f>IF(AND(ISNUMBER(R34),ISNUMBER(S34)),IF(R34=S34,"日内",""),"")</f>
        <v/>
      </c>
      <c r="AA34" s="42" t="str">
        <f>IF(Z34&lt;&gt;"日内","",COUNTIFS($Z$5:$Z$304,"日内",$S$5:$S$304,"&gt;"&amp;WORKDAY(S34,-5),$S$5:$S$304,"&lt;="&amp;S34))</f>
        <v/>
      </c>
      <c r="AB34" s="41" t="str">
        <f>IF(OR(NOT(ISNUMBER(M34)),NOT(ISNUMBER(R34))),"",IF(AND(M34&gt;=R34,OR(NOT(ISNUMBER(S34)),M34&lt;=S34)),"持仓跨财报",""))</f>
        <v/>
      </c>
      <c r="AC34" s="20">
        <f>IF(AND(E34="空",ISNUMBER(O34),ISNUMBER(S34)),ROUND(O34*(S34-R34)/360*V34*U34,2),0)</f>
        <v>0</v>
      </c>
      <c r="AD34" s="43" t="str">
        <f>IF(N(U34)=0,"",SUMIFS('成交明细'!$L$5:$L$804,'成交明细'!$A$5:$A$804,A34)+AC34)</f>
        <v/>
      </c>
      <c r="AE34" s="44" t="str">
        <f>IF(Y34&lt;&gt;"已平仓","",(SUMIFS('成交明细'!$H$5:$H$804,'成交明细'!$A$5:$A$804,A34,'成交明细'!$D$5:$D$804,"卖")-SUMIFS('成交明细'!$H$5:$H$804,'成交明细'!$A$5:$A$804,A34,'成交明细'!$D$5:$D$804,"买"))*1-AD34)</f>
        <v/>
      </c>
      <c r="AF34" s="45" t="str">
        <f>IF(AND(Y34="已平仓",ISNUMBER(L34)),(SUMIFS('成交明细'!$H$5:$H$804,'成交明细'!$A$5:$A$804,A34,'成交明细'!$D$5:$D$804,"卖")-SUMIFS('成交明细'!$H$5:$H$804,'成交明细'!$A$5:$A$804,A34,'成交明细'!$D$5:$D$804,"买"))*1/L34,"")</f>
        <v/>
      </c>
      <c r="AG34" s="45" t="str">
        <f>IF(AND(Y34="已平仓",ISNUMBER(L34)),AE34/L34,"")</f>
        <v/>
      </c>
      <c r="AH34" s="46" t="str">
        <f>IF(AND(ISNUMBER(V34),ISNUMBER(F34)),IF(E34="空",F34-V34,V34-F34),"")</f>
        <v/>
      </c>
      <c r="AI34" s="46" t="str">
        <f>IF(OR(NOT(ISNUMBER(AE34)),NOT(ISNUMBER(X34))),"",IF(AE34&lt;0,IF(E34="空",X34-G34,G34-X34),IF(NOT(ISNUMBER(H34)),"",IF(E34="空",X34-H34,H34-X34))))</f>
        <v/>
      </c>
      <c r="AJ34" s="32" t="n"/>
      <c r="AK34" s="32" t="n"/>
      <c r="AL34" s="31" t="n"/>
      <c r="AM34" s="45" t="str">
        <f>IF(A34="","",SUM(AG$5:AG34))</f>
        <v/>
      </c>
      <c r="AN34" s="37" t="str">
        <f>IF(A34="","",MAX(0,MAX(AM$5:AM34))-AM34)</f>
        <v/>
      </c>
    </row>
    <row r="35">
      <c r="A35" s="29" t="n"/>
      <c r="B35" s="30" t="n"/>
      <c r="C35" s="31" t="n"/>
      <c r="D35" s="32" t="n"/>
      <c r="E35" s="32" t="n"/>
      <c r="F35" s="33" t="n"/>
      <c r="G35" s="33" t="n"/>
      <c r="H35" s="33" t="n"/>
      <c r="I35" s="34" t="str">
        <f>IF(AND(ISNUMBER(F35),ISNUMBER(G35),ISNUMBER(H35)),IF(OR(AND(E35="多",F35&gt;G35),AND(E35="空",F35&lt;G35)),ABS(H35-F35)/ABS(F35-G35),"止损方向不对"),"")</f>
        <v/>
      </c>
      <c r="J35" s="35" t="str">
        <f>IF(AND(ISNUMBER(F35),ISNUMBER(G35)),IF(F35=G35,"",IF(INT(ROUND('参数'!$C$7/(ABS(F35-G35)*1+2*'参数'!$C$11+N('参数'!$C$14)*F35+N('参数'!$C$15))/1,6))*1&gt;0,INT(ROUND('参数'!$C$7/(ABS(F35-G35)*1+2*'参数'!$C$11+N('参数'!$C$14)*F35+N('参数'!$C$15))/1,6))*1,"预算不足，这笔不做")),"")</f>
        <v/>
      </c>
      <c r="K35" s="36" t="n"/>
      <c r="L35" s="20" t="str">
        <f>IF(AND(ISNUMBER(F35),ISNUMBER(G35),ISNUMBER(K35)),IF(AND(F35&lt;&gt;G35,K35&gt;0),ABS(F35-G35)*K35*1,""),"")</f>
        <v/>
      </c>
      <c r="M35" s="30" t="n"/>
      <c r="N35" s="37" t="str">
        <f>IF(AND(ISNUMBER(L35),ISNUMBER(M35)),IF(E35="空",(G35*(1+'参数'!$C$17)-F35),(F35-G35*(1-'参数'!$C$17)))*K35/L35,"")</f>
        <v/>
      </c>
      <c r="O35" s="38" t="n"/>
      <c r="P35" s="31" t="n"/>
      <c r="Q35" s="32" t="n"/>
      <c r="R35" s="39" t="str">
        <f>IF(N(U35)&gt;0,SUMPRODUCT(LARGE(('成交明细'!$A$5:$A$804=A35)*('成交明细'!$D$5:$D$804=IF(E35="空","卖","买"))*'成交明细'!$B$5:$B$804,COUNTIFS('成交明细'!$A$5:$A$804,A35,'成交明细'!$D$5:$D$804,IF(E35="空","卖","买")))),"")</f>
        <v/>
      </c>
      <c r="S35" s="39" t="str">
        <f>IF(AND(N(U35)&gt;0,N(W35)&gt;=N(U35)),SUMPRODUCT(MAX(('成交明细'!$A$5:$A$804=A35)*('成交明细'!$D$5:$D$804=IF(E35="空","买","卖"))*'成交明细'!$B$5:$B$804)),"")</f>
        <v/>
      </c>
      <c r="T35" s="32" t="n"/>
      <c r="U35" s="35" t="str">
        <f>IF(A35="","",SUMIFS('成交明细'!$F$5:$F$804,'成交明细'!$A$5:$A$804,A35,'成交明细'!$D$5:$D$804,IF(E35="空","卖","买")))</f>
        <v/>
      </c>
      <c r="V35" s="40" t="str">
        <f>IF(N(U35)&gt;0,SUMIFS('成交明细'!$H$5:$H$804,'成交明细'!$A$5:$A$804,A35,'成交明细'!$D$5:$D$804,IF(E35="空","卖","买"))/U35,"")</f>
        <v/>
      </c>
      <c r="W35" s="35" t="str">
        <f>IF(A35="","",SUMIFS('成交明细'!$F$5:$F$804,'成交明细'!$A$5:$A$804,A35,'成交明细'!$D$5:$D$804,IF(E35="空","买","卖")))</f>
        <v/>
      </c>
      <c r="X35" s="40" t="str">
        <f>IF(N(W35)&gt;0,SUMIFS('成交明细'!$H$5:$H$804,'成交明细'!$A$5:$A$804,A35,'成交明细'!$D$5:$D$804,IF(E35="空","买","卖"))/W35,"")</f>
        <v/>
      </c>
      <c r="Y35" s="41" t="str">
        <f>IF(A35="","",IF(Q35&lt;&gt;"已执行",IF(Q35="","未填执行情况",Q35),IF(N(U35)=0,"待录成交",IF(N(W35)&gt;N(U35),"平仓多于开仓",IF(N(W35)&lt;N(U35),"持仓中","已平仓")))))</f>
        <v/>
      </c>
      <c r="Z35" s="41" t="str">
        <f>IF(AND(ISNUMBER(R35),ISNUMBER(S35)),IF(R35=S35,"日内",""),"")</f>
        <v/>
      </c>
      <c r="AA35" s="42" t="str">
        <f>IF(Z35&lt;&gt;"日内","",COUNTIFS($Z$5:$Z$304,"日内",$S$5:$S$304,"&gt;"&amp;WORKDAY(S35,-5),$S$5:$S$304,"&lt;="&amp;S35))</f>
        <v/>
      </c>
      <c r="AB35" s="41" t="str">
        <f>IF(OR(NOT(ISNUMBER(M35)),NOT(ISNUMBER(R35))),"",IF(AND(M35&gt;=R35,OR(NOT(ISNUMBER(S35)),M35&lt;=S35)),"持仓跨财报",""))</f>
        <v/>
      </c>
      <c r="AC35" s="20">
        <f>IF(AND(E35="空",ISNUMBER(O35),ISNUMBER(S35)),ROUND(O35*(S35-R35)/360*V35*U35,2),0)</f>
        <v>0</v>
      </c>
      <c r="AD35" s="43" t="str">
        <f>IF(N(U35)=0,"",SUMIFS('成交明细'!$L$5:$L$804,'成交明细'!$A$5:$A$804,A35)+AC35)</f>
        <v/>
      </c>
      <c r="AE35" s="44" t="str">
        <f>IF(Y35&lt;&gt;"已平仓","",(SUMIFS('成交明细'!$H$5:$H$804,'成交明细'!$A$5:$A$804,A35,'成交明细'!$D$5:$D$804,"卖")-SUMIFS('成交明细'!$H$5:$H$804,'成交明细'!$A$5:$A$804,A35,'成交明细'!$D$5:$D$804,"买"))*1-AD35)</f>
        <v/>
      </c>
      <c r="AF35" s="45" t="str">
        <f>IF(AND(Y35="已平仓",ISNUMBER(L35)),(SUMIFS('成交明细'!$H$5:$H$804,'成交明细'!$A$5:$A$804,A35,'成交明细'!$D$5:$D$804,"卖")-SUMIFS('成交明细'!$H$5:$H$804,'成交明细'!$A$5:$A$804,A35,'成交明细'!$D$5:$D$804,"买"))*1/L35,"")</f>
        <v/>
      </c>
      <c r="AG35" s="45" t="str">
        <f>IF(AND(Y35="已平仓",ISNUMBER(L35)),AE35/L35,"")</f>
        <v/>
      </c>
      <c r="AH35" s="46" t="str">
        <f>IF(AND(ISNUMBER(V35),ISNUMBER(F35)),IF(E35="空",F35-V35,V35-F35),"")</f>
        <v/>
      </c>
      <c r="AI35" s="46" t="str">
        <f>IF(OR(NOT(ISNUMBER(AE35)),NOT(ISNUMBER(X35))),"",IF(AE35&lt;0,IF(E35="空",X35-G35,G35-X35),IF(NOT(ISNUMBER(H35)),"",IF(E35="空",X35-H35,H35-X35))))</f>
        <v/>
      </c>
      <c r="AJ35" s="32" t="n"/>
      <c r="AK35" s="32" t="n"/>
      <c r="AL35" s="31" t="n"/>
      <c r="AM35" s="45" t="str">
        <f>IF(A35="","",SUM(AG$5:AG35))</f>
        <v/>
      </c>
      <c r="AN35" s="37" t="str">
        <f>IF(A35="","",MAX(0,MAX(AM$5:AM35))-AM35)</f>
        <v/>
      </c>
    </row>
    <row r="36">
      <c r="A36" s="29" t="n"/>
      <c r="B36" s="30" t="n"/>
      <c r="C36" s="31" t="n"/>
      <c r="D36" s="32" t="n"/>
      <c r="E36" s="32" t="n"/>
      <c r="F36" s="33" t="n"/>
      <c r="G36" s="33" t="n"/>
      <c r="H36" s="33" t="n"/>
      <c r="I36" s="34" t="str">
        <f>IF(AND(ISNUMBER(F36),ISNUMBER(G36),ISNUMBER(H36)),IF(OR(AND(E36="多",F36&gt;G36),AND(E36="空",F36&lt;G36)),ABS(H36-F36)/ABS(F36-G36),"止损方向不对"),"")</f>
        <v/>
      </c>
      <c r="J36" s="35" t="str">
        <f>IF(AND(ISNUMBER(F36),ISNUMBER(G36)),IF(F36=G36,"",IF(INT(ROUND('参数'!$C$7/(ABS(F36-G36)*1+2*'参数'!$C$11+N('参数'!$C$14)*F36+N('参数'!$C$15))/1,6))*1&gt;0,INT(ROUND('参数'!$C$7/(ABS(F36-G36)*1+2*'参数'!$C$11+N('参数'!$C$14)*F36+N('参数'!$C$15))/1,6))*1,"预算不足，这笔不做")),"")</f>
        <v/>
      </c>
      <c r="K36" s="36" t="n"/>
      <c r="L36" s="20" t="str">
        <f>IF(AND(ISNUMBER(F36),ISNUMBER(G36),ISNUMBER(K36)),IF(AND(F36&lt;&gt;G36,K36&gt;0),ABS(F36-G36)*K36*1,""),"")</f>
        <v/>
      </c>
      <c r="M36" s="30" t="n"/>
      <c r="N36" s="37" t="str">
        <f>IF(AND(ISNUMBER(L36),ISNUMBER(M36)),IF(E36="空",(G36*(1+'参数'!$C$17)-F36),(F36-G36*(1-'参数'!$C$17)))*K36/L36,"")</f>
        <v/>
      </c>
      <c r="O36" s="38" t="n"/>
      <c r="P36" s="31" t="n"/>
      <c r="Q36" s="32" t="n"/>
      <c r="R36" s="39" t="str">
        <f>IF(N(U36)&gt;0,SUMPRODUCT(LARGE(('成交明细'!$A$5:$A$804=A36)*('成交明细'!$D$5:$D$804=IF(E36="空","卖","买"))*'成交明细'!$B$5:$B$804,COUNTIFS('成交明细'!$A$5:$A$804,A36,'成交明细'!$D$5:$D$804,IF(E36="空","卖","买")))),"")</f>
        <v/>
      </c>
      <c r="S36" s="39" t="str">
        <f>IF(AND(N(U36)&gt;0,N(W36)&gt;=N(U36)),SUMPRODUCT(MAX(('成交明细'!$A$5:$A$804=A36)*('成交明细'!$D$5:$D$804=IF(E36="空","买","卖"))*'成交明细'!$B$5:$B$804)),"")</f>
        <v/>
      </c>
      <c r="T36" s="32" t="n"/>
      <c r="U36" s="35" t="str">
        <f>IF(A36="","",SUMIFS('成交明细'!$F$5:$F$804,'成交明细'!$A$5:$A$804,A36,'成交明细'!$D$5:$D$804,IF(E36="空","卖","买")))</f>
        <v/>
      </c>
      <c r="V36" s="40" t="str">
        <f>IF(N(U36)&gt;0,SUMIFS('成交明细'!$H$5:$H$804,'成交明细'!$A$5:$A$804,A36,'成交明细'!$D$5:$D$804,IF(E36="空","卖","买"))/U36,"")</f>
        <v/>
      </c>
      <c r="W36" s="35" t="str">
        <f>IF(A36="","",SUMIFS('成交明细'!$F$5:$F$804,'成交明细'!$A$5:$A$804,A36,'成交明细'!$D$5:$D$804,IF(E36="空","买","卖")))</f>
        <v/>
      </c>
      <c r="X36" s="40" t="str">
        <f>IF(N(W36)&gt;0,SUMIFS('成交明细'!$H$5:$H$804,'成交明细'!$A$5:$A$804,A36,'成交明细'!$D$5:$D$804,IF(E36="空","买","卖"))/W36,"")</f>
        <v/>
      </c>
      <c r="Y36" s="41" t="str">
        <f>IF(A36="","",IF(Q36&lt;&gt;"已执行",IF(Q36="","未填执行情况",Q36),IF(N(U36)=0,"待录成交",IF(N(W36)&gt;N(U36),"平仓多于开仓",IF(N(W36)&lt;N(U36),"持仓中","已平仓")))))</f>
        <v/>
      </c>
      <c r="Z36" s="41" t="str">
        <f>IF(AND(ISNUMBER(R36),ISNUMBER(S36)),IF(R36=S36,"日内",""),"")</f>
        <v/>
      </c>
      <c r="AA36" s="42" t="str">
        <f>IF(Z36&lt;&gt;"日内","",COUNTIFS($Z$5:$Z$304,"日内",$S$5:$S$304,"&gt;"&amp;WORKDAY(S36,-5),$S$5:$S$304,"&lt;="&amp;S36))</f>
        <v/>
      </c>
      <c r="AB36" s="41" t="str">
        <f>IF(OR(NOT(ISNUMBER(M36)),NOT(ISNUMBER(R36))),"",IF(AND(M36&gt;=R36,OR(NOT(ISNUMBER(S36)),M36&lt;=S36)),"持仓跨财报",""))</f>
        <v/>
      </c>
      <c r="AC36" s="20">
        <f>IF(AND(E36="空",ISNUMBER(O36),ISNUMBER(S36)),ROUND(O36*(S36-R36)/360*V36*U36,2),0)</f>
        <v>0</v>
      </c>
      <c r="AD36" s="43" t="str">
        <f>IF(N(U36)=0,"",SUMIFS('成交明细'!$L$5:$L$804,'成交明细'!$A$5:$A$804,A36)+AC36)</f>
        <v/>
      </c>
      <c r="AE36" s="44" t="str">
        <f>IF(Y36&lt;&gt;"已平仓","",(SUMIFS('成交明细'!$H$5:$H$804,'成交明细'!$A$5:$A$804,A36,'成交明细'!$D$5:$D$804,"卖")-SUMIFS('成交明细'!$H$5:$H$804,'成交明细'!$A$5:$A$804,A36,'成交明细'!$D$5:$D$804,"买"))*1-AD36)</f>
        <v/>
      </c>
      <c r="AF36" s="45" t="str">
        <f>IF(AND(Y36="已平仓",ISNUMBER(L36)),(SUMIFS('成交明细'!$H$5:$H$804,'成交明细'!$A$5:$A$804,A36,'成交明细'!$D$5:$D$804,"卖")-SUMIFS('成交明细'!$H$5:$H$804,'成交明细'!$A$5:$A$804,A36,'成交明细'!$D$5:$D$804,"买"))*1/L36,"")</f>
        <v/>
      </c>
      <c r="AG36" s="45" t="str">
        <f>IF(AND(Y36="已平仓",ISNUMBER(L36)),AE36/L36,"")</f>
        <v/>
      </c>
      <c r="AH36" s="46" t="str">
        <f>IF(AND(ISNUMBER(V36),ISNUMBER(F36)),IF(E36="空",F36-V36,V36-F36),"")</f>
        <v/>
      </c>
      <c r="AI36" s="46" t="str">
        <f>IF(OR(NOT(ISNUMBER(AE36)),NOT(ISNUMBER(X36))),"",IF(AE36&lt;0,IF(E36="空",X36-G36,G36-X36),IF(NOT(ISNUMBER(H36)),"",IF(E36="空",X36-H36,H36-X36))))</f>
        <v/>
      </c>
      <c r="AJ36" s="32" t="n"/>
      <c r="AK36" s="32" t="n"/>
      <c r="AL36" s="31" t="n"/>
      <c r="AM36" s="45" t="str">
        <f>IF(A36="","",SUM(AG$5:AG36))</f>
        <v/>
      </c>
      <c r="AN36" s="37" t="str">
        <f>IF(A36="","",MAX(0,MAX(AM$5:AM36))-AM36)</f>
        <v/>
      </c>
    </row>
    <row r="37">
      <c r="A37" s="29" t="n"/>
      <c r="B37" s="30" t="n"/>
      <c r="C37" s="31" t="n"/>
      <c r="D37" s="32" t="n"/>
      <c r="E37" s="32" t="n"/>
      <c r="F37" s="33" t="n"/>
      <c r="G37" s="33" t="n"/>
      <c r="H37" s="33" t="n"/>
      <c r="I37" s="34" t="str">
        <f>IF(AND(ISNUMBER(F37),ISNUMBER(G37),ISNUMBER(H37)),IF(OR(AND(E37="多",F37&gt;G37),AND(E37="空",F37&lt;G37)),ABS(H37-F37)/ABS(F37-G37),"止损方向不对"),"")</f>
        <v/>
      </c>
      <c r="J37" s="35" t="str">
        <f>IF(AND(ISNUMBER(F37),ISNUMBER(G37)),IF(F37=G37,"",IF(INT(ROUND('参数'!$C$7/(ABS(F37-G37)*1+2*'参数'!$C$11+N('参数'!$C$14)*F37+N('参数'!$C$15))/1,6))*1&gt;0,INT(ROUND('参数'!$C$7/(ABS(F37-G37)*1+2*'参数'!$C$11+N('参数'!$C$14)*F37+N('参数'!$C$15))/1,6))*1,"预算不足，这笔不做")),"")</f>
        <v/>
      </c>
      <c r="K37" s="36" t="n"/>
      <c r="L37" s="20" t="str">
        <f>IF(AND(ISNUMBER(F37),ISNUMBER(G37),ISNUMBER(K37)),IF(AND(F37&lt;&gt;G37,K37&gt;0),ABS(F37-G37)*K37*1,""),"")</f>
        <v/>
      </c>
      <c r="M37" s="30" t="n"/>
      <c r="N37" s="37" t="str">
        <f>IF(AND(ISNUMBER(L37),ISNUMBER(M37)),IF(E37="空",(G37*(1+'参数'!$C$17)-F37),(F37-G37*(1-'参数'!$C$17)))*K37/L37,"")</f>
        <v/>
      </c>
      <c r="O37" s="38" t="n"/>
      <c r="P37" s="31" t="n"/>
      <c r="Q37" s="32" t="n"/>
      <c r="R37" s="39" t="str">
        <f>IF(N(U37)&gt;0,SUMPRODUCT(LARGE(('成交明细'!$A$5:$A$804=A37)*('成交明细'!$D$5:$D$804=IF(E37="空","卖","买"))*'成交明细'!$B$5:$B$804,COUNTIFS('成交明细'!$A$5:$A$804,A37,'成交明细'!$D$5:$D$804,IF(E37="空","卖","买")))),"")</f>
        <v/>
      </c>
      <c r="S37" s="39" t="str">
        <f>IF(AND(N(U37)&gt;0,N(W37)&gt;=N(U37)),SUMPRODUCT(MAX(('成交明细'!$A$5:$A$804=A37)*('成交明细'!$D$5:$D$804=IF(E37="空","买","卖"))*'成交明细'!$B$5:$B$804)),"")</f>
        <v/>
      </c>
      <c r="T37" s="32" t="n"/>
      <c r="U37" s="35" t="str">
        <f>IF(A37="","",SUMIFS('成交明细'!$F$5:$F$804,'成交明细'!$A$5:$A$804,A37,'成交明细'!$D$5:$D$804,IF(E37="空","卖","买")))</f>
        <v/>
      </c>
      <c r="V37" s="40" t="str">
        <f>IF(N(U37)&gt;0,SUMIFS('成交明细'!$H$5:$H$804,'成交明细'!$A$5:$A$804,A37,'成交明细'!$D$5:$D$804,IF(E37="空","卖","买"))/U37,"")</f>
        <v/>
      </c>
      <c r="W37" s="35" t="str">
        <f>IF(A37="","",SUMIFS('成交明细'!$F$5:$F$804,'成交明细'!$A$5:$A$804,A37,'成交明细'!$D$5:$D$804,IF(E37="空","买","卖")))</f>
        <v/>
      </c>
      <c r="X37" s="40" t="str">
        <f>IF(N(W37)&gt;0,SUMIFS('成交明细'!$H$5:$H$804,'成交明细'!$A$5:$A$804,A37,'成交明细'!$D$5:$D$804,IF(E37="空","买","卖"))/W37,"")</f>
        <v/>
      </c>
      <c r="Y37" s="41" t="str">
        <f>IF(A37="","",IF(Q37&lt;&gt;"已执行",IF(Q37="","未填执行情况",Q37),IF(N(U37)=0,"待录成交",IF(N(W37)&gt;N(U37),"平仓多于开仓",IF(N(W37)&lt;N(U37),"持仓中","已平仓")))))</f>
        <v/>
      </c>
      <c r="Z37" s="41" t="str">
        <f>IF(AND(ISNUMBER(R37),ISNUMBER(S37)),IF(R37=S37,"日内",""),"")</f>
        <v/>
      </c>
      <c r="AA37" s="42" t="str">
        <f>IF(Z37&lt;&gt;"日内","",COUNTIFS($Z$5:$Z$304,"日内",$S$5:$S$304,"&gt;"&amp;WORKDAY(S37,-5),$S$5:$S$304,"&lt;="&amp;S37))</f>
        <v/>
      </c>
      <c r="AB37" s="41" t="str">
        <f>IF(OR(NOT(ISNUMBER(M37)),NOT(ISNUMBER(R37))),"",IF(AND(M37&gt;=R37,OR(NOT(ISNUMBER(S37)),M37&lt;=S37)),"持仓跨财报",""))</f>
        <v/>
      </c>
      <c r="AC37" s="20">
        <f>IF(AND(E37="空",ISNUMBER(O37),ISNUMBER(S37)),ROUND(O37*(S37-R37)/360*V37*U37,2),0)</f>
        <v>0</v>
      </c>
      <c r="AD37" s="43" t="str">
        <f>IF(N(U37)=0,"",SUMIFS('成交明细'!$L$5:$L$804,'成交明细'!$A$5:$A$804,A37)+AC37)</f>
        <v/>
      </c>
      <c r="AE37" s="44" t="str">
        <f>IF(Y37&lt;&gt;"已平仓","",(SUMIFS('成交明细'!$H$5:$H$804,'成交明细'!$A$5:$A$804,A37,'成交明细'!$D$5:$D$804,"卖")-SUMIFS('成交明细'!$H$5:$H$804,'成交明细'!$A$5:$A$804,A37,'成交明细'!$D$5:$D$804,"买"))*1-AD37)</f>
        <v/>
      </c>
      <c r="AF37" s="45" t="str">
        <f>IF(AND(Y37="已平仓",ISNUMBER(L37)),(SUMIFS('成交明细'!$H$5:$H$804,'成交明细'!$A$5:$A$804,A37,'成交明细'!$D$5:$D$804,"卖")-SUMIFS('成交明细'!$H$5:$H$804,'成交明细'!$A$5:$A$804,A37,'成交明细'!$D$5:$D$804,"买"))*1/L37,"")</f>
        <v/>
      </c>
      <c r="AG37" s="45" t="str">
        <f>IF(AND(Y37="已平仓",ISNUMBER(L37)),AE37/L37,"")</f>
        <v/>
      </c>
      <c r="AH37" s="46" t="str">
        <f>IF(AND(ISNUMBER(V37),ISNUMBER(F37)),IF(E37="空",F37-V37,V37-F37),"")</f>
        <v/>
      </c>
      <c r="AI37" s="46" t="str">
        <f>IF(OR(NOT(ISNUMBER(AE37)),NOT(ISNUMBER(X37))),"",IF(AE37&lt;0,IF(E37="空",X37-G37,G37-X37),IF(NOT(ISNUMBER(H37)),"",IF(E37="空",X37-H37,H37-X37))))</f>
        <v/>
      </c>
      <c r="AJ37" s="32" t="n"/>
      <c r="AK37" s="32" t="n"/>
      <c r="AL37" s="31" t="n"/>
      <c r="AM37" s="45" t="str">
        <f>IF(A37="","",SUM(AG$5:AG37))</f>
        <v/>
      </c>
      <c r="AN37" s="37" t="str">
        <f>IF(A37="","",MAX(0,MAX(AM$5:AM37))-AM37)</f>
        <v/>
      </c>
    </row>
    <row r="38">
      <c r="A38" s="29" t="n"/>
      <c r="B38" s="30" t="n"/>
      <c r="C38" s="31" t="n"/>
      <c r="D38" s="32" t="n"/>
      <c r="E38" s="32" t="n"/>
      <c r="F38" s="33" t="n"/>
      <c r="G38" s="33" t="n"/>
      <c r="H38" s="33" t="n"/>
      <c r="I38" s="34" t="str">
        <f>IF(AND(ISNUMBER(F38),ISNUMBER(G38),ISNUMBER(H38)),IF(OR(AND(E38="多",F38&gt;G38),AND(E38="空",F38&lt;G38)),ABS(H38-F38)/ABS(F38-G38),"止损方向不对"),"")</f>
        <v/>
      </c>
      <c r="J38" s="35" t="str">
        <f>IF(AND(ISNUMBER(F38),ISNUMBER(G38)),IF(F38=G38,"",IF(INT(ROUND('参数'!$C$7/(ABS(F38-G38)*1+2*'参数'!$C$11+N('参数'!$C$14)*F38+N('参数'!$C$15))/1,6))*1&gt;0,INT(ROUND('参数'!$C$7/(ABS(F38-G38)*1+2*'参数'!$C$11+N('参数'!$C$14)*F38+N('参数'!$C$15))/1,6))*1,"预算不足，这笔不做")),"")</f>
        <v/>
      </c>
      <c r="K38" s="36" t="n"/>
      <c r="L38" s="20" t="str">
        <f>IF(AND(ISNUMBER(F38),ISNUMBER(G38),ISNUMBER(K38)),IF(AND(F38&lt;&gt;G38,K38&gt;0),ABS(F38-G38)*K38*1,""),"")</f>
        <v/>
      </c>
      <c r="M38" s="30" t="n"/>
      <c r="N38" s="37" t="str">
        <f>IF(AND(ISNUMBER(L38),ISNUMBER(M38)),IF(E38="空",(G38*(1+'参数'!$C$17)-F38),(F38-G38*(1-'参数'!$C$17)))*K38/L38,"")</f>
        <v/>
      </c>
      <c r="O38" s="38" t="n"/>
      <c r="P38" s="31" t="n"/>
      <c r="Q38" s="32" t="n"/>
      <c r="R38" s="39" t="str">
        <f>IF(N(U38)&gt;0,SUMPRODUCT(LARGE(('成交明细'!$A$5:$A$804=A38)*('成交明细'!$D$5:$D$804=IF(E38="空","卖","买"))*'成交明细'!$B$5:$B$804,COUNTIFS('成交明细'!$A$5:$A$804,A38,'成交明细'!$D$5:$D$804,IF(E38="空","卖","买")))),"")</f>
        <v/>
      </c>
      <c r="S38" s="39" t="str">
        <f>IF(AND(N(U38)&gt;0,N(W38)&gt;=N(U38)),SUMPRODUCT(MAX(('成交明细'!$A$5:$A$804=A38)*('成交明细'!$D$5:$D$804=IF(E38="空","买","卖"))*'成交明细'!$B$5:$B$804)),"")</f>
        <v/>
      </c>
      <c r="T38" s="32" t="n"/>
      <c r="U38" s="35" t="str">
        <f>IF(A38="","",SUMIFS('成交明细'!$F$5:$F$804,'成交明细'!$A$5:$A$804,A38,'成交明细'!$D$5:$D$804,IF(E38="空","卖","买")))</f>
        <v/>
      </c>
      <c r="V38" s="40" t="str">
        <f>IF(N(U38)&gt;0,SUMIFS('成交明细'!$H$5:$H$804,'成交明细'!$A$5:$A$804,A38,'成交明细'!$D$5:$D$804,IF(E38="空","卖","买"))/U38,"")</f>
        <v/>
      </c>
      <c r="W38" s="35" t="str">
        <f>IF(A38="","",SUMIFS('成交明细'!$F$5:$F$804,'成交明细'!$A$5:$A$804,A38,'成交明细'!$D$5:$D$804,IF(E38="空","买","卖")))</f>
        <v/>
      </c>
      <c r="X38" s="40" t="str">
        <f>IF(N(W38)&gt;0,SUMIFS('成交明细'!$H$5:$H$804,'成交明细'!$A$5:$A$804,A38,'成交明细'!$D$5:$D$804,IF(E38="空","买","卖"))/W38,"")</f>
        <v/>
      </c>
      <c r="Y38" s="41" t="str">
        <f>IF(A38="","",IF(Q38&lt;&gt;"已执行",IF(Q38="","未填执行情况",Q38),IF(N(U38)=0,"待录成交",IF(N(W38)&gt;N(U38),"平仓多于开仓",IF(N(W38)&lt;N(U38),"持仓中","已平仓")))))</f>
        <v/>
      </c>
      <c r="Z38" s="41" t="str">
        <f>IF(AND(ISNUMBER(R38),ISNUMBER(S38)),IF(R38=S38,"日内",""),"")</f>
        <v/>
      </c>
      <c r="AA38" s="42" t="str">
        <f>IF(Z38&lt;&gt;"日内","",COUNTIFS($Z$5:$Z$304,"日内",$S$5:$S$304,"&gt;"&amp;WORKDAY(S38,-5),$S$5:$S$304,"&lt;="&amp;S38))</f>
        <v/>
      </c>
      <c r="AB38" s="41" t="str">
        <f>IF(OR(NOT(ISNUMBER(M38)),NOT(ISNUMBER(R38))),"",IF(AND(M38&gt;=R38,OR(NOT(ISNUMBER(S38)),M38&lt;=S38)),"持仓跨财报",""))</f>
        <v/>
      </c>
      <c r="AC38" s="20">
        <f>IF(AND(E38="空",ISNUMBER(O38),ISNUMBER(S38)),ROUND(O38*(S38-R38)/360*V38*U38,2),0)</f>
        <v>0</v>
      </c>
      <c r="AD38" s="43" t="str">
        <f>IF(N(U38)=0,"",SUMIFS('成交明细'!$L$5:$L$804,'成交明细'!$A$5:$A$804,A38)+AC38)</f>
        <v/>
      </c>
      <c r="AE38" s="44" t="str">
        <f>IF(Y38&lt;&gt;"已平仓","",(SUMIFS('成交明细'!$H$5:$H$804,'成交明细'!$A$5:$A$804,A38,'成交明细'!$D$5:$D$804,"卖")-SUMIFS('成交明细'!$H$5:$H$804,'成交明细'!$A$5:$A$804,A38,'成交明细'!$D$5:$D$804,"买"))*1-AD38)</f>
        <v/>
      </c>
      <c r="AF38" s="45" t="str">
        <f>IF(AND(Y38="已平仓",ISNUMBER(L38)),(SUMIFS('成交明细'!$H$5:$H$804,'成交明细'!$A$5:$A$804,A38,'成交明细'!$D$5:$D$804,"卖")-SUMIFS('成交明细'!$H$5:$H$804,'成交明细'!$A$5:$A$804,A38,'成交明细'!$D$5:$D$804,"买"))*1/L38,"")</f>
        <v/>
      </c>
      <c r="AG38" s="45" t="str">
        <f>IF(AND(Y38="已平仓",ISNUMBER(L38)),AE38/L38,"")</f>
        <v/>
      </c>
      <c r="AH38" s="46" t="str">
        <f>IF(AND(ISNUMBER(V38),ISNUMBER(F38)),IF(E38="空",F38-V38,V38-F38),"")</f>
        <v/>
      </c>
      <c r="AI38" s="46" t="str">
        <f>IF(OR(NOT(ISNUMBER(AE38)),NOT(ISNUMBER(X38))),"",IF(AE38&lt;0,IF(E38="空",X38-G38,G38-X38),IF(NOT(ISNUMBER(H38)),"",IF(E38="空",X38-H38,H38-X38))))</f>
        <v/>
      </c>
      <c r="AJ38" s="32" t="n"/>
      <c r="AK38" s="32" t="n"/>
      <c r="AL38" s="31" t="n"/>
      <c r="AM38" s="45" t="str">
        <f>IF(A38="","",SUM(AG$5:AG38))</f>
        <v/>
      </c>
      <c r="AN38" s="37" t="str">
        <f>IF(A38="","",MAX(0,MAX(AM$5:AM38))-AM38)</f>
        <v/>
      </c>
    </row>
    <row r="39">
      <c r="A39" s="29" t="n"/>
      <c r="B39" s="30" t="n"/>
      <c r="C39" s="31" t="n"/>
      <c r="D39" s="32" t="n"/>
      <c r="E39" s="32" t="n"/>
      <c r="F39" s="33" t="n"/>
      <c r="G39" s="33" t="n"/>
      <c r="H39" s="33" t="n"/>
      <c r="I39" s="34" t="str">
        <f>IF(AND(ISNUMBER(F39),ISNUMBER(G39),ISNUMBER(H39)),IF(OR(AND(E39="多",F39&gt;G39),AND(E39="空",F39&lt;G39)),ABS(H39-F39)/ABS(F39-G39),"止损方向不对"),"")</f>
        <v/>
      </c>
      <c r="J39" s="35" t="str">
        <f>IF(AND(ISNUMBER(F39),ISNUMBER(G39)),IF(F39=G39,"",IF(INT(ROUND('参数'!$C$7/(ABS(F39-G39)*1+2*'参数'!$C$11+N('参数'!$C$14)*F39+N('参数'!$C$15))/1,6))*1&gt;0,INT(ROUND('参数'!$C$7/(ABS(F39-G39)*1+2*'参数'!$C$11+N('参数'!$C$14)*F39+N('参数'!$C$15))/1,6))*1,"预算不足，这笔不做")),"")</f>
        <v/>
      </c>
      <c r="K39" s="36" t="n"/>
      <c r="L39" s="20" t="str">
        <f>IF(AND(ISNUMBER(F39),ISNUMBER(G39),ISNUMBER(K39)),IF(AND(F39&lt;&gt;G39,K39&gt;0),ABS(F39-G39)*K39*1,""),"")</f>
        <v/>
      </c>
      <c r="M39" s="30" t="n"/>
      <c r="N39" s="37" t="str">
        <f>IF(AND(ISNUMBER(L39),ISNUMBER(M39)),IF(E39="空",(G39*(1+'参数'!$C$17)-F39),(F39-G39*(1-'参数'!$C$17)))*K39/L39,"")</f>
        <v/>
      </c>
      <c r="O39" s="38" t="n"/>
      <c r="P39" s="31" t="n"/>
      <c r="Q39" s="32" t="n"/>
      <c r="R39" s="39" t="str">
        <f>IF(N(U39)&gt;0,SUMPRODUCT(LARGE(('成交明细'!$A$5:$A$804=A39)*('成交明细'!$D$5:$D$804=IF(E39="空","卖","买"))*'成交明细'!$B$5:$B$804,COUNTIFS('成交明细'!$A$5:$A$804,A39,'成交明细'!$D$5:$D$804,IF(E39="空","卖","买")))),"")</f>
        <v/>
      </c>
      <c r="S39" s="39" t="str">
        <f>IF(AND(N(U39)&gt;0,N(W39)&gt;=N(U39)),SUMPRODUCT(MAX(('成交明细'!$A$5:$A$804=A39)*('成交明细'!$D$5:$D$804=IF(E39="空","买","卖"))*'成交明细'!$B$5:$B$804)),"")</f>
        <v/>
      </c>
      <c r="T39" s="32" t="n"/>
      <c r="U39" s="35" t="str">
        <f>IF(A39="","",SUMIFS('成交明细'!$F$5:$F$804,'成交明细'!$A$5:$A$804,A39,'成交明细'!$D$5:$D$804,IF(E39="空","卖","买")))</f>
        <v/>
      </c>
      <c r="V39" s="40" t="str">
        <f>IF(N(U39)&gt;0,SUMIFS('成交明细'!$H$5:$H$804,'成交明细'!$A$5:$A$804,A39,'成交明细'!$D$5:$D$804,IF(E39="空","卖","买"))/U39,"")</f>
        <v/>
      </c>
      <c r="W39" s="35" t="str">
        <f>IF(A39="","",SUMIFS('成交明细'!$F$5:$F$804,'成交明细'!$A$5:$A$804,A39,'成交明细'!$D$5:$D$804,IF(E39="空","买","卖")))</f>
        <v/>
      </c>
      <c r="X39" s="40" t="str">
        <f>IF(N(W39)&gt;0,SUMIFS('成交明细'!$H$5:$H$804,'成交明细'!$A$5:$A$804,A39,'成交明细'!$D$5:$D$804,IF(E39="空","买","卖"))/W39,"")</f>
        <v/>
      </c>
      <c r="Y39" s="41" t="str">
        <f>IF(A39="","",IF(Q39&lt;&gt;"已执行",IF(Q39="","未填执行情况",Q39),IF(N(U39)=0,"待录成交",IF(N(W39)&gt;N(U39),"平仓多于开仓",IF(N(W39)&lt;N(U39),"持仓中","已平仓")))))</f>
        <v/>
      </c>
      <c r="Z39" s="41" t="str">
        <f>IF(AND(ISNUMBER(R39),ISNUMBER(S39)),IF(R39=S39,"日内",""),"")</f>
        <v/>
      </c>
      <c r="AA39" s="42" t="str">
        <f>IF(Z39&lt;&gt;"日内","",COUNTIFS($Z$5:$Z$304,"日内",$S$5:$S$304,"&gt;"&amp;WORKDAY(S39,-5),$S$5:$S$304,"&lt;="&amp;S39))</f>
        <v/>
      </c>
      <c r="AB39" s="41" t="str">
        <f>IF(OR(NOT(ISNUMBER(M39)),NOT(ISNUMBER(R39))),"",IF(AND(M39&gt;=R39,OR(NOT(ISNUMBER(S39)),M39&lt;=S39)),"持仓跨财报",""))</f>
        <v/>
      </c>
      <c r="AC39" s="20">
        <f>IF(AND(E39="空",ISNUMBER(O39),ISNUMBER(S39)),ROUND(O39*(S39-R39)/360*V39*U39,2),0)</f>
        <v>0</v>
      </c>
      <c r="AD39" s="43" t="str">
        <f>IF(N(U39)=0,"",SUMIFS('成交明细'!$L$5:$L$804,'成交明细'!$A$5:$A$804,A39)+AC39)</f>
        <v/>
      </c>
      <c r="AE39" s="44" t="str">
        <f>IF(Y39&lt;&gt;"已平仓","",(SUMIFS('成交明细'!$H$5:$H$804,'成交明细'!$A$5:$A$804,A39,'成交明细'!$D$5:$D$804,"卖")-SUMIFS('成交明细'!$H$5:$H$804,'成交明细'!$A$5:$A$804,A39,'成交明细'!$D$5:$D$804,"买"))*1-AD39)</f>
        <v/>
      </c>
      <c r="AF39" s="45" t="str">
        <f>IF(AND(Y39="已平仓",ISNUMBER(L39)),(SUMIFS('成交明细'!$H$5:$H$804,'成交明细'!$A$5:$A$804,A39,'成交明细'!$D$5:$D$804,"卖")-SUMIFS('成交明细'!$H$5:$H$804,'成交明细'!$A$5:$A$804,A39,'成交明细'!$D$5:$D$804,"买"))*1/L39,"")</f>
        <v/>
      </c>
      <c r="AG39" s="45" t="str">
        <f>IF(AND(Y39="已平仓",ISNUMBER(L39)),AE39/L39,"")</f>
        <v/>
      </c>
      <c r="AH39" s="46" t="str">
        <f>IF(AND(ISNUMBER(V39),ISNUMBER(F39)),IF(E39="空",F39-V39,V39-F39),"")</f>
        <v/>
      </c>
      <c r="AI39" s="46" t="str">
        <f>IF(OR(NOT(ISNUMBER(AE39)),NOT(ISNUMBER(X39))),"",IF(AE39&lt;0,IF(E39="空",X39-G39,G39-X39),IF(NOT(ISNUMBER(H39)),"",IF(E39="空",X39-H39,H39-X39))))</f>
        <v/>
      </c>
      <c r="AJ39" s="32" t="n"/>
      <c r="AK39" s="32" t="n"/>
      <c r="AL39" s="31" t="n"/>
      <c r="AM39" s="45" t="str">
        <f>IF(A39="","",SUM(AG$5:AG39))</f>
        <v/>
      </c>
      <c r="AN39" s="37" t="str">
        <f>IF(A39="","",MAX(0,MAX(AM$5:AM39))-AM39)</f>
        <v/>
      </c>
    </row>
    <row r="40">
      <c r="A40" s="29" t="n"/>
      <c r="B40" s="30" t="n"/>
      <c r="C40" s="31" t="n"/>
      <c r="D40" s="32" t="n"/>
      <c r="E40" s="32" t="n"/>
      <c r="F40" s="33" t="n"/>
      <c r="G40" s="33" t="n"/>
      <c r="H40" s="33" t="n"/>
      <c r="I40" s="34" t="str">
        <f>IF(AND(ISNUMBER(F40),ISNUMBER(G40),ISNUMBER(H40)),IF(OR(AND(E40="多",F40&gt;G40),AND(E40="空",F40&lt;G40)),ABS(H40-F40)/ABS(F40-G40),"止损方向不对"),"")</f>
        <v/>
      </c>
      <c r="J40" s="35" t="str">
        <f>IF(AND(ISNUMBER(F40),ISNUMBER(G40)),IF(F40=G40,"",IF(INT(ROUND('参数'!$C$7/(ABS(F40-G40)*1+2*'参数'!$C$11+N('参数'!$C$14)*F40+N('参数'!$C$15))/1,6))*1&gt;0,INT(ROUND('参数'!$C$7/(ABS(F40-G40)*1+2*'参数'!$C$11+N('参数'!$C$14)*F40+N('参数'!$C$15))/1,6))*1,"预算不足，这笔不做")),"")</f>
        <v/>
      </c>
      <c r="K40" s="36" t="n"/>
      <c r="L40" s="20" t="str">
        <f>IF(AND(ISNUMBER(F40),ISNUMBER(G40),ISNUMBER(K40)),IF(AND(F40&lt;&gt;G40,K40&gt;0),ABS(F40-G40)*K40*1,""),"")</f>
        <v/>
      </c>
      <c r="M40" s="30" t="n"/>
      <c r="N40" s="37" t="str">
        <f>IF(AND(ISNUMBER(L40),ISNUMBER(M40)),IF(E40="空",(G40*(1+'参数'!$C$17)-F40),(F40-G40*(1-'参数'!$C$17)))*K40/L40,"")</f>
        <v/>
      </c>
      <c r="O40" s="38" t="n"/>
      <c r="P40" s="31" t="n"/>
      <c r="Q40" s="32" t="n"/>
      <c r="R40" s="39" t="str">
        <f>IF(N(U40)&gt;0,SUMPRODUCT(LARGE(('成交明细'!$A$5:$A$804=A40)*('成交明细'!$D$5:$D$804=IF(E40="空","卖","买"))*'成交明细'!$B$5:$B$804,COUNTIFS('成交明细'!$A$5:$A$804,A40,'成交明细'!$D$5:$D$804,IF(E40="空","卖","买")))),"")</f>
        <v/>
      </c>
      <c r="S40" s="39" t="str">
        <f>IF(AND(N(U40)&gt;0,N(W40)&gt;=N(U40)),SUMPRODUCT(MAX(('成交明细'!$A$5:$A$804=A40)*('成交明细'!$D$5:$D$804=IF(E40="空","买","卖"))*'成交明细'!$B$5:$B$804)),"")</f>
        <v/>
      </c>
      <c r="T40" s="32" t="n"/>
      <c r="U40" s="35" t="str">
        <f>IF(A40="","",SUMIFS('成交明细'!$F$5:$F$804,'成交明细'!$A$5:$A$804,A40,'成交明细'!$D$5:$D$804,IF(E40="空","卖","买")))</f>
        <v/>
      </c>
      <c r="V40" s="40" t="str">
        <f>IF(N(U40)&gt;0,SUMIFS('成交明细'!$H$5:$H$804,'成交明细'!$A$5:$A$804,A40,'成交明细'!$D$5:$D$804,IF(E40="空","卖","买"))/U40,"")</f>
        <v/>
      </c>
      <c r="W40" s="35" t="str">
        <f>IF(A40="","",SUMIFS('成交明细'!$F$5:$F$804,'成交明细'!$A$5:$A$804,A40,'成交明细'!$D$5:$D$804,IF(E40="空","买","卖")))</f>
        <v/>
      </c>
      <c r="X40" s="40" t="str">
        <f>IF(N(W40)&gt;0,SUMIFS('成交明细'!$H$5:$H$804,'成交明细'!$A$5:$A$804,A40,'成交明细'!$D$5:$D$804,IF(E40="空","买","卖"))/W40,"")</f>
        <v/>
      </c>
      <c r="Y40" s="41" t="str">
        <f>IF(A40="","",IF(Q40&lt;&gt;"已执行",IF(Q40="","未填执行情况",Q40),IF(N(U40)=0,"待录成交",IF(N(W40)&gt;N(U40),"平仓多于开仓",IF(N(W40)&lt;N(U40),"持仓中","已平仓")))))</f>
        <v/>
      </c>
      <c r="Z40" s="41" t="str">
        <f>IF(AND(ISNUMBER(R40),ISNUMBER(S40)),IF(R40=S40,"日内",""),"")</f>
        <v/>
      </c>
      <c r="AA40" s="42" t="str">
        <f>IF(Z40&lt;&gt;"日内","",COUNTIFS($Z$5:$Z$304,"日内",$S$5:$S$304,"&gt;"&amp;WORKDAY(S40,-5),$S$5:$S$304,"&lt;="&amp;S40))</f>
        <v/>
      </c>
      <c r="AB40" s="41" t="str">
        <f>IF(OR(NOT(ISNUMBER(M40)),NOT(ISNUMBER(R40))),"",IF(AND(M40&gt;=R40,OR(NOT(ISNUMBER(S40)),M40&lt;=S40)),"持仓跨财报",""))</f>
        <v/>
      </c>
      <c r="AC40" s="20">
        <f>IF(AND(E40="空",ISNUMBER(O40),ISNUMBER(S40)),ROUND(O40*(S40-R40)/360*V40*U40,2),0)</f>
        <v>0</v>
      </c>
      <c r="AD40" s="43" t="str">
        <f>IF(N(U40)=0,"",SUMIFS('成交明细'!$L$5:$L$804,'成交明细'!$A$5:$A$804,A40)+AC40)</f>
        <v/>
      </c>
      <c r="AE40" s="44" t="str">
        <f>IF(Y40&lt;&gt;"已平仓","",(SUMIFS('成交明细'!$H$5:$H$804,'成交明细'!$A$5:$A$804,A40,'成交明细'!$D$5:$D$804,"卖")-SUMIFS('成交明细'!$H$5:$H$804,'成交明细'!$A$5:$A$804,A40,'成交明细'!$D$5:$D$804,"买"))*1-AD40)</f>
        <v/>
      </c>
      <c r="AF40" s="45" t="str">
        <f>IF(AND(Y40="已平仓",ISNUMBER(L40)),(SUMIFS('成交明细'!$H$5:$H$804,'成交明细'!$A$5:$A$804,A40,'成交明细'!$D$5:$D$804,"卖")-SUMIFS('成交明细'!$H$5:$H$804,'成交明细'!$A$5:$A$804,A40,'成交明细'!$D$5:$D$804,"买"))*1/L40,"")</f>
        <v/>
      </c>
      <c r="AG40" s="45" t="str">
        <f>IF(AND(Y40="已平仓",ISNUMBER(L40)),AE40/L40,"")</f>
        <v/>
      </c>
      <c r="AH40" s="46" t="str">
        <f>IF(AND(ISNUMBER(V40),ISNUMBER(F40)),IF(E40="空",F40-V40,V40-F40),"")</f>
        <v/>
      </c>
      <c r="AI40" s="46" t="str">
        <f>IF(OR(NOT(ISNUMBER(AE40)),NOT(ISNUMBER(X40))),"",IF(AE40&lt;0,IF(E40="空",X40-G40,G40-X40),IF(NOT(ISNUMBER(H40)),"",IF(E40="空",X40-H40,H40-X40))))</f>
        <v/>
      </c>
      <c r="AJ40" s="32" t="n"/>
      <c r="AK40" s="32" t="n"/>
      <c r="AL40" s="31" t="n"/>
      <c r="AM40" s="45" t="str">
        <f>IF(A40="","",SUM(AG$5:AG40))</f>
        <v/>
      </c>
      <c r="AN40" s="37" t="str">
        <f>IF(A40="","",MAX(0,MAX(AM$5:AM40))-AM40)</f>
        <v/>
      </c>
    </row>
    <row r="41">
      <c r="A41" s="29" t="n"/>
      <c r="B41" s="30" t="n"/>
      <c r="C41" s="31" t="n"/>
      <c r="D41" s="32" t="n"/>
      <c r="E41" s="32" t="n"/>
      <c r="F41" s="33" t="n"/>
      <c r="G41" s="33" t="n"/>
      <c r="H41" s="33" t="n"/>
      <c r="I41" s="34" t="str">
        <f>IF(AND(ISNUMBER(F41),ISNUMBER(G41),ISNUMBER(H41)),IF(OR(AND(E41="多",F41&gt;G41),AND(E41="空",F41&lt;G41)),ABS(H41-F41)/ABS(F41-G41),"止损方向不对"),"")</f>
        <v/>
      </c>
      <c r="J41" s="35" t="str">
        <f>IF(AND(ISNUMBER(F41),ISNUMBER(G41)),IF(F41=G41,"",IF(INT(ROUND('参数'!$C$7/(ABS(F41-G41)*1+2*'参数'!$C$11+N('参数'!$C$14)*F41+N('参数'!$C$15))/1,6))*1&gt;0,INT(ROUND('参数'!$C$7/(ABS(F41-G41)*1+2*'参数'!$C$11+N('参数'!$C$14)*F41+N('参数'!$C$15))/1,6))*1,"预算不足，这笔不做")),"")</f>
        <v/>
      </c>
      <c r="K41" s="36" t="n"/>
      <c r="L41" s="20" t="str">
        <f>IF(AND(ISNUMBER(F41),ISNUMBER(G41),ISNUMBER(K41)),IF(AND(F41&lt;&gt;G41,K41&gt;0),ABS(F41-G41)*K41*1,""),"")</f>
        <v/>
      </c>
      <c r="M41" s="30" t="n"/>
      <c r="N41" s="37" t="str">
        <f>IF(AND(ISNUMBER(L41),ISNUMBER(M41)),IF(E41="空",(G41*(1+'参数'!$C$17)-F41),(F41-G41*(1-'参数'!$C$17)))*K41/L41,"")</f>
        <v/>
      </c>
      <c r="O41" s="38" t="n"/>
      <c r="P41" s="31" t="n"/>
      <c r="Q41" s="32" t="n"/>
      <c r="R41" s="39" t="str">
        <f>IF(N(U41)&gt;0,SUMPRODUCT(LARGE(('成交明细'!$A$5:$A$804=A41)*('成交明细'!$D$5:$D$804=IF(E41="空","卖","买"))*'成交明细'!$B$5:$B$804,COUNTIFS('成交明细'!$A$5:$A$804,A41,'成交明细'!$D$5:$D$804,IF(E41="空","卖","买")))),"")</f>
        <v/>
      </c>
      <c r="S41" s="39" t="str">
        <f>IF(AND(N(U41)&gt;0,N(W41)&gt;=N(U41)),SUMPRODUCT(MAX(('成交明细'!$A$5:$A$804=A41)*('成交明细'!$D$5:$D$804=IF(E41="空","买","卖"))*'成交明细'!$B$5:$B$804)),"")</f>
        <v/>
      </c>
      <c r="T41" s="32" t="n"/>
      <c r="U41" s="35" t="str">
        <f>IF(A41="","",SUMIFS('成交明细'!$F$5:$F$804,'成交明细'!$A$5:$A$804,A41,'成交明细'!$D$5:$D$804,IF(E41="空","卖","买")))</f>
        <v/>
      </c>
      <c r="V41" s="40" t="str">
        <f>IF(N(U41)&gt;0,SUMIFS('成交明细'!$H$5:$H$804,'成交明细'!$A$5:$A$804,A41,'成交明细'!$D$5:$D$804,IF(E41="空","卖","买"))/U41,"")</f>
        <v/>
      </c>
      <c r="W41" s="35" t="str">
        <f>IF(A41="","",SUMIFS('成交明细'!$F$5:$F$804,'成交明细'!$A$5:$A$804,A41,'成交明细'!$D$5:$D$804,IF(E41="空","买","卖")))</f>
        <v/>
      </c>
      <c r="X41" s="40" t="str">
        <f>IF(N(W41)&gt;0,SUMIFS('成交明细'!$H$5:$H$804,'成交明细'!$A$5:$A$804,A41,'成交明细'!$D$5:$D$804,IF(E41="空","买","卖"))/W41,"")</f>
        <v/>
      </c>
      <c r="Y41" s="41" t="str">
        <f>IF(A41="","",IF(Q41&lt;&gt;"已执行",IF(Q41="","未填执行情况",Q41),IF(N(U41)=0,"待录成交",IF(N(W41)&gt;N(U41),"平仓多于开仓",IF(N(W41)&lt;N(U41),"持仓中","已平仓")))))</f>
        <v/>
      </c>
      <c r="Z41" s="41" t="str">
        <f>IF(AND(ISNUMBER(R41),ISNUMBER(S41)),IF(R41=S41,"日内",""),"")</f>
        <v/>
      </c>
      <c r="AA41" s="42" t="str">
        <f>IF(Z41&lt;&gt;"日内","",COUNTIFS($Z$5:$Z$304,"日内",$S$5:$S$304,"&gt;"&amp;WORKDAY(S41,-5),$S$5:$S$304,"&lt;="&amp;S41))</f>
        <v/>
      </c>
      <c r="AB41" s="41" t="str">
        <f>IF(OR(NOT(ISNUMBER(M41)),NOT(ISNUMBER(R41))),"",IF(AND(M41&gt;=R41,OR(NOT(ISNUMBER(S41)),M41&lt;=S41)),"持仓跨财报",""))</f>
        <v/>
      </c>
      <c r="AC41" s="20">
        <f>IF(AND(E41="空",ISNUMBER(O41),ISNUMBER(S41)),ROUND(O41*(S41-R41)/360*V41*U41,2),0)</f>
        <v>0</v>
      </c>
      <c r="AD41" s="43" t="str">
        <f>IF(N(U41)=0,"",SUMIFS('成交明细'!$L$5:$L$804,'成交明细'!$A$5:$A$804,A41)+AC41)</f>
        <v/>
      </c>
      <c r="AE41" s="44" t="str">
        <f>IF(Y41&lt;&gt;"已平仓","",(SUMIFS('成交明细'!$H$5:$H$804,'成交明细'!$A$5:$A$804,A41,'成交明细'!$D$5:$D$804,"卖")-SUMIFS('成交明细'!$H$5:$H$804,'成交明细'!$A$5:$A$804,A41,'成交明细'!$D$5:$D$804,"买"))*1-AD41)</f>
        <v/>
      </c>
      <c r="AF41" s="45" t="str">
        <f>IF(AND(Y41="已平仓",ISNUMBER(L41)),(SUMIFS('成交明细'!$H$5:$H$804,'成交明细'!$A$5:$A$804,A41,'成交明细'!$D$5:$D$804,"卖")-SUMIFS('成交明细'!$H$5:$H$804,'成交明细'!$A$5:$A$804,A41,'成交明细'!$D$5:$D$804,"买"))*1/L41,"")</f>
        <v/>
      </c>
      <c r="AG41" s="45" t="str">
        <f>IF(AND(Y41="已平仓",ISNUMBER(L41)),AE41/L41,"")</f>
        <v/>
      </c>
      <c r="AH41" s="46" t="str">
        <f>IF(AND(ISNUMBER(V41),ISNUMBER(F41)),IF(E41="空",F41-V41,V41-F41),"")</f>
        <v/>
      </c>
      <c r="AI41" s="46" t="str">
        <f>IF(OR(NOT(ISNUMBER(AE41)),NOT(ISNUMBER(X41))),"",IF(AE41&lt;0,IF(E41="空",X41-G41,G41-X41),IF(NOT(ISNUMBER(H41)),"",IF(E41="空",X41-H41,H41-X41))))</f>
        <v/>
      </c>
      <c r="AJ41" s="32" t="n"/>
      <c r="AK41" s="32" t="n"/>
      <c r="AL41" s="31" t="n"/>
      <c r="AM41" s="45" t="str">
        <f>IF(A41="","",SUM(AG$5:AG41))</f>
        <v/>
      </c>
      <c r="AN41" s="37" t="str">
        <f>IF(A41="","",MAX(0,MAX(AM$5:AM41))-AM41)</f>
        <v/>
      </c>
    </row>
    <row r="42">
      <c r="A42" s="29" t="n"/>
      <c r="B42" s="30" t="n"/>
      <c r="C42" s="31" t="n"/>
      <c r="D42" s="32" t="n"/>
      <c r="E42" s="32" t="n"/>
      <c r="F42" s="33" t="n"/>
      <c r="G42" s="33" t="n"/>
      <c r="H42" s="33" t="n"/>
      <c r="I42" s="34" t="str">
        <f>IF(AND(ISNUMBER(F42),ISNUMBER(G42),ISNUMBER(H42)),IF(OR(AND(E42="多",F42&gt;G42),AND(E42="空",F42&lt;G42)),ABS(H42-F42)/ABS(F42-G42),"止损方向不对"),"")</f>
        <v/>
      </c>
      <c r="J42" s="35" t="str">
        <f>IF(AND(ISNUMBER(F42),ISNUMBER(G42)),IF(F42=G42,"",IF(INT(ROUND('参数'!$C$7/(ABS(F42-G42)*1+2*'参数'!$C$11+N('参数'!$C$14)*F42+N('参数'!$C$15))/1,6))*1&gt;0,INT(ROUND('参数'!$C$7/(ABS(F42-G42)*1+2*'参数'!$C$11+N('参数'!$C$14)*F42+N('参数'!$C$15))/1,6))*1,"预算不足，这笔不做")),"")</f>
        <v/>
      </c>
      <c r="K42" s="36" t="n"/>
      <c r="L42" s="20" t="str">
        <f>IF(AND(ISNUMBER(F42),ISNUMBER(G42),ISNUMBER(K42)),IF(AND(F42&lt;&gt;G42,K42&gt;0),ABS(F42-G42)*K42*1,""),"")</f>
        <v/>
      </c>
      <c r="M42" s="30" t="n"/>
      <c r="N42" s="37" t="str">
        <f>IF(AND(ISNUMBER(L42),ISNUMBER(M42)),IF(E42="空",(G42*(1+'参数'!$C$17)-F42),(F42-G42*(1-'参数'!$C$17)))*K42/L42,"")</f>
        <v/>
      </c>
      <c r="O42" s="38" t="n"/>
      <c r="P42" s="31" t="n"/>
      <c r="Q42" s="32" t="n"/>
      <c r="R42" s="39" t="str">
        <f>IF(N(U42)&gt;0,SUMPRODUCT(LARGE(('成交明细'!$A$5:$A$804=A42)*('成交明细'!$D$5:$D$804=IF(E42="空","卖","买"))*'成交明细'!$B$5:$B$804,COUNTIFS('成交明细'!$A$5:$A$804,A42,'成交明细'!$D$5:$D$804,IF(E42="空","卖","买")))),"")</f>
        <v/>
      </c>
      <c r="S42" s="39" t="str">
        <f>IF(AND(N(U42)&gt;0,N(W42)&gt;=N(U42)),SUMPRODUCT(MAX(('成交明细'!$A$5:$A$804=A42)*('成交明细'!$D$5:$D$804=IF(E42="空","买","卖"))*'成交明细'!$B$5:$B$804)),"")</f>
        <v/>
      </c>
      <c r="T42" s="32" t="n"/>
      <c r="U42" s="35" t="str">
        <f>IF(A42="","",SUMIFS('成交明细'!$F$5:$F$804,'成交明细'!$A$5:$A$804,A42,'成交明细'!$D$5:$D$804,IF(E42="空","卖","买")))</f>
        <v/>
      </c>
      <c r="V42" s="40" t="str">
        <f>IF(N(U42)&gt;0,SUMIFS('成交明细'!$H$5:$H$804,'成交明细'!$A$5:$A$804,A42,'成交明细'!$D$5:$D$804,IF(E42="空","卖","买"))/U42,"")</f>
        <v/>
      </c>
      <c r="W42" s="35" t="str">
        <f>IF(A42="","",SUMIFS('成交明细'!$F$5:$F$804,'成交明细'!$A$5:$A$804,A42,'成交明细'!$D$5:$D$804,IF(E42="空","买","卖")))</f>
        <v/>
      </c>
      <c r="X42" s="40" t="str">
        <f>IF(N(W42)&gt;0,SUMIFS('成交明细'!$H$5:$H$804,'成交明细'!$A$5:$A$804,A42,'成交明细'!$D$5:$D$804,IF(E42="空","买","卖"))/W42,"")</f>
        <v/>
      </c>
      <c r="Y42" s="41" t="str">
        <f>IF(A42="","",IF(Q42&lt;&gt;"已执行",IF(Q42="","未填执行情况",Q42),IF(N(U42)=0,"待录成交",IF(N(W42)&gt;N(U42),"平仓多于开仓",IF(N(W42)&lt;N(U42),"持仓中","已平仓")))))</f>
        <v/>
      </c>
      <c r="Z42" s="41" t="str">
        <f>IF(AND(ISNUMBER(R42),ISNUMBER(S42)),IF(R42=S42,"日内",""),"")</f>
        <v/>
      </c>
      <c r="AA42" s="42" t="str">
        <f>IF(Z42&lt;&gt;"日内","",COUNTIFS($Z$5:$Z$304,"日内",$S$5:$S$304,"&gt;"&amp;WORKDAY(S42,-5),$S$5:$S$304,"&lt;="&amp;S42))</f>
        <v/>
      </c>
      <c r="AB42" s="41" t="str">
        <f>IF(OR(NOT(ISNUMBER(M42)),NOT(ISNUMBER(R42))),"",IF(AND(M42&gt;=R42,OR(NOT(ISNUMBER(S42)),M42&lt;=S42)),"持仓跨财报",""))</f>
        <v/>
      </c>
      <c r="AC42" s="20">
        <f>IF(AND(E42="空",ISNUMBER(O42),ISNUMBER(S42)),ROUND(O42*(S42-R42)/360*V42*U42,2),0)</f>
        <v>0</v>
      </c>
      <c r="AD42" s="43" t="str">
        <f>IF(N(U42)=0,"",SUMIFS('成交明细'!$L$5:$L$804,'成交明细'!$A$5:$A$804,A42)+AC42)</f>
        <v/>
      </c>
      <c r="AE42" s="44" t="str">
        <f>IF(Y42&lt;&gt;"已平仓","",(SUMIFS('成交明细'!$H$5:$H$804,'成交明细'!$A$5:$A$804,A42,'成交明细'!$D$5:$D$804,"卖")-SUMIFS('成交明细'!$H$5:$H$804,'成交明细'!$A$5:$A$804,A42,'成交明细'!$D$5:$D$804,"买"))*1-AD42)</f>
        <v/>
      </c>
      <c r="AF42" s="45" t="str">
        <f>IF(AND(Y42="已平仓",ISNUMBER(L42)),(SUMIFS('成交明细'!$H$5:$H$804,'成交明细'!$A$5:$A$804,A42,'成交明细'!$D$5:$D$804,"卖")-SUMIFS('成交明细'!$H$5:$H$804,'成交明细'!$A$5:$A$804,A42,'成交明细'!$D$5:$D$804,"买"))*1/L42,"")</f>
        <v/>
      </c>
      <c r="AG42" s="45" t="str">
        <f>IF(AND(Y42="已平仓",ISNUMBER(L42)),AE42/L42,"")</f>
        <v/>
      </c>
      <c r="AH42" s="46" t="str">
        <f>IF(AND(ISNUMBER(V42),ISNUMBER(F42)),IF(E42="空",F42-V42,V42-F42),"")</f>
        <v/>
      </c>
      <c r="AI42" s="46" t="str">
        <f>IF(OR(NOT(ISNUMBER(AE42)),NOT(ISNUMBER(X42))),"",IF(AE42&lt;0,IF(E42="空",X42-G42,G42-X42),IF(NOT(ISNUMBER(H42)),"",IF(E42="空",X42-H42,H42-X42))))</f>
        <v/>
      </c>
      <c r="AJ42" s="32" t="n"/>
      <c r="AK42" s="32" t="n"/>
      <c r="AL42" s="31" t="n"/>
      <c r="AM42" s="45" t="str">
        <f>IF(A42="","",SUM(AG$5:AG42))</f>
        <v/>
      </c>
      <c r="AN42" s="37" t="str">
        <f>IF(A42="","",MAX(0,MAX(AM$5:AM42))-AM42)</f>
        <v/>
      </c>
    </row>
    <row r="43">
      <c r="A43" s="29" t="n"/>
      <c r="B43" s="30" t="n"/>
      <c r="C43" s="31" t="n"/>
      <c r="D43" s="32" t="n"/>
      <c r="E43" s="32" t="n"/>
      <c r="F43" s="33" t="n"/>
      <c r="G43" s="33" t="n"/>
      <c r="H43" s="33" t="n"/>
      <c r="I43" s="34" t="str">
        <f>IF(AND(ISNUMBER(F43),ISNUMBER(G43),ISNUMBER(H43)),IF(OR(AND(E43="多",F43&gt;G43),AND(E43="空",F43&lt;G43)),ABS(H43-F43)/ABS(F43-G43),"止损方向不对"),"")</f>
        <v/>
      </c>
      <c r="J43" s="35" t="str">
        <f>IF(AND(ISNUMBER(F43),ISNUMBER(G43)),IF(F43=G43,"",IF(INT(ROUND('参数'!$C$7/(ABS(F43-G43)*1+2*'参数'!$C$11+N('参数'!$C$14)*F43+N('参数'!$C$15))/1,6))*1&gt;0,INT(ROUND('参数'!$C$7/(ABS(F43-G43)*1+2*'参数'!$C$11+N('参数'!$C$14)*F43+N('参数'!$C$15))/1,6))*1,"预算不足，这笔不做")),"")</f>
        <v/>
      </c>
      <c r="K43" s="36" t="n"/>
      <c r="L43" s="20" t="str">
        <f>IF(AND(ISNUMBER(F43),ISNUMBER(G43),ISNUMBER(K43)),IF(AND(F43&lt;&gt;G43,K43&gt;0),ABS(F43-G43)*K43*1,""),"")</f>
        <v/>
      </c>
      <c r="M43" s="30" t="n"/>
      <c r="N43" s="37" t="str">
        <f>IF(AND(ISNUMBER(L43),ISNUMBER(M43)),IF(E43="空",(G43*(1+'参数'!$C$17)-F43),(F43-G43*(1-'参数'!$C$17)))*K43/L43,"")</f>
        <v/>
      </c>
      <c r="O43" s="38" t="n"/>
      <c r="P43" s="31" t="n"/>
      <c r="Q43" s="32" t="n"/>
      <c r="R43" s="39" t="str">
        <f>IF(N(U43)&gt;0,SUMPRODUCT(LARGE(('成交明细'!$A$5:$A$804=A43)*('成交明细'!$D$5:$D$804=IF(E43="空","卖","买"))*'成交明细'!$B$5:$B$804,COUNTIFS('成交明细'!$A$5:$A$804,A43,'成交明细'!$D$5:$D$804,IF(E43="空","卖","买")))),"")</f>
        <v/>
      </c>
      <c r="S43" s="39" t="str">
        <f>IF(AND(N(U43)&gt;0,N(W43)&gt;=N(U43)),SUMPRODUCT(MAX(('成交明细'!$A$5:$A$804=A43)*('成交明细'!$D$5:$D$804=IF(E43="空","买","卖"))*'成交明细'!$B$5:$B$804)),"")</f>
        <v/>
      </c>
      <c r="T43" s="32" t="n"/>
      <c r="U43" s="35" t="str">
        <f>IF(A43="","",SUMIFS('成交明细'!$F$5:$F$804,'成交明细'!$A$5:$A$804,A43,'成交明细'!$D$5:$D$804,IF(E43="空","卖","买")))</f>
        <v/>
      </c>
      <c r="V43" s="40" t="str">
        <f>IF(N(U43)&gt;0,SUMIFS('成交明细'!$H$5:$H$804,'成交明细'!$A$5:$A$804,A43,'成交明细'!$D$5:$D$804,IF(E43="空","卖","买"))/U43,"")</f>
        <v/>
      </c>
      <c r="W43" s="35" t="str">
        <f>IF(A43="","",SUMIFS('成交明细'!$F$5:$F$804,'成交明细'!$A$5:$A$804,A43,'成交明细'!$D$5:$D$804,IF(E43="空","买","卖")))</f>
        <v/>
      </c>
      <c r="X43" s="40" t="str">
        <f>IF(N(W43)&gt;0,SUMIFS('成交明细'!$H$5:$H$804,'成交明细'!$A$5:$A$804,A43,'成交明细'!$D$5:$D$804,IF(E43="空","买","卖"))/W43,"")</f>
        <v/>
      </c>
      <c r="Y43" s="41" t="str">
        <f>IF(A43="","",IF(Q43&lt;&gt;"已执行",IF(Q43="","未填执行情况",Q43),IF(N(U43)=0,"待录成交",IF(N(W43)&gt;N(U43),"平仓多于开仓",IF(N(W43)&lt;N(U43),"持仓中","已平仓")))))</f>
        <v/>
      </c>
      <c r="Z43" s="41" t="str">
        <f>IF(AND(ISNUMBER(R43),ISNUMBER(S43)),IF(R43=S43,"日内",""),"")</f>
        <v/>
      </c>
      <c r="AA43" s="42" t="str">
        <f>IF(Z43&lt;&gt;"日内","",COUNTIFS($Z$5:$Z$304,"日内",$S$5:$S$304,"&gt;"&amp;WORKDAY(S43,-5),$S$5:$S$304,"&lt;="&amp;S43))</f>
        <v/>
      </c>
      <c r="AB43" s="41" t="str">
        <f>IF(OR(NOT(ISNUMBER(M43)),NOT(ISNUMBER(R43))),"",IF(AND(M43&gt;=R43,OR(NOT(ISNUMBER(S43)),M43&lt;=S43)),"持仓跨财报",""))</f>
        <v/>
      </c>
      <c r="AC43" s="20">
        <f>IF(AND(E43="空",ISNUMBER(O43),ISNUMBER(S43)),ROUND(O43*(S43-R43)/360*V43*U43,2),0)</f>
        <v>0</v>
      </c>
      <c r="AD43" s="43" t="str">
        <f>IF(N(U43)=0,"",SUMIFS('成交明细'!$L$5:$L$804,'成交明细'!$A$5:$A$804,A43)+AC43)</f>
        <v/>
      </c>
      <c r="AE43" s="44" t="str">
        <f>IF(Y43&lt;&gt;"已平仓","",(SUMIFS('成交明细'!$H$5:$H$804,'成交明细'!$A$5:$A$804,A43,'成交明细'!$D$5:$D$804,"卖")-SUMIFS('成交明细'!$H$5:$H$804,'成交明细'!$A$5:$A$804,A43,'成交明细'!$D$5:$D$804,"买"))*1-AD43)</f>
        <v/>
      </c>
      <c r="AF43" s="45" t="str">
        <f>IF(AND(Y43="已平仓",ISNUMBER(L43)),(SUMIFS('成交明细'!$H$5:$H$804,'成交明细'!$A$5:$A$804,A43,'成交明细'!$D$5:$D$804,"卖")-SUMIFS('成交明细'!$H$5:$H$804,'成交明细'!$A$5:$A$804,A43,'成交明细'!$D$5:$D$804,"买"))*1/L43,"")</f>
        <v/>
      </c>
      <c r="AG43" s="45" t="str">
        <f>IF(AND(Y43="已平仓",ISNUMBER(L43)),AE43/L43,"")</f>
        <v/>
      </c>
      <c r="AH43" s="46" t="str">
        <f>IF(AND(ISNUMBER(V43),ISNUMBER(F43)),IF(E43="空",F43-V43,V43-F43),"")</f>
        <v/>
      </c>
      <c r="AI43" s="46" t="str">
        <f>IF(OR(NOT(ISNUMBER(AE43)),NOT(ISNUMBER(X43))),"",IF(AE43&lt;0,IF(E43="空",X43-G43,G43-X43),IF(NOT(ISNUMBER(H43)),"",IF(E43="空",X43-H43,H43-X43))))</f>
        <v/>
      </c>
      <c r="AJ43" s="32" t="n"/>
      <c r="AK43" s="32" t="n"/>
      <c r="AL43" s="31" t="n"/>
      <c r="AM43" s="45" t="str">
        <f>IF(A43="","",SUM(AG$5:AG43))</f>
        <v/>
      </c>
      <c r="AN43" s="37" t="str">
        <f>IF(A43="","",MAX(0,MAX(AM$5:AM43))-AM43)</f>
        <v/>
      </c>
    </row>
    <row r="44">
      <c r="A44" s="29" t="n"/>
      <c r="B44" s="30" t="n"/>
      <c r="C44" s="31" t="n"/>
      <c r="D44" s="32" t="n"/>
      <c r="E44" s="32" t="n"/>
      <c r="F44" s="33" t="n"/>
      <c r="G44" s="33" t="n"/>
      <c r="H44" s="33" t="n"/>
      <c r="I44" s="34" t="str">
        <f>IF(AND(ISNUMBER(F44),ISNUMBER(G44),ISNUMBER(H44)),IF(OR(AND(E44="多",F44&gt;G44),AND(E44="空",F44&lt;G44)),ABS(H44-F44)/ABS(F44-G44),"止损方向不对"),"")</f>
        <v/>
      </c>
      <c r="J44" s="35" t="str">
        <f>IF(AND(ISNUMBER(F44),ISNUMBER(G44)),IF(F44=G44,"",IF(INT(ROUND('参数'!$C$7/(ABS(F44-G44)*1+2*'参数'!$C$11+N('参数'!$C$14)*F44+N('参数'!$C$15))/1,6))*1&gt;0,INT(ROUND('参数'!$C$7/(ABS(F44-G44)*1+2*'参数'!$C$11+N('参数'!$C$14)*F44+N('参数'!$C$15))/1,6))*1,"预算不足，这笔不做")),"")</f>
        <v/>
      </c>
      <c r="K44" s="36" t="n"/>
      <c r="L44" s="20" t="str">
        <f>IF(AND(ISNUMBER(F44),ISNUMBER(G44),ISNUMBER(K44)),IF(AND(F44&lt;&gt;G44,K44&gt;0),ABS(F44-G44)*K44*1,""),"")</f>
        <v/>
      </c>
      <c r="M44" s="30" t="n"/>
      <c r="N44" s="37" t="str">
        <f>IF(AND(ISNUMBER(L44),ISNUMBER(M44)),IF(E44="空",(G44*(1+'参数'!$C$17)-F44),(F44-G44*(1-'参数'!$C$17)))*K44/L44,"")</f>
        <v/>
      </c>
      <c r="O44" s="38" t="n"/>
      <c r="P44" s="31" t="n"/>
      <c r="Q44" s="32" t="n"/>
      <c r="R44" s="39" t="str">
        <f>IF(N(U44)&gt;0,SUMPRODUCT(LARGE(('成交明细'!$A$5:$A$804=A44)*('成交明细'!$D$5:$D$804=IF(E44="空","卖","买"))*'成交明细'!$B$5:$B$804,COUNTIFS('成交明细'!$A$5:$A$804,A44,'成交明细'!$D$5:$D$804,IF(E44="空","卖","买")))),"")</f>
        <v/>
      </c>
      <c r="S44" s="39" t="str">
        <f>IF(AND(N(U44)&gt;0,N(W44)&gt;=N(U44)),SUMPRODUCT(MAX(('成交明细'!$A$5:$A$804=A44)*('成交明细'!$D$5:$D$804=IF(E44="空","买","卖"))*'成交明细'!$B$5:$B$804)),"")</f>
        <v/>
      </c>
      <c r="T44" s="32" t="n"/>
      <c r="U44" s="35" t="str">
        <f>IF(A44="","",SUMIFS('成交明细'!$F$5:$F$804,'成交明细'!$A$5:$A$804,A44,'成交明细'!$D$5:$D$804,IF(E44="空","卖","买")))</f>
        <v/>
      </c>
      <c r="V44" s="40" t="str">
        <f>IF(N(U44)&gt;0,SUMIFS('成交明细'!$H$5:$H$804,'成交明细'!$A$5:$A$804,A44,'成交明细'!$D$5:$D$804,IF(E44="空","卖","买"))/U44,"")</f>
        <v/>
      </c>
      <c r="W44" s="35" t="str">
        <f>IF(A44="","",SUMIFS('成交明细'!$F$5:$F$804,'成交明细'!$A$5:$A$804,A44,'成交明细'!$D$5:$D$804,IF(E44="空","买","卖")))</f>
        <v/>
      </c>
      <c r="X44" s="40" t="str">
        <f>IF(N(W44)&gt;0,SUMIFS('成交明细'!$H$5:$H$804,'成交明细'!$A$5:$A$804,A44,'成交明细'!$D$5:$D$804,IF(E44="空","买","卖"))/W44,"")</f>
        <v/>
      </c>
      <c r="Y44" s="41" t="str">
        <f>IF(A44="","",IF(Q44&lt;&gt;"已执行",IF(Q44="","未填执行情况",Q44),IF(N(U44)=0,"待录成交",IF(N(W44)&gt;N(U44),"平仓多于开仓",IF(N(W44)&lt;N(U44),"持仓中","已平仓")))))</f>
        <v/>
      </c>
      <c r="Z44" s="41" t="str">
        <f>IF(AND(ISNUMBER(R44),ISNUMBER(S44)),IF(R44=S44,"日内",""),"")</f>
        <v/>
      </c>
      <c r="AA44" s="42" t="str">
        <f>IF(Z44&lt;&gt;"日内","",COUNTIFS($Z$5:$Z$304,"日内",$S$5:$S$304,"&gt;"&amp;WORKDAY(S44,-5),$S$5:$S$304,"&lt;="&amp;S44))</f>
        <v/>
      </c>
      <c r="AB44" s="41" t="str">
        <f>IF(OR(NOT(ISNUMBER(M44)),NOT(ISNUMBER(R44))),"",IF(AND(M44&gt;=R44,OR(NOT(ISNUMBER(S44)),M44&lt;=S44)),"持仓跨财报",""))</f>
        <v/>
      </c>
      <c r="AC44" s="20">
        <f>IF(AND(E44="空",ISNUMBER(O44),ISNUMBER(S44)),ROUND(O44*(S44-R44)/360*V44*U44,2),0)</f>
        <v>0</v>
      </c>
      <c r="AD44" s="43" t="str">
        <f>IF(N(U44)=0,"",SUMIFS('成交明细'!$L$5:$L$804,'成交明细'!$A$5:$A$804,A44)+AC44)</f>
        <v/>
      </c>
      <c r="AE44" s="44" t="str">
        <f>IF(Y44&lt;&gt;"已平仓","",(SUMIFS('成交明细'!$H$5:$H$804,'成交明细'!$A$5:$A$804,A44,'成交明细'!$D$5:$D$804,"卖")-SUMIFS('成交明细'!$H$5:$H$804,'成交明细'!$A$5:$A$804,A44,'成交明细'!$D$5:$D$804,"买"))*1-AD44)</f>
        <v/>
      </c>
      <c r="AF44" s="45" t="str">
        <f>IF(AND(Y44="已平仓",ISNUMBER(L44)),(SUMIFS('成交明细'!$H$5:$H$804,'成交明细'!$A$5:$A$804,A44,'成交明细'!$D$5:$D$804,"卖")-SUMIFS('成交明细'!$H$5:$H$804,'成交明细'!$A$5:$A$804,A44,'成交明细'!$D$5:$D$804,"买"))*1/L44,"")</f>
        <v/>
      </c>
      <c r="AG44" s="45" t="str">
        <f>IF(AND(Y44="已平仓",ISNUMBER(L44)),AE44/L44,"")</f>
        <v/>
      </c>
      <c r="AH44" s="46" t="str">
        <f>IF(AND(ISNUMBER(V44),ISNUMBER(F44)),IF(E44="空",F44-V44,V44-F44),"")</f>
        <v/>
      </c>
      <c r="AI44" s="46" t="str">
        <f>IF(OR(NOT(ISNUMBER(AE44)),NOT(ISNUMBER(X44))),"",IF(AE44&lt;0,IF(E44="空",X44-G44,G44-X44),IF(NOT(ISNUMBER(H44)),"",IF(E44="空",X44-H44,H44-X44))))</f>
        <v/>
      </c>
      <c r="AJ44" s="32" t="n"/>
      <c r="AK44" s="32" t="n"/>
      <c r="AL44" s="31" t="n"/>
      <c r="AM44" s="45" t="str">
        <f>IF(A44="","",SUM(AG$5:AG44))</f>
        <v/>
      </c>
      <c r="AN44" s="37" t="str">
        <f>IF(A44="","",MAX(0,MAX(AM$5:AM44))-AM44)</f>
        <v/>
      </c>
    </row>
    <row r="45">
      <c r="A45" s="29" t="n"/>
      <c r="B45" s="30" t="n"/>
      <c r="C45" s="31" t="n"/>
      <c r="D45" s="32" t="n"/>
      <c r="E45" s="32" t="n"/>
      <c r="F45" s="33" t="n"/>
      <c r="G45" s="33" t="n"/>
      <c r="H45" s="33" t="n"/>
      <c r="I45" s="34" t="str">
        <f>IF(AND(ISNUMBER(F45),ISNUMBER(G45),ISNUMBER(H45)),IF(OR(AND(E45="多",F45&gt;G45),AND(E45="空",F45&lt;G45)),ABS(H45-F45)/ABS(F45-G45),"止损方向不对"),"")</f>
        <v/>
      </c>
      <c r="J45" s="35" t="str">
        <f>IF(AND(ISNUMBER(F45),ISNUMBER(G45)),IF(F45=G45,"",IF(INT(ROUND('参数'!$C$7/(ABS(F45-G45)*1+2*'参数'!$C$11+N('参数'!$C$14)*F45+N('参数'!$C$15))/1,6))*1&gt;0,INT(ROUND('参数'!$C$7/(ABS(F45-G45)*1+2*'参数'!$C$11+N('参数'!$C$14)*F45+N('参数'!$C$15))/1,6))*1,"预算不足，这笔不做")),"")</f>
        <v/>
      </c>
      <c r="K45" s="36" t="n"/>
      <c r="L45" s="20" t="str">
        <f>IF(AND(ISNUMBER(F45),ISNUMBER(G45),ISNUMBER(K45)),IF(AND(F45&lt;&gt;G45,K45&gt;0),ABS(F45-G45)*K45*1,""),"")</f>
        <v/>
      </c>
      <c r="M45" s="30" t="n"/>
      <c r="N45" s="37" t="str">
        <f>IF(AND(ISNUMBER(L45),ISNUMBER(M45)),IF(E45="空",(G45*(1+'参数'!$C$17)-F45),(F45-G45*(1-'参数'!$C$17)))*K45/L45,"")</f>
        <v/>
      </c>
      <c r="O45" s="38" t="n"/>
      <c r="P45" s="31" t="n"/>
      <c r="Q45" s="32" t="n"/>
      <c r="R45" s="39" t="str">
        <f>IF(N(U45)&gt;0,SUMPRODUCT(LARGE(('成交明细'!$A$5:$A$804=A45)*('成交明细'!$D$5:$D$804=IF(E45="空","卖","买"))*'成交明细'!$B$5:$B$804,COUNTIFS('成交明细'!$A$5:$A$804,A45,'成交明细'!$D$5:$D$804,IF(E45="空","卖","买")))),"")</f>
        <v/>
      </c>
      <c r="S45" s="39" t="str">
        <f>IF(AND(N(U45)&gt;0,N(W45)&gt;=N(U45)),SUMPRODUCT(MAX(('成交明细'!$A$5:$A$804=A45)*('成交明细'!$D$5:$D$804=IF(E45="空","买","卖"))*'成交明细'!$B$5:$B$804)),"")</f>
        <v/>
      </c>
      <c r="T45" s="32" t="n"/>
      <c r="U45" s="35" t="str">
        <f>IF(A45="","",SUMIFS('成交明细'!$F$5:$F$804,'成交明细'!$A$5:$A$804,A45,'成交明细'!$D$5:$D$804,IF(E45="空","卖","买")))</f>
        <v/>
      </c>
      <c r="V45" s="40" t="str">
        <f>IF(N(U45)&gt;0,SUMIFS('成交明细'!$H$5:$H$804,'成交明细'!$A$5:$A$804,A45,'成交明细'!$D$5:$D$804,IF(E45="空","卖","买"))/U45,"")</f>
        <v/>
      </c>
      <c r="W45" s="35" t="str">
        <f>IF(A45="","",SUMIFS('成交明细'!$F$5:$F$804,'成交明细'!$A$5:$A$804,A45,'成交明细'!$D$5:$D$804,IF(E45="空","买","卖")))</f>
        <v/>
      </c>
      <c r="X45" s="40" t="str">
        <f>IF(N(W45)&gt;0,SUMIFS('成交明细'!$H$5:$H$804,'成交明细'!$A$5:$A$804,A45,'成交明细'!$D$5:$D$804,IF(E45="空","买","卖"))/W45,"")</f>
        <v/>
      </c>
      <c r="Y45" s="41" t="str">
        <f>IF(A45="","",IF(Q45&lt;&gt;"已执行",IF(Q45="","未填执行情况",Q45),IF(N(U45)=0,"待录成交",IF(N(W45)&gt;N(U45),"平仓多于开仓",IF(N(W45)&lt;N(U45),"持仓中","已平仓")))))</f>
        <v/>
      </c>
      <c r="Z45" s="41" t="str">
        <f>IF(AND(ISNUMBER(R45),ISNUMBER(S45)),IF(R45=S45,"日内",""),"")</f>
        <v/>
      </c>
      <c r="AA45" s="42" t="str">
        <f>IF(Z45&lt;&gt;"日内","",COUNTIFS($Z$5:$Z$304,"日内",$S$5:$S$304,"&gt;"&amp;WORKDAY(S45,-5),$S$5:$S$304,"&lt;="&amp;S45))</f>
        <v/>
      </c>
      <c r="AB45" s="41" t="str">
        <f>IF(OR(NOT(ISNUMBER(M45)),NOT(ISNUMBER(R45))),"",IF(AND(M45&gt;=R45,OR(NOT(ISNUMBER(S45)),M45&lt;=S45)),"持仓跨财报",""))</f>
        <v/>
      </c>
      <c r="AC45" s="20">
        <f>IF(AND(E45="空",ISNUMBER(O45),ISNUMBER(S45)),ROUND(O45*(S45-R45)/360*V45*U45,2),0)</f>
        <v>0</v>
      </c>
      <c r="AD45" s="43" t="str">
        <f>IF(N(U45)=0,"",SUMIFS('成交明细'!$L$5:$L$804,'成交明细'!$A$5:$A$804,A45)+AC45)</f>
        <v/>
      </c>
      <c r="AE45" s="44" t="str">
        <f>IF(Y45&lt;&gt;"已平仓","",(SUMIFS('成交明细'!$H$5:$H$804,'成交明细'!$A$5:$A$804,A45,'成交明细'!$D$5:$D$804,"卖")-SUMIFS('成交明细'!$H$5:$H$804,'成交明细'!$A$5:$A$804,A45,'成交明细'!$D$5:$D$804,"买"))*1-AD45)</f>
        <v/>
      </c>
      <c r="AF45" s="45" t="str">
        <f>IF(AND(Y45="已平仓",ISNUMBER(L45)),(SUMIFS('成交明细'!$H$5:$H$804,'成交明细'!$A$5:$A$804,A45,'成交明细'!$D$5:$D$804,"卖")-SUMIFS('成交明细'!$H$5:$H$804,'成交明细'!$A$5:$A$804,A45,'成交明细'!$D$5:$D$804,"买"))*1/L45,"")</f>
        <v/>
      </c>
      <c r="AG45" s="45" t="str">
        <f>IF(AND(Y45="已平仓",ISNUMBER(L45)),AE45/L45,"")</f>
        <v/>
      </c>
      <c r="AH45" s="46" t="str">
        <f>IF(AND(ISNUMBER(V45),ISNUMBER(F45)),IF(E45="空",F45-V45,V45-F45),"")</f>
        <v/>
      </c>
      <c r="AI45" s="46" t="str">
        <f>IF(OR(NOT(ISNUMBER(AE45)),NOT(ISNUMBER(X45))),"",IF(AE45&lt;0,IF(E45="空",X45-G45,G45-X45),IF(NOT(ISNUMBER(H45)),"",IF(E45="空",X45-H45,H45-X45))))</f>
        <v/>
      </c>
      <c r="AJ45" s="32" t="n"/>
      <c r="AK45" s="32" t="n"/>
      <c r="AL45" s="31" t="n"/>
      <c r="AM45" s="45" t="str">
        <f>IF(A45="","",SUM(AG$5:AG45))</f>
        <v/>
      </c>
      <c r="AN45" s="37" t="str">
        <f>IF(A45="","",MAX(0,MAX(AM$5:AM45))-AM45)</f>
        <v/>
      </c>
    </row>
    <row r="46">
      <c r="A46" s="29" t="n"/>
      <c r="B46" s="30" t="n"/>
      <c r="C46" s="31" t="n"/>
      <c r="D46" s="32" t="n"/>
      <c r="E46" s="32" t="n"/>
      <c r="F46" s="33" t="n"/>
      <c r="G46" s="33" t="n"/>
      <c r="H46" s="33" t="n"/>
      <c r="I46" s="34" t="str">
        <f>IF(AND(ISNUMBER(F46),ISNUMBER(G46),ISNUMBER(H46)),IF(OR(AND(E46="多",F46&gt;G46),AND(E46="空",F46&lt;G46)),ABS(H46-F46)/ABS(F46-G46),"止损方向不对"),"")</f>
        <v/>
      </c>
      <c r="J46" s="35" t="str">
        <f>IF(AND(ISNUMBER(F46),ISNUMBER(G46)),IF(F46=G46,"",IF(INT(ROUND('参数'!$C$7/(ABS(F46-G46)*1+2*'参数'!$C$11+N('参数'!$C$14)*F46+N('参数'!$C$15))/1,6))*1&gt;0,INT(ROUND('参数'!$C$7/(ABS(F46-G46)*1+2*'参数'!$C$11+N('参数'!$C$14)*F46+N('参数'!$C$15))/1,6))*1,"预算不足，这笔不做")),"")</f>
        <v/>
      </c>
      <c r="K46" s="36" t="n"/>
      <c r="L46" s="20" t="str">
        <f>IF(AND(ISNUMBER(F46),ISNUMBER(G46),ISNUMBER(K46)),IF(AND(F46&lt;&gt;G46,K46&gt;0),ABS(F46-G46)*K46*1,""),"")</f>
        <v/>
      </c>
      <c r="M46" s="30" t="n"/>
      <c r="N46" s="37" t="str">
        <f>IF(AND(ISNUMBER(L46),ISNUMBER(M46)),IF(E46="空",(G46*(1+'参数'!$C$17)-F46),(F46-G46*(1-'参数'!$C$17)))*K46/L46,"")</f>
        <v/>
      </c>
      <c r="O46" s="38" t="n"/>
      <c r="P46" s="31" t="n"/>
      <c r="Q46" s="32" t="n"/>
      <c r="R46" s="39" t="str">
        <f>IF(N(U46)&gt;0,SUMPRODUCT(LARGE(('成交明细'!$A$5:$A$804=A46)*('成交明细'!$D$5:$D$804=IF(E46="空","卖","买"))*'成交明细'!$B$5:$B$804,COUNTIFS('成交明细'!$A$5:$A$804,A46,'成交明细'!$D$5:$D$804,IF(E46="空","卖","买")))),"")</f>
        <v/>
      </c>
      <c r="S46" s="39" t="str">
        <f>IF(AND(N(U46)&gt;0,N(W46)&gt;=N(U46)),SUMPRODUCT(MAX(('成交明细'!$A$5:$A$804=A46)*('成交明细'!$D$5:$D$804=IF(E46="空","买","卖"))*'成交明细'!$B$5:$B$804)),"")</f>
        <v/>
      </c>
      <c r="T46" s="32" t="n"/>
      <c r="U46" s="35" t="str">
        <f>IF(A46="","",SUMIFS('成交明细'!$F$5:$F$804,'成交明细'!$A$5:$A$804,A46,'成交明细'!$D$5:$D$804,IF(E46="空","卖","买")))</f>
        <v/>
      </c>
      <c r="V46" s="40" t="str">
        <f>IF(N(U46)&gt;0,SUMIFS('成交明细'!$H$5:$H$804,'成交明细'!$A$5:$A$804,A46,'成交明细'!$D$5:$D$804,IF(E46="空","卖","买"))/U46,"")</f>
        <v/>
      </c>
      <c r="W46" s="35" t="str">
        <f>IF(A46="","",SUMIFS('成交明细'!$F$5:$F$804,'成交明细'!$A$5:$A$804,A46,'成交明细'!$D$5:$D$804,IF(E46="空","买","卖")))</f>
        <v/>
      </c>
      <c r="X46" s="40" t="str">
        <f>IF(N(W46)&gt;0,SUMIFS('成交明细'!$H$5:$H$804,'成交明细'!$A$5:$A$804,A46,'成交明细'!$D$5:$D$804,IF(E46="空","买","卖"))/W46,"")</f>
        <v/>
      </c>
      <c r="Y46" s="41" t="str">
        <f>IF(A46="","",IF(Q46&lt;&gt;"已执行",IF(Q46="","未填执行情况",Q46),IF(N(U46)=0,"待录成交",IF(N(W46)&gt;N(U46),"平仓多于开仓",IF(N(W46)&lt;N(U46),"持仓中","已平仓")))))</f>
        <v/>
      </c>
      <c r="Z46" s="41" t="str">
        <f>IF(AND(ISNUMBER(R46),ISNUMBER(S46)),IF(R46=S46,"日内",""),"")</f>
        <v/>
      </c>
      <c r="AA46" s="42" t="str">
        <f>IF(Z46&lt;&gt;"日内","",COUNTIFS($Z$5:$Z$304,"日内",$S$5:$S$304,"&gt;"&amp;WORKDAY(S46,-5),$S$5:$S$304,"&lt;="&amp;S46))</f>
        <v/>
      </c>
      <c r="AB46" s="41" t="str">
        <f>IF(OR(NOT(ISNUMBER(M46)),NOT(ISNUMBER(R46))),"",IF(AND(M46&gt;=R46,OR(NOT(ISNUMBER(S46)),M46&lt;=S46)),"持仓跨财报",""))</f>
        <v/>
      </c>
      <c r="AC46" s="20">
        <f>IF(AND(E46="空",ISNUMBER(O46),ISNUMBER(S46)),ROUND(O46*(S46-R46)/360*V46*U46,2),0)</f>
        <v>0</v>
      </c>
      <c r="AD46" s="43" t="str">
        <f>IF(N(U46)=0,"",SUMIFS('成交明细'!$L$5:$L$804,'成交明细'!$A$5:$A$804,A46)+AC46)</f>
        <v/>
      </c>
      <c r="AE46" s="44" t="str">
        <f>IF(Y46&lt;&gt;"已平仓","",(SUMIFS('成交明细'!$H$5:$H$804,'成交明细'!$A$5:$A$804,A46,'成交明细'!$D$5:$D$804,"卖")-SUMIFS('成交明细'!$H$5:$H$804,'成交明细'!$A$5:$A$804,A46,'成交明细'!$D$5:$D$804,"买"))*1-AD46)</f>
        <v/>
      </c>
      <c r="AF46" s="45" t="str">
        <f>IF(AND(Y46="已平仓",ISNUMBER(L46)),(SUMIFS('成交明细'!$H$5:$H$804,'成交明细'!$A$5:$A$804,A46,'成交明细'!$D$5:$D$804,"卖")-SUMIFS('成交明细'!$H$5:$H$804,'成交明细'!$A$5:$A$804,A46,'成交明细'!$D$5:$D$804,"买"))*1/L46,"")</f>
        <v/>
      </c>
      <c r="AG46" s="45" t="str">
        <f>IF(AND(Y46="已平仓",ISNUMBER(L46)),AE46/L46,"")</f>
        <v/>
      </c>
      <c r="AH46" s="46" t="str">
        <f>IF(AND(ISNUMBER(V46),ISNUMBER(F46)),IF(E46="空",F46-V46,V46-F46),"")</f>
        <v/>
      </c>
      <c r="AI46" s="46" t="str">
        <f>IF(OR(NOT(ISNUMBER(AE46)),NOT(ISNUMBER(X46))),"",IF(AE46&lt;0,IF(E46="空",X46-G46,G46-X46),IF(NOT(ISNUMBER(H46)),"",IF(E46="空",X46-H46,H46-X46))))</f>
        <v/>
      </c>
      <c r="AJ46" s="32" t="n"/>
      <c r="AK46" s="32" t="n"/>
      <c r="AL46" s="31" t="n"/>
      <c r="AM46" s="45" t="str">
        <f>IF(A46="","",SUM(AG$5:AG46))</f>
        <v/>
      </c>
      <c r="AN46" s="37" t="str">
        <f>IF(A46="","",MAX(0,MAX(AM$5:AM46))-AM46)</f>
        <v/>
      </c>
    </row>
    <row r="47">
      <c r="A47" s="29" t="n"/>
      <c r="B47" s="30" t="n"/>
      <c r="C47" s="31" t="n"/>
      <c r="D47" s="32" t="n"/>
      <c r="E47" s="32" t="n"/>
      <c r="F47" s="33" t="n"/>
      <c r="G47" s="33" t="n"/>
      <c r="H47" s="33" t="n"/>
      <c r="I47" s="34" t="str">
        <f>IF(AND(ISNUMBER(F47),ISNUMBER(G47),ISNUMBER(H47)),IF(OR(AND(E47="多",F47&gt;G47),AND(E47="空",F47&lt;G47)),ABS(H47-F47)/ABS(F47-G47),"止损方向不对"),"")</f>
        <v/>
      </c>
      <c r="J47" s="35" t="str">
        <f>IF(AND(ISNUMBER(F47),ISNUMBER(G47)),IF(F47=G47,"",IF(INT(ROUND('参数'!$C$7/(ABS(F47-G47)*1+2*'参数'!$C$11+N('参数'!$C$14)*F47+N('参数'!$C$15))/1,6))*1&gt;0,INT(ROUND('参数'!$C$7/(ABS(F47-G47)*1+2*'参数'!$C$11+N('参数'!$C$14)*F47+N('参数'!$C$15))/1,6))*1,"预算不足，这笔不做")),"")</f>
        <v/>
      </c>
      <c r="K47" s="36" t="n"/>
      <c r="L47" s="20" t="str">
        <f>IF(AND(ISNUMBER(F47),ISNUMBER(G47),ISNUMBER(K47)),IF(AND(F47&lt;&gt;G47,K47&gt;0),ABS(F47-G47)*K47*1,""),"")</f>
        <v/>
      </c>
      <c r="M47" s="30" t="n"/>
      <c r="N47" s="37" t="str">
        <f>IF(AND(ISNUMBER(L47),ISNUMBER(M47)),IF(E47="空",(G47*(1+'参数'!$C$17)-F47),(F47-G47*(1-'参数'!$C$17)))*K47/L47,"")</f>
        <v/>
      </c>
      <c r="O47" s="38" t="n"/>
      <c r="P47" s="31" t="n"/>
      <c r="Q47" s="32" t="n"/>
      <c r="R47" s="39" t="str">
        <f>IF(N(U47)&gt;0,SUMPRODUCT(LARGE(('成交明细'!$A$5:$A$804=A47)*('成交明细'!$D$5:$D$804=IF(E47="空","卖","买"))*'成交明细'!$B$5:$B$804,COUNTIFS('成交明细'!$A$5:$A$804,A47,'成交明细'!$D$5:$D$804,IF(E47="空","卖","买")))),"")</f>
        <v/>
      </c>
      <c r="S47" s="39" t="str">
        <f>IF(AND(N(U47)&gt;0,N(W47)&gt;=N(U47)),SUMPRODUCT(MAX(('成交明细'!$A$5:$A$804=A47)*('成交明细'!$D$5:$D$804=IF(E47="空","买","卖"))*'成交明细'!$B$5:$B$804)),"")</f>
        <v/>
      </c>
      <c r="T47" s="32" t="n"/>
      <c r="U47" s="35" t="str">
        <f>IF(A47="","",SUMIFS('成交明细'!$F$5:$F$804,'成交明细'!$A$5:$A$804,A47,'成交明细'!$D$5:$D$804,IF(E47="空","卖","买")))</f>
        <v/>
      </c>
      <c r="V47" s="40" t="str">
        <f>IF(N(U47)&gt;0,SUMIFS('成交明细'!$H$5:$H$804,'成交明细'!$A$5:$A$804,A47,'成交明细'!$D$5:$D$804,IF(E47="空","卖","买"))/U47,"")</f>
        <v/>
      </c>
      <c r="W47" s="35" t="str">
        <f>IF(A47="","",SUMIFS('成交明细'!$F$5:$F$804,'成交明细'!$A$5:$A$804,A47,'成交明细'!$D$5:$D$804,IF(E47="空","买","卖")))</f>
        <v/>
      </c>
      <c r="X47" s="40" t="str">
        <f>IF(N(W47)&gt;0,SUMIFS('成交明细'!$H$5:$H$804,'成交明细'!$A$5:$A$804,A47,'成交明细'!$D$5:$D$804,IF(E47="空","买","卖"))/W47,"")</f>
        <v/>
      </c>
      <c r="Y47" s="41" t="str">
        <f>IF(A47="","",IF(Q47&lt;&gt;"已执行",IF(Q47="","未填执行情况",Q47),IF(N(U47)=0,"待录成交",IF(N(W47)&gt;N(U47),"平仓多于开仓",IF(N(W47)&lt;N(U47),"持仓中","已平仓")))))</f>
        <v/>
      </c>
      <c r="Z47" s="41" t="str">
        <f>IF(AND(ISNUMBER(R47),ISNUMBER(S47)),IF(R47=S47,"日内",""),"")</f>
        <v/>
      </c>
      <c r="AA47" s="42" t="str">
        <f>IF(Z47&lt;&gt;"日内","",COUNTIFS($Z$5:$Z$304,"日内",$S$5:$S$304,"&gt;"&amp;WORKDAY(S47,-5),$S$5:$S$304,"&lt;="&amp;S47))</f>
        <v/>
      </c>
      <c r="AB47" s="41" t="str">
        <f>IF(OR(NOT(ISNUMBER(M47)),NOT(ISNUMBER(R47))),"",IF(AND(M47&gt;=R47,OR(NOT(ISNUMBER(S47)),M47&lt;=S47)),"持仓跨财报",""))</f>
        <v/>
      </c>
      <c r="AC47" s="20">
        <f>IF(AND(E47="空",ISNUMBER(O47),ISNUMBER(S47)),ROUND(O47*(S47-R47)/360*V47*U47,2),0)</f>
        <v>0</v>
      </c>
      <c r="AD47" s="43" t="str">
        <f>IF(N(U47)=0,"",SUMIFS('成交明细'!$L$5:$L$804,'成交明细'!$A$5:$A$804,A47)+AC47)</f>
        <v/>
      </c>
      <c r="AE47" s="44" t="str">
        <f>IF(Y47&lt;&gt;"已平仓","",(SUMIFS('成交明细'!$H$5:$H$804,'成交明细'!$A$5:$A$804,A47,'成交明细'!$D$5:$D$804,"卖")-SUMIFS('成交明细'!$H$5:$H$804,'成交明细'!$A$5:$A$804,A47,'成交明细'!$D$5:$D$804,"买"))*1-AD47)</f>
        <v/>
      </c>
      <c r="AF47" s="45" t="str">
        <f>IF(AND(Y47="已平仓",ISNUMBER(L47)),(SUMIFS('成交明细'!$H$5:$H$804,'成交明细'!$A$5:$A$804,A47,'成交明细'!$D$5:$D$804,"卖")-SUMIFS('成交明细'!$H$5:$H$804,'成交明细'!$A$5:$A$804,A47,'成交明细'!$D$5:$D$804,"买"))*1/L47,"")</f>
        <v/>
      </c>
      <c r="AG47" s="45" t="str">
        <f>IF(AND(Y47="已平仓",ISNUMBER(L47)),AE47/L47,"")</f>
        <v/>
      </c>
      <c r="AH47" s="46" t="str">
        <f>IF(AND(ISNUMBER(V47),ISNUMBER(F47)),IF(E47="空",F47-V47,V47-F47),"")</f>
        <v/>
      </c>
      <c r="AI47" s="46" t="str">
        <f>IF(OR(NOT(ISNUMBER(AE47)),NOT(ISNUMBER(X47))),"",IF(AE47&lt;0,IF(E47="空",X47-G47,G47-X47),IF(NOT(ISNUMBER(H47)),"",IF(E47="空",X47-H47,H47-X47))))</f>
        <v/>
      </c>
      <c r="AJ47" s="32" t="n"/>
      <c r="AK47" s="32" t="n"/>
      <c r="AL47" s="31" t="n"/>
      <c r="AM47" s="45" t="str">
        <f>IF(A47="","",SUM(AG$5:AG47))</f>
        <v/>
      </c>
      <c r="AN47" s="37" t="str">
        <f>IF(A47="","",MAX(0,MAX(AM$5:AM47))-AM47)</f>
        <v/>
      </c>
    </row>
    <row r="48">
      <c r="A48" s="29" t="n"/>
      <c r="B48" s="30" t="n"/>
      <c r="C48" s="31" t="n"/>
      <c r="D48" s="32" t="n"/>
      <c r="E48" s="32" t="n"/>
      <c r="F48" s="33" t="n"/>
      <c r="G48" s="33" t="n"/>
      <c r="H48" s="33" t="n"/>
      <c r="I48" s="34" t="str">
        <f>IF(AND(ISNUMBER(F48),ISNUMBER(G48),ISNUMBER(H48)),IF(OR(AND(E48="多",F48&gt;G48),AND(E48="空",F48&lt;G48)),ABS(H48-F48)/ABS(F48-G48),"止损方向不对"),"")</f>
        <v/>
      </c>
      <c r="J48" s="35" t="str">
        <f>IF(AND(ISNUMBER(F48),ISNUMBER(G48)),IF(F48=G48,"",IF(INT(ROUND('参数'!$C$7/(ABS(F48-G48)*1+2*'参数'!$C$11+N('参数'!$C$14)*F48+N('参数'!$C$15))/1,6))*1&gt;0,INT(ROUND('参数'!$C$7/(ABS(F48-G48)*1+2*'参数'!$C$11+N('参数'!$C$14)*F48+N('参数'!$C$15))/1,6))*1,"预算不足，这笔不做")),"")</f>
        <v/>
      </c>
      <c r="K48" s="36" t="n"/>
      <c r="L48" s="20" t="str">
        <f>IF(AND(ISNUMBER(F48),ISNUMBER(G48),ISNUMBER(K48)),IF(AND(F48&lt;&gt;G48,K48&gt;0),ABS(F48-G48)*K48*1,""),"")</f>
        <v/>
      </c>
      <c r="M48" s="30" t="n"/>
      <c r="N48" s="37" t="str">
        <f>IF(AND(ISNUMBER(L48),ISNUMBER(M48)),IF(E48="空",(G48*(1+'参数'!$C$17)-F48),(F48-G48*(1-'参数'!$C$17)))*K48/L48,"")</f>
        <v/>
      </c>
      <c r="O48" s="38" t="n"/>
      <c r="P48" s="31" t="n"/>
      <c r="Q48" s="32" t="n"/>
      <c r="R48" s="39" t="str">
        <f>IF(N(U48)&gt;0,SUMPRODUCT(LARGE(('成交明细'!$A$5:$A$804=A48)*('成交明细'!$D$5:$D$804=IF(E48="空","卖","买"))*'成交明细'!$B$5:$B$804,COUNTIFS('成交明细'!$A$5:$A$804,A48,'成交明细'!$D$5:$D$804,IF(E48="空","卖","买")))),"")</f>
        <v/>
      </c>
      <c r="S48" s="39" t="str">
        <f>IF(AND(N(U48)&gt;0,N(W48)&gt;=N(U48)),SUMPRODUCT(MAX(('成交明细'!$A$5:$A$804=A48)*('成交明细'!$D$5:$D$804=IF(E48="空","买","卖"))*'成交明细'!$B$5:$B$804)),"")</f>
        <v/>
      </c>
      <c r="T48" s="32" t="n"/>
      <c r="U48" s="35" t="str">
        <f>IF(A48="","",SUMIFS('成交明细'!$F$5:$F$804,'成交明细'!$A$5:$A$804,A48,'成交明细'!$D$5:$D$804,IF(E48="空","卖","买")))</f>
        <v/>
      </c>
      <c r="V48" s="40" t="str">
        <f>IF(N(U48)&gt;0,SUMIFS('成交明细'!$H$5:$H$804,'成交明细'!$A$5:$A$804,A48,'成交明细'!$D$5:$D$804,IF(E48="空","卖","买"))/U48,"")</f>
        <v/>
      </c>
      <c r="W48" s="35" t="str">
        <f>IF(A48="","",SUMIFS('成交明细'!$F$5:$F$804,'成交明细'!$A$5:$A$804,A48,'成交明细'!$D$5:$D$804,IF(E48="空","买","卖")))</f>
        <v/>
      </c>
      <c r="X48" s="40" t="str">
        <f>IF(N(W48)&gt;0,SUMIFS('成交明细'!$H$5:$H$804,'成交明细'!$A$5:$A$804,A48,'成交明细'!$D$5:$D$804,IF(E48="空","买","卖"))/W48,"")</f>
        <v/>
      </c>
      <c r="Y48" s="41" t="str">
        <f>IF(A48="","",IF(Q48&lt;&gt;"已执行",IF(Q48="","未填执行情况",Q48),IF(N(U48)=0,"待录成交",IF(N(W48)&gt;N(U48),"平仓多于开仓",IF(N(W48)&lt;N(U48),"持仓中","已平仓")))))</f>
        <v/>
      </c>
      <c r="Z48" s="41" t="str">
        <f>IF(AND(ISNUMBER(R48),ISNUMBER(S48)),IF(R48=S48,"日内",""),"")</f>
        <v/>
      </c>
      <c r="AA48" s="42" t="str">
        <f>IF(Z48&lt;&gt;"日内","",COUNTIFS($Z$5:$Z$304,"日内",$S$5:$S$304,"&gt;"&amp;WORKDAY(S48,-5),$S$5:$S$304,"&lt;="&amp;S48))</f>
        <v/>
      </c>
      <c r="AB48" s="41" t="str">
        <f>IF(OR(NOT(ISNUMBER(M48)),NOT(ISNUMBER(R48))),"",IF(AND(M48&gt;=R48,OR(NOT(ISNUMBER(S48)),M48&lt;=S48)),"持仓跨财报",""))</f>
        <v/>
      </c>
      <c r="AC48" s="20">
        <f>IF(AND(E48="空",ISNUMBER(O48),ISNUMBER(S48)),ROUND(O48*(S48-R48)/360*V48*U48,2),0)</f>
        <v>0</v>
      </c>
      <c r="AD48" s="43" t="str">
        <f>IF(N(U48)=0,"",SUMIFS('成交明细'!$L$5:$L$804,'成交明细'!$A$5:$A$804,A48)+AC48)</f>
        <v/>
      </c>
      <c r="AE48" s="44" t="str">
        <f>IF(Y48&lt;&gt;"已平仓","",(SUMIFS('成交明细'!$H$5:$H$804,'成交明细'!$A$5:$A$804,A48,'成交明细'!$D$5:$D$804,"卖")-SUMIFS('成交明细'!$H$5:$H$804,'成交明细'!$A$5:$A$804,A48,'成交明细'!$D$5:$D$804,"买"))*1-AD48)</f>
        <v/>
      </c>
      <c r="AF48" s="45" t="str">
        <f>IF(AND(Y48="已平仓",ISNUMBER(L48)),(SUMIFS('成交明细'!$H$5:$H$804,'成交明细'!$A$5:$A$804,A48,'成交明细'!$D$5:$D$804,"卖")-SUMIFS('成交明细'!$H$5:$H$804,'成交明细'!$A$5:$A$804,A48,'成交明细'!$D$5:$D$804,"买"))*1/L48,"")</f>
        <v/>
      </c>
      <c r="AG48" s="45" t="str">
        <f>IF(AND(Y48="已平仓",ISNUMBER(L48)),AE48/L48,"")</f>
        <v/>
      </c>
      <c r="AH48" s="46" t="str">
        <f>IF(AND(ISNUMBER(V48),ISNUMBER(F48)),IF(E48="空",F48-V48,V48-F48),"")</f>
        <v/>
      </c>
      <c r="AI48" s="46" t="str">
        <f>IF(OR(NOT(ISNUMBER(AE48)),NOT(ISNUMBER(X48))),"",IF(AE48&lt;0,IF(E48="空",X48-G48,G48-X48),IF(NOT(ISNUMBER(H48)),"",IF(E48="空",X48-H48,H48-X48))))</f>
        <v/>
      </c>
      <c r="AJ48" s="32" t="n"/>
      <c r="AK48" s="32" t="n"/>
      <c r="AL48" s="31" t="n"/>
      <c r="AM48" s="45" t="str">
        <f>IF(A48="","",SUM(AG$5:AG48))</f>
        <v/>
      </c>
      <c r="AN48" s="37" t="str">
        <f>IF(A48="","",MAX(0,MAX(AM$5:AM48))-AM48)</f>
        <v/>
      </c>
    </row>
    <row r="49">
      <c r="A49" s="29" t="n"/>
      <c r="B49" s="30" t="n"/>
      <c r="C49" s="31" t="n"/>
      <c r="D49" s="32" t="n"/>
      <c r="E49" s="32" t="n"/>
      <c r="F49" s="33" t="n"/>
      <c r="G49" s="33" t="n"/>
      <c r="H49" s="33" t="n"/>
      <c r="I49" s="34" t="str">
        <f>IF(AND(ISNUMBER(F49),ISNUMBER(G49),ISNUMBER(H49)),IF(OR(AND(E49="多",F49&gt;G49),AND(E49="空",F49&lt;G49)),ABS(H49-F49)/ABS(F49-G49),"止损方向不对"),"")</f>
        <v/>
      </c>
      <c r="J49" s="35" t="str">
        <f>IF(AND(ISNUMBER(F49),ISNUMBER(G49)),IF(F49=G49,"",IF(INT(ROUND('参数'!$C$7/(ABS(F49-G49)*1+2*'参数'!$C$11+N('参数'!$C$14)*F49+N('参数'!$C$15))/1,6))*1&gt;0,INT(ROUND('参数'!$C$7/(ABS(F49-G49)*1+2*'参数'!$C$11+N('参数'!$C$14)*F49+N('参数'!$C$15))/1,6))*1,"预算不足，这笔不做")),"")</f>
        <v/>
      </c>
      <c r="K49" s="36" t="n"/>
      <c r="L49" s="20" t="str">
        <f>IF(AND(ISNUMBER(F49),ISNUMBER(G49),ISNUMBER(K49)),IF(AND(F49&lt;&gt;G49,K49&gt;0),ABS(F49-G49)*K49*1,""),"")</f>
        <v/>
      </c>
      <c r="M49" s="30" t="n"/>
      <c r="N49" s="37" t="str">
        <f>IF(AND(ISNUMBER(L49),ISNUMBER(M49)),IF(E49="空",(G49*(1+'参数'!$C$17)-F49),(F49-G49*(1-'参数'!$C$17)))*K49/L49,"")</f>
        <v/>
      </c>
      <c r="O49" s="38" t="n"/>
      <c r="P49" s="31" t="n"/>
      <c r="Q49" s="32" t="n"/>
      <c r="R49" s="39" t="str">
        <f>IF(N(U49)&gt;0,SUMPRODUCT(LARGE(('成交明细'!$A$5:$A$804=A49)*('成交明细'!$D$5:$D$804=IF(E49="空","卖","买"))*'成交明细'!$B$5:$B$804,COUNTIFS('成交明细'!$A$5:$A$804,A49,'成交明细'!$D$5:$D$804,IF(E49="空","卖","买")))),"")</f>
        <v/>
      </c>
      <c r="S49" s="39" t="str">
        <f>IF(AND(N(U49)&gt;0,N(W49)&gt;=N(U49)),SUMPRODUCT(MAX(('成交明细'!$A$5:$A$804=A49)*('成交明细'!$D$5:$D$804=IF(E49="空","买","卖"))*'成交明细'!$B$5:$B$804)),"")</f>
        <v/>
      </c>
      <c r="T49" s="32" t="n"/>
      <c r="U49" s="35" t="str">
        <f>IF(A49="","",SUMIFS('成交明细'!$F$5:$F$804,'成交明细'!$A$5:$A$804,A49,'成交明细'!$D$5:$D$804,IF(E49="空","卖","买")))</f>
        <v/>
      </c>
      <c r="V49" s="40" t="str">
        <f>IF(N(U49)&gt;0,SUMIFS('成交明细'!$H$5:$H$804,'成交明细'!$A$5:$A$804,A49,'成交明细'!$D$5:$D$804,IF(E49="空","卖","买"))/U49,"")</f>
        <v/>
      </c>
      <c r="W49" s="35" t="str">
        <f>IF(A49="","",SUMIFS('成交明细'!$F$5:$F$804,'成交明细'!$A$5:$A$804,A49,'成交明细'!$D$5:$D$804,IF(E49="空","买","卖")))</f>
        <v/>
      </c>
      <c r="X49" s="40" t="str">
        <f>IF(N(W49)&gt;0,SUMIFS('成交明细'!$H$5:$H$804,'成交明细'!$A$5:$A$804,A49,'成交明细'!$D$5:$D$804,IF(E49="空","买","卖"))/W49,"")</f>
        <v/>
      </c>
      <c r="Y49" s="41" t="str">
        <f>IF(A49="","",IF(Q49&lt;&gt;"已执行",IF(Q49="","未填执行情况",Q49),IF(N(U49)=0,"待录成交",IF(N(W49)&gt;N(U49),"平仓多于开仓",IF(N(W49)&lt;N(U49),"持仓中","已平仓")))))</f>
        <v/>
      </c>
      <c r="Z49" s="41" t="str">
        <f>IF(AND(ISNUMBER(R49),ISNUMBER(S49)),IF(R49=S49,"日内",""),"")</f>
        <v/>
      </c>
      <c r="AA49" s="42" t="str">
        <f>IF(Z49&lt;&gt;"日内","",COUNTIFS($Z$5:$Z$304,"日内",$S$5:$S$304,"&gt;"&amp;WORKDAY(S49,-5),$S$5:$S$304,"&lt;="&amp;S49))</f>
        <v/>
      </c>
      <c r="AB49" s="41" t="str">
        <f>IF(OR(NOT(ISNUMBER(M49)),NOT(ISNUMBER(R49))),"",IF(AND(M49&gt;=R49,OR(NOT(ISNUMBER(S49)),M49&lt;=S49)),"持仓跨财报",""))</f>
        <v/>
      </c>
      <c r="AC49" s="20">
        <f>IF(AND(E49="空",ISNUMBER(O49),ISNUMBER(S49)),ROUND(O49*(S49-R49)/360*V49*U49,2),0)</f>
        <v>0</v>
      </c>
      <c r="AD49" s="43" t="str">
        <f>IF(N(U49)=0,"",SUMIFS('成交明细'!$L$5:$L$804,'成交明细'!$A$5:$A$804,A49)+AC49)</f>
        <v/>
      </c>
      <c r="AE49" s="44" t="str">
        <f>IF(Y49&lt;&gt;"已平仓","",(SUMIFS('成交明细'!$H$5:$H$804,'成交明细'!$A$5:$A$804,A49,'成交明细'!$D$5:$D$804,"卖")-SUMIFS('成交明细'!$H$5:$H$804,'成交明细'!$A$5:$A$804,A49,'成交明细'!$D$5:$D$804,"买"))*1-AD49)</f>
        <v/>
      </c>
      <c r="AF49" s="45" t="str">
        <f>IF(AND(Y49="已平仓",ISNUMBER(L49)),(SUMIFS('成交明细'!$H$5:$H$804,'成交明细'!$A$5:$A$804,A49,'成交明细'!$D$5:$D$804,"卖")-SUMIFS('成交明细'!$H$5:$H$804,'成交明细'!$A$5:$A$804,A49,'成交明细'!$D$5:$D$804,"买"))*1/L49,"")</f>
        <v/>
      </c>
      <c r="AG49" s="45" t="str">
        <f>IF(AND(Y49="已平仓",ISNUMBER(L49)),AE49/L49,"")</f>
        <v/>
      </c>
      <c r="AH49" s="46" t="str">
        <f>IF(AND(ISNUMBER(V49),ISNUMBER(F49)),IF(E49="空",F49-V49,V49-F49),"")</f>
        <v/>
      </c>
      <c r="AI49" s="46" t="str">
        <f>IF(OR(NOT(ISNUMBER(AE49)),NOT(ISNUMBER(X49))),"",IF(AE49&lt;0,IF(E49="空",X49-G49,G49-X49),IF(NOT(ISNUMBER(H49)),"",IF(E49="空",X49-H49,H49-X49))))</f>
        <v/>
      </c>
      <c r="AJ49" s="32" t="n"/>
      <c r="AK49" s="32" t="n"/>
      <c r="AL49" s="31" t="n"/>
      <c r="AM49" s="45" t="str">
        <f>IF(A49="","",SUM(AG$5:AG49))</f>
        <v/>
      </c>
      <c r="AN49" s="37" t="str">
        <f>IF(A49="","",MAX(0,MAX(AM$5:AM49))-AM49)</f>
        <v/>
      </c>
    </row>
    <row r="50">
      <c r="A50" s="29" t="n"/>
      <c r="B50" s="30" t="n"/>
      <c r="C50" s="31" t="n"/>
      <c r="D50" s="32" t="n"/>
      <c r="E50" s="32" t="n"/>
      <c r="F50" s="33" t="n"/>
      <c r="G50" s="33" t="n"/>
      <c r="H50" s="33" t="n"/>
      <c r="I50" s="34" t="str">
        <f>IF(AND(ISNUMBER(F50),ISNUMBER(G50),ISNUMBER(H50)),IF(OR(AND(E50="多",F50&gt;G50),AND(E50="空",F50&lt;G50)),ABS(H50-F50)/ABS(F50-G50),"止损方向不对"),"")</f>
        <v/>
      </c>
      <c r="J50" s="35" t="str">
        <f>IF(AND(ISNUMBER(F50),ISNUMBER(G50)),IF(F50=G50,"",IF(INT(ROUND('参数'!$C$7/(ABS(F50-G50)*1+2*'参数'!$C$11+N('参数'!$C$14)*F50+N('参数'!$C$15))/1,6))*1&gt;0,INT(ROUND('参数'!$C$7/(ABS(F50-G50)*1+2*'参数'!$C$11+N('参数'!$C$14)*F50+N('参数'!$C$15))/1,6))*1,"预算不足，这笔不做")),"")</f>
        <v/>
      </c>
      <c r="K50" s="36" t="n"/>
      <c r="L50" s="20" t="str">
        <f>IF(AND(ISNUMBER(F50),ISNUMBER(G50),ISNUMBER(K50)),IF(AND(F50&lt;&gt;G50,K50&gt;0),ABS(F50-G50)*K50*1,""),"")</f>
        <v/>
      </c>
      <c r="M50" s="30" t="n"/>
      <c r="N50" s="37" t="str">
        <f>IF(AND(ISNUMBER(L50),ISNUMBER(M50)),IF(E50="空",(G50*(1+'参数'!$C$17)-F50),(F50-G50*(1-'参数'!$C$17)))*K50/L50,"")</f>
        <v/>
      </c>
      <c r="O50" s="38" t="n"/>
      <c r="P50" s="31" t="n"/>
      <c r="Q50" s="32" t="n"/>
      <c r="R50" s="39" t="str">
        <f>IF(N(U50)&gt;0,SUMPRODUCT(LARGE(('成交明细'!$A$5:$A$804=A50)*('成交明细'!$D$5:$D$804=IF(E50="空","卖","买"))*'成交明细'!$B$5:$B$804,COUNTIFS('成交明细'!$A$5:$A$804,A50,'成交明细'!$D$5:$D$804,IF(E50="空","卖","买")))),"")</f>
        <v/>
      </c>
      <c r="S50" s="39" t="str">
        <f>IF(AND(N(U50)&gt;0,N(W50)&gt;=N(U50)),SUMPRODUCT(MAX(('成交明细'!$A$5:$A$804=A50)*('成交明细'!$D$5:$D$804=IF(E50="空","买","卖"))*'成交明细'!$B$5:$B$804)),"")</f>
        <v/>
      </c>
      <c r="T50" s="32" t="n"/>
      <c r="U50" s="35" t="str">
        <f>IF(A50="","",SUMIFS('成交明细'!$F$5:$F$804,'成交明细'!$A$5:$A$804,A50,'成交明细'!$D$5:$D$804,IF(E50="空","卖","买")))</f>
        <v/>
      </c>
      <c r="V50" s="40" t="str">
        <f>IF(N(U50)&gt;0,SUMIFS('成交明细'!$H$5:$H$804,'成交明细'!$A$5:$A$804,A50,'成交明细'!$D$5:$D$804,IF(E50="空","卖","买"))/U50,"")</f>
        <v/>
      </c>
      <c r="W50" s="35" t="str">
        <f>IF(A50="","",SUMIFS('成交明细'!$F$5:$F$804,'成交明细'!$A$5:$A$804,A50,'成交明细'!$D$5:$D$804,IF(E50="空","买","卖")))</f>
        <v/>
      </c>
      <c r="X50" s="40" t="str">
        <f>IF(N(W50)&gt;0,SUMIFS('成交明细'!$H$5:$H$804,'成交明细'!$A$5:$A$804,A50,'成交明细'!$D$5:$D$804,IF(E50="空","买","卖"))/W50,"")</f>
        <v/>
      </c>
      <c r="Y50" s="41" t="str">
        <f>IF(A50="","",IF(Q50&lt;&gt;"已执行",IF(Q50="","未填执行情况",Q50),IF(N(U50)=0,"待录成交",IF(N(W50)&gt;N(U50),"平仓多于开仓",IF(N(W50)&lt;N(U50),"持仓中","已平仓")))))</f>
        <v/>
      </c>
      <c r="Z50" s="41" t="str">
        <f>IF(AND(ISNUMBER(R50),ISNUMBER(S50)),IF(R50=S50,"日内",""),"")</f>
        <v/>
      </c>
      <c r="AA50" s="42" t="str">
        <f>IF(Z50&lt;&gt;"日内","",COUNTIFS($Z$5:$Z$304,"日内",$S$5:$S$304,"&gt;"&amp;WORKDAY(S50,-5),$S$5:$S$304,"&lt;="&amp;S50))</f>
        <v/>
      </c>
      <c r="AB50" s="41" t="str">
        <f>IF(OR(NOT(ISNUMBER(M50)),NOT(ISNUMBER(R50))),"",IF(AND(M50&gt;=R50,OR(NOT(ISNUMBER(S50)),M50&lt;=S50)),"持仓跨财报",""))</f>
        <v/>
      </c>
      <c r="AC50" s="20">
        <f>IF(AND(E50="空",ISNUMBER(O50),ISNUMBER(S50)),ROUND(O50*(S50-R50)/360*V50*U50,2),0)</f>
        <v>0</v>
      </c>
      <c r="AD50" s="43" t="str">
        <f>IF(N(U50)=0,"",SUMIFS('成交明细'!$L$5:$L$804,'成交明细'!$A$5:$A$804,A50)+AC50)</f>
        <v/>
      </c>
      <c r="AE50" s="44" t="str">
        <f>IF(Y50&lt;&gt;"已平仓","",(SUMIFS('成交明细'!$H$5:$H$804,'成交明细'!$A$5:$A$804,A50,'成交明细'!$D$5:$D$804,"卖")-SUMIFS('成交明细'!$H$5:$H$804,'成交明细'!$A$5:$A$804,A50,'成交明细'!$D$5:$D$804,"买"))*1-AD50)</f>
        <v/>
      </c>
      <c r="AF50" s="45" t="str">
        <f>IF(AND(Y50="已平仓",ISNUMBER(L50)),(SUMIFS('成交明细'!$H$5:$H$804,'成交明细'!$A$5:$A$804,A50,'成交明细'!$D$5:$D$804,"卖")-SUMIFS('成交明细'!$H$5:$H$804,'成交明细'!$A$5:$A$804,A50,'成交明细'!$D$5:$D$804,"买"))*1/L50,"")</f>
        <v/>
      </c>
      <c r="AG50" s="45" t="str">
        <f>IF(AND(Y50="已平仓",ISNUMBER(L50)),AE50/L50,"")</f>
        <v/>
      </c>
      <c r="AH50" s="46" t="str">
        <f>IF(AND(ISNUMBER(V50),ISNUMBER(F50)),IF(E50="空",F50-V50,V50-F50),"")</f>
        <v/>
      </c>
      <c r="AI50" s="46" t="str">
        <f>IF(OR(NOT(ISNUMBER(AE50)),NOT(ISNUMBER(X50))),"",IF(AE50&lt;0,IF(E50="空",X50-G50,G50-X50),IF(NOT(ISNUMBER(H50)),"",IF(E50="空",X50-H50,H50-X50))))</f>
        <v/>
      </c>
      <c r="AJ50" s="32" t="n"/>
      <c r="AK50" s="32" t="n"/>
      <c r="AL50" s="31" t="n"/>
      <c r="AM50" s="45" t="str">
        <f>IF(A50="","",SUM(AG$5:AG50))</f>
        <v/>
      </c>
      <c r="AN50" s="37" t="str">
        <f>IF(A50="","",MAX(0,MAX(AM$5:AM50))-AM50)</f>
        <v/>
      </c>
    </row>
    <row r="51">
      <c r="A51" s="29" t="n"/>
      <c r="B51" s="30" t="n"/>
      <c r="C51" s="31" t="n"/>
      <c r="D51" s="32" t="n"/>
      <c r="E51" s="32" t="n"/>
      <c r="F51" s="33" t="n"/>
      <c r="G51" s="33" t="n"/>
      <c r="H51" s="33" t="n"/>
      <c r="I51" s="34" t="str">
        <f>IF(AND(ISNUMBER(F51),ISNUMBER(G51),ISNUMBER(H51)),IF(OR(AND(E51="多",F51&gt;G51),AND(E51="空",F51&lt;G51)),ABS(H51-F51)/ABS(F51-G51),"止损方向不对"),"")</f>
        <v/>
      </c>
      <c r="J51" s="35" t="str">
        <f>IF(AND(ISNUMBER(F51),ISNUMBER(G51)),IF(F51=G51,"",IF(INT(ROUND('参数'!$C$7/(ABS(F51-G51)*1+2*'参数'!$C$11+N('参数'!$C$14)*F51+N('参数'!$C$15))/1,6))*1&gt;0,INT(ROUND('参数'!$C$7/(ABS(F51-G51)*1+2*'参数'!$C$11+N('参数'!$C$14)*F51+N('参数'!$C$15))/1,6))*1,"预算不足，这笔不做")),"")</f>
        <v/>
      </c>
      <c r="K51" s="36" t="n"/>
      <c r="L51" s="20" t="str">
        <f>IF(AND(ISNUMBER(F51),ISNUMBER(G51),ISNUMBER(K51)),IF(AND(F51&lt;&gt;G51,K51&gt;0),ABS(F51-G51)*K51*1,""),"")</f>
        <v/>
      </c>
      <c r="M51" s="30" t="n"/>
      <c r="N51" s="37" t="str">
        <f>IF(AND(ISNUMBER(L51),ISNUMBER(M51)),IF(E51="空",(G51*(1+'参数'!$C$17)-F51),(F51-G51*(1-'参数'!$C$17)))*K51/L51,"")</f>
        <v/>
      </c>
      <c r="O51" s="38" t="n"/>
      <c r="P51" s="31" t="n"/>
      <c r="Q51" s="32" t="n"/>
      <c r="R51" s="39" t="str">
        <f>IF(N(U51)&gt;0,SUMPRODUCT(LARGE(('成交明细'!$A$5:$A$804=A51)*('成交明细'!$D$5:$D$804=IF(E51="空","卖","买"))*'成交明细'!$B$5:$B$804,COUNTIFS('成交明细'!$A$5:$A$804,A51,'成交明细'!$D$5:$D$804,IF(E51="空","卖","买")))),"")</f>
        <v/>
      </c>
      <c r="S51" s="39" t="str">
        <f>IF(AND(N(U51)&gt;0,N(W51)&gt;=N(U51)),SUMPRODUCT(MAX(('成交明细'!$A$5:$A$804=A51)*('成交明细'!$D$5:$D$804=IF(E51="空","买","卖"))*'成交明细'!$B$5:$B$804)),"")</f>
        <v/>
      </c>
      <c r="T51" s="32" t="n"/>
      <c r="U51" s="35" t="str">
        <f>IF(A51="","",SUMIFS('成交明细'!$F$5:$F$804,'成交明细'!$A$5:$A$804,A51,'成交明细'!$D$5:$D$804,IF(E51="空","卖","买")))</f>
        <v/>
      </c>
      <c r="V51" s="40" t="str">
        <f>IF(N(U51)&gt;0,SUMIFS('成交明细'!$H$5:$H$804,'成交明细'!$A$5:$A$804,A51,'成交明细'!$D$5:$D$804,IF(E51="空","卖","买"))/U51,"")</f>
        <v/>
      </c>
      <c r="W51" s="35" t="str">
        <f>IF(A51="","",SUMIFS('成交明细'!$F$5:$F$804,'成交明细'!$A$5:$A$804,A51,'成交明细'!$D$5:$D$804,IF(E51="空","买","卖")))</f>
        <v/>
      </c>
      <c r="X51" s="40" t="str">
        <f>IF(N(W51)&gt;0,SUMIFS('成交明细'!$H$5:$H$804,'成交明细'!$A$5:$A$804,A51,'成交明细'!$D$5:$D$804,IF(E51="空","买","卖"))/W51,"")</f>
        <v/>
      </c>
      <c r="Y51" s="41" t="str">
        <f>IF(A51="","",IF(Q51&lt;&gt;"已执行",IF(Q51="","未填执行情况",Q51),IF(N(U51)=0,"待录成交",IF(N(W51)&gt;N(U51),"平仓多于开仓",IF(N(W51)&lt;N(U51),"持仓中","已平仓")))))</f>
        <v/>
      </c>
      <c r="Z51" s="41" t="str">
        <f>IF(AND(ISNUMBER(R51),ISNUMBER(S51)),IF(R51=S51,"日内",""),"")</f>
        <v/>
      </c>
      <c r="AA51" s="42" t="str">
        <f>IF(Z51&lt;&gt;"日内","",COUNTIFS($Z$5:$Z$304,"日内",$S$5:$S$304,"&gt;"&amp;WORKDAY(S51,-5),$S$5:$S$304,"&lt;="&amp;S51))</f>
        <v/>
      </c>
      <c r="AB51" s="41" t="str">
        <f>IF(OR(NOT(ISNUMBER(M51)),NOT(ISNUMBER(R51))),"",IF(AND(M51&gt;=R51,OR(NOT(ISNUMBER(S51)),M51&lt;=S51)),"持仓跨财报",""))</f>
        <v/>
      </c>
      <c r="AC51" s="20">
        <f>IF(AND(E51="空",ISNUMBER(O51),ISNUMBER(S51)),ROUND(O51*(S51-R51)/360*V51*U51,2),0)</f>
        <v>0</v>
      </c>
      <c r="AD51" s="43" t="str">
        <f>IF(N(U51)=0,"",SUMIFS('成交明细'!$L$5:$L$804,'成交明细'!$A$5:$A$804,A51)+AC51)</f>
        <v/>
      </c>
      <c r="AE51" s="44" t="str">
        <f>IF(Y51&lt;&gt;"已平仓","",(SUMIFS('成交明细'!$H$5:$H$804,'成交明细'!$A$5:$A$804,A51,'成交明细'!$D$5:$D$804,"卖")-SUMIFS('成交明细'!$H$5:$H$804,'成交明细'!$A$5:$A$804,A51,'成交明细'!$D$5:$D$804,"买"))*1-AD51)</f>
        <v/>
      </c>
      <c r="AF51" s="45" t="str">
        <f>IF(AND(Y51="已平仓",ISNUMBER(L51)),(SUMIFS('成交明细'!$H$5:$H$804,'成交明细'!$A$5:$A$804,A51,'成交明细'!$D$5:$D$804,"卖")-SUMIFS('成交明细'!$H$5:$H$804,'成交明细'!$A$5:$A$804,A51,'成交明细'!$D$5:$D$804,"买"))*1/L51,"")</f>
        <v/>
      </c>
      <c r="AG51" s="45" t="str">
        <f>IF(AND(Y51="已平仓",ISNUMBER(L51)),AE51/L51,"")</f>
        <v/>
      </c>
      <c r="AH51" s="46" t="str">
        <f>IF(AND(ISNUMBER(V51),ISNUMBER(F51)),IF(E51="空",F51-V51,V51-F51),"")</f>
        <v/>
      </c>
      <c r="AI51" s="46" t="str">
        <f>IF(OR(NOT(ISNUMBER(AE51)),NOT(ISNUMBER(X51))),"",IF(AE51&lt;0,IF(E51="空",X51-G51,G51-X51),IF(NOT(ISNUMBER(H51)),"",IF(E51="空",X51-H51,H51-X51))))</f>
        <v/>
      </c>
      <c r="AJ51" s="32" t="n"/>
      <c r="AK51" s="32" t="n"/>
      <c r="AL51" s="31" t="n"/>
      <c r="AM51" s="45" t="str">
        <f>IF(A51="","",SUM(AG$5:AG51))</f>
        <v/>
      </c>
      <c r="AN51" s="37" t="str">
        <f>IF(A51="","",MAX(0,MAX(AM$5:AM51))-AM51)</f>
        <v/>
      </c>
    </row>
    <row r="52">
      <c r="A52" s="29" t="n"/>
      <c r="B52" s="30" t="n"/>
      <c r="C52" s="31" t="n"/>
      <c r="D52" s="32" t="n"/>
      <c r="E52" s="32" t="n"/>
      <c r="F52" s="33" t="n"/>
      <c r="G52" s="33" t="n"/>
      <c r="H52" s="33" t="n"/>
      <c r="I52" s="34" t="str">
        <f>IF(AND(ISNUMBER(F52),ISNUMBER(G52),ISNUMBER(H52)),IF(OR(AND(E52="多",F52&gt;G52),AND(E52="空",F52&lt;G52)),ABS(H52-F52)/ABS(F52-G52),"止损方向不对"),"")</f>
        <v/>
      </c>
      <c r="J52" s="35" t="str">
        <f>IF(AND(ISNUMBER(F52),ISNUMBER(G52)),IF(F52=G52,"",IF(INT(ROUND('参数'!$C$7/(ABS(F52-G52)*1+2*'参数'!$C$11+N('参数'!$C$14)*F52+N('参数'!$C$15))/1,6))*1&gt;0,INT(ROUND('参数'!$C$7/(ABS(F52-G52)*1+2*'参数'!$C$11+N('参数'!$C$14)*F52+N('参数'!$C$15))/1,6))*1,"预算不足，这笔不做")),"")</f>
        <v/>
      </c>
      <c r="K52" s="36" t="n"/>
      <c r="L52" s="20" t="str">
        <f>IF(AND(ISNUMBER(F52),ISNUMBER(G52),ISNUMBER(K52)),IF(AND(F52&lt;&gt;G52,K52&gt;0),ABS(F52-G52)*K52*1,""),"")</f>
        <v/>
      </c>
      <c r="M52" s="30" t="n"/>
      <c r="N52" s="37" t="str">
        <f>IF(AND(ISNUMBER(L52),ISNUMBER(M52)),IF(E52="空",(G52*(1+'参数'!$C$17)-F52),(F52-G52*(1-'参数'!$C$17)))*K52/L52,"")</f>
        <v/>
      </c>
      <c r="O52" s="38" t="n"/>
      <c r="P52" s="31" t="n"/>
      <c r="Q52" s="32" t="n"/>
      <c r="R52" s="39" t="str">
        <f>IF(N(U52)&gt;0,SUMPRODUCT(LARGE(('成交明细'!$A$5:$A$804=A52)*('成交明细'!$D$5:$D$804=IF(E52="空","卖","买"))*'成交明细'!$B$5:$B$804,COUNTIFS('成交明细'!$A$5:$A$804,A52,'成交明细'!$D$5:$D$804,IF(E52="空","卖","买")))),"")</f>
        <v/>
      </c>
      <c r="S52" s="39" t="str">
        <f>IF(AND(N(U52)&gt;0,N(W52)&gt;=N(U52)),SUMPRODUCT(MAX(('成交明细'!$A$5:$A$804=A52)*('成交明细'!$D$5:$D$804=IF(E52="空","买","卖"))*'成交明细'!$B$5:$B$804)),"")</f>
        <v/>
      </c>
      <c r="T52" s="32" t="n"/>
      <c r="U52" s="35" t="str">
        <f>IF(A52="","",SUMIFS('成交明细'!$F$5:$F$804,'成交明细'!$A$5:$A$804,A52,'成交明细'!$D$5:$D$804,IF(E52="空","卖","买")))</f>
        <v/>
      </c>
      <c r="V52" s="40" t="str">
        <f>IF(N(U52)&gt;0,SUMIFS('成交明细'!$H$5:$H$804,'成交明细'!$A$5:$A$804,A52,'成交明细'!$D$5:$D$804,IF(E52="空","卖","买"))/U52,"")</f>
        <v/>
      </c>
      <c r="W52" s="35" t="str">
        <f>IF(A52="","",SUMIFS('成交明细'!$F$5:$F$804,'成交明细'!$A$5:$A$804,A52,'成交明细'!$D$5:$D$804,IF(E52="空","买","卖")))</f>
        <v/>
      </c>
      <c r="X52" s="40" t="str">
        <f>IF(N(W52)&gt;0,SUMIFS('成交明细'!$H$5:$H$804,'成交明细'!$A$5:$A$804,A52,'成交明细'!$D$5:$D$804,IF(E52="空","买","卖"))/W52,"")</f>
        <v/>
      </c>
      <c r="Y52" s="41" t="str">
        <f>IF(A52="","",IF(Q52&lt;&gt;"已执行",IF(Q52="","未填执行情况",Q52),IF(N(U52)=0,"待录成交",IF(N(W52)&gt;N(U52),"平仓多于开仓",IF(N(W52)&lt;N(U52),"持仓中","已平仓")))))</f>
        <v/>
      </c>
      <c r="Z52" s="41" t="str">
        <f>IF(AND(ISNUMBER(R52),ISNUMBER(S52)),IF(R52=S52,"日内",""),"")</f>
        <v/>
      </c>
      <c r="AA52" s="42" t="str">
        <f>IF(Z52&lt;&gt;"日内","",COUNTIFS($Z$5:$Z$304,"日内",$S$5:$S$304,"&gt;"&amp;WORKDAY(S52,-5),$S$5:$S$304,"&lt;="&amp;S52))</f>
        <v/>
      </c>
      <c r="AB52" s="41" t="str">
        <f>IF(OR(NOT(ISNUMBER(M52)),NOT(ISNUMBER(R52))),"",IF(AND(M52&gt;=R52,OR(NOT(ISNUMBER(S52)),M52&lt;=S52)),"持仓跨财报",""))</f>
        <v/>
      </c>
      <c r="AC52" s="20">
        <f>IF(AND(E52="空",ISNUMBER(O52),ISNUMBER(S52)),ROUND(O52*(S52-R52)/360*V52*U52,2),0)</f>
        <v>0</v>
      </c>
      <c r="AD52" s="43" t="str">
        <f>IF(N(U52)=0,"",SUMIFS('成交明细'!$L$5:$L$804,'成交明细'!$A$5:$A$804,A52)+AC52)</f>
        <v/>
      </c>
      <c r="AE52" s="44" t="str">
        <f>IF(Y52&lt;&gt;"已平仓","",(SUMIFS('成交明细'!$H$5:$H$804,'成交明细'!$A$5:$A$804,A52,'成交明细'!$D$5:$D$804,"卖")-SUMIFS('成交明细'!$H$5:$H$804,'成交明细'!$A$5:$A$804,A52,'成交明细'!$D$5:$D$804,"买"))*1-AD52)</f>
        <v/>
      </c>
      <c r="AF52" s="45" t="str">
        <f>IF(AND(Y52="已平仓",ISNUMBER(L52)),(SUMIFS('成交明细'!$H$5:$H$804,'成交明细'!$A$5:$A$804,A52,'成交明细'!$D$5:$D$804,"卖")-SUMIFS('成交明细'!$H$5:$H$804,'成交明细'!$A$5:$A$804,A52,'成交明细'!$D$5:$D$804,"买"))*1/L52,"")</f>
        <v/>
      </c>
      <c r="AG52" s="45" t="str">
        <f>IF(AND(Y52="已平仓",ISNUMBER(L52)),AE52/L52,"")</f>
        <v/>
      </c>
      <c r="AH52" s="46" t="str">
        <f>IF(AND(ISNUMBER(V52),ISNUMBER(F52)),IF(E52="空",F52-V52,V52-F52),"")</f>
        <v/>
      </c>
      <c r="AI52" s="46" t="str">
        <f>IF(OR(NOT(ISNUMBER(AE52)),NOT(ISNUMBER(X52))),"",IF(AE52&lt;0,IF(E52="空",X52-G52,G52-X52),IF(NOT(ISNUMBER(H52)),"",IF(E52="空",X52-H52,H52-X52))))</f>
        <v/>
      </c>
      <c r="AJ52" s="32" t="n"/>
      <c r="AK52" s="32" t="n"/>
      <c r="AL52" s="31" t="n"/>
      <c r="AM52" s="45" t="str">
        <f>IF(A52="","",SUM(AG$5:AG52))</f>
        <v/>
      </c>
      <c r="AN52" s="37" t="str">
        <f>IF(A52="","",MAX(0,MAX(AM$5:AM52))-AM52)</f>
        <v/>
      </c>
    </row>
    <row r="53">
      <c r="A53" s="29" t="n"/>
      <c r="B53" s="30" t="n"/>
      <c r="C53" s="31" t="n"/>
      <c r="D53" s="32" t="n"/>
      <c r="E53" s="32" t="n"/>
      <c r="F53" s="33" t="n"/>
      <c r="G53" s="33" t="n"/>
      <c r="H53" s="33" t="n"/>
      <c r="I53" s="34" t="str">
        <f>IF(AND(ISNUMBER(F53),ISNUMBER(G53),ISNUMBER(H53)),IF(OR(AND(E53="多",F53&gt;G53),AND(E53="空",F53&lt;G53)),ABS(H53-F53)/ABS(F53-G53),"止损方向不对"),"")</f>
        <v/>
      </c>
      <c r="J53" s="35" t="str">
        <f>IF(AND(ISNUMBER(F53),ISNUMBER(G53)),IF(F53=G53,"",IF(INT(ROUND('参数'!$C$7/(ABS(F53-G53)*1+2*'参数'!$C$11+N('参数'!$C$14)*F53+N('参数'!$C$15))/1,6))*1&gt;0,INT(ROUND('参数'!$C$7/(ABS(F53-G53)*1+2*'参数'!$C$11+N('参数'!$C$14)*F53+N('参数'!$C$15))/1,6))*1,"预算不足，这笔不做")),"")</f>
        <v/>
      </c>
      <c r="K53" s="36" t="n"/>
      <c r="L53" s="20" t="str">
        <f>IF(AND(ISNUMBER(F53),ISNUMBER(G53),ISNUMBER(K53)),IF(AND(F53&lt;&gt;G53,K53&gt;0),ABS(F53-G53)*K53*1,""),"")</f>
        <v/>
      </c>
      <c r="M53" s="30" t="n"/>
      <c r="N53" s="37" t="str">
        <f>IF(AND(ISNUMBER(L53),ISNUMBER(M53)),IF(E53="空",(G53*(1+'参数'!$C$17)-F53),(F53-G53*(1-'参数'!$C$17)))*K53/L53,"")</f>
        <v/>
      </c>
      <c r="O53" s="38" t="n"/>
      <c r="P53" s="31" t="n"/>
      <c r="Q53" s="32" t="n"/>
      <c r="R53" s="39" t="str">
        <f>IF(N(U53)&gt;0,SUMPRODUCT(LARGE(('成交明细'!$A$5:$A$804=A53)*('成交明细'!$D$5:$D$804=IF(E53="空","卖","买"))*'成交明细'!$B$5:$B$804,COUNTIFS('成交明细'!$A$5:$A$804,A53,'成交明细'!$D$5:$D$804,IF(E53="空","卖","买")))),"")</f>
        <v/>
      </c>
      <c r="S53" s="39" t="str">
        <f>IF(AND(N(U53)&gt;0,N(W53)&gt;=N(U53)),SUMPRODUCT(MAX(('成交明细'!$A$5:$A$804=A53)*('成交明细'!$D$5:$D$804=IF(E53="空","买","卖"))*'成交明细'!$B$5:$B$804)),"")</f>
        <v/>
      </c>
      <c r="T53" s="32" t="n"/>
      <c r="U53" s="35" t="str">
        <f>IF(A53="","",SUMIFS('成交明细'!$F$5:$F$804,'成交明细'!$A$5:$A$804,A53,'成交明细'!$D$5:$D$804,IF(E53="空","卖","买")))</f>
        <v/>
      </c>
      <c r="V53" s="40" t="str">
        <f>IF(N(U53)&gt;0,SUMIFS('成交明细'!$H$5:$H$804,'成交明细'!$A$5:$A$804,A53,'成交明细'!$D$5:$D$804,IF(E53="空","卖","买"))/U53,"")</f>
        <v/>
      </c>
      <c r="W53" s="35" t="str">
        <f>IF(A53="","",SUMIFS('成交明细'!$F$5:$F$804,'成交明细'!$A$5:$A$804,A53,'成交明细'!$D$5:$D$804,IF(E53="空","买","卖")))</f>
        <v/>
      </c>
      <c r="X53" s="40" t="str">
        <f>IF(N(W53)&gt;0,SUMIFS('成交明细'!$H$5:$H$804,'成交明细'!$A$5:$A$804,A53,'成交明细'!$D$5:$D$804,IF(E53="空","买","卖"))/W53,"")</f>
        <v/>
      </c>
      <c r="Y53" s="41" t="str">
        <f>IF(A53="","",IF(Q53&lt;&gt;"已执行",IF(Q53="","未填执行情况",Q53),IF(N(U53)=0,"待录成交",IF(N(W53)&gt;N(U53),"平仓多于开仓",IF(N(W53)&lt;N(U53),"持仓中","已平仓")))))</f>
        <v/>
      </c>
      <c r="Z53" s="41" t="str">
        <f>IF(AND(ISNUMBER(R53),ISNUMBER(S53)),IF(R53=S53,"日内",""),"")</f>
        <v/>
      </c>
      <c r="AA53" s="42" t="str">
        <f>IF(Z53&lt;&gt;"日内","",COUNTIFS($Z$5:$Z$304,"日内",$S$5:$S$304,"&gt;"&amp;WORKDAY(S53,-5),$S$5:$S$304,"&lt;="&amp;S53))</f>
        <v/>
      </c>
      <c r="AB53" s="41" t="str">
        <f>IF(OR(NOT(ISNUMBER(M53)),NOT(ISNUMBER(R53))),"",IF(AND(M53&gt;=R53,OR(NOT(ISNUMBER(S53)),M53&lt;=S53)),"持仓跨财报",""))</f>
        <v/>
      </c>
      <c r="AC53" s="20">
        <f>IF(AND(E53="空",ISNUMBER(O53),ISNUMBER(S53)),ROUND(O53*(S53-R53)/360*V53*U53,2),0)</f>
        <v>0</v>
      </c>
      <c r="AD53" s="43" t="str">
        <f>IF(N(U53)=0,"",SUMIFS('成交明细'!$L$5:$L$804,'成交明细'!$A$5:$A$804,A53)+AC53)</f>
        <v/>
      </c>
      <c r="AE53" s="44" t="str">
        <f>IF(Y53&lt;&gt;"已平仓","",(SUMIFS('成交明细'!$H$5:$H$804,'成交明细'!$A$5:$A$804,A53,'成交明细'!$D$5:$D$804,"卖")-SUMIFS('成交明细'!$H$5:$H$804,'成交明细'!$A$5:$A$804,A53,'成交明细'!$D$5:$D$804,"买"))*1-AD53)</f>
        <v/>
      </c>
      <c r="AF53" s="45" t="str">
        <f>IF(AND(Y53="已平仓",ISNUMBER(L53)),(SUMIFS('成交明细'!$H$5:$H$804,'成交明细'!$A$5:$A$804,A53,'成交明细'!$D$5:$D$804,"卖")-SUMIFS('成交明细'!$H$5:$H$804,'成交明细'!$A$5:$A$804,A53,'成交明细'!$D$5:$D$804,"买"))*1/L53,"")</f>
        <v/>
      </c>
      <c r="AG53" s="45" t="str">
        <f>IF(AND(Y53="已平仓",ISNUMBER(L53)),AE53/L53,"")</f>
        <v/>
      </c>
      <c r="AH53" s="46" t="str">
        <f>IF(AND(ISNUMBER(V53),ISNUMBER(F53)),IF(E53="空",F53-V53,V53-F53),"")</f>
        <v/>
      </c>
      <c r="AI53" s="46" t="str">
        <f>IF(OR(NOT(ISNUMBER(AE53)),NOT(ISNUMBER(X53))),"",IF(AE53&lt;0,IF(E53="空",X53-G53,G53-X53),IF(NOT(ISNUMBER(H53)),"",IF(E53="空",X53-H53,H53-X53))))</f>
        <v/>
      </c>
      <c r="AJ53" s="32" t="n"/>
      <c r="AK53" s="32" t="n"/>
      <c r="AL53" s="31" t="n"/>
      <c r="AM53" s="45" t="str">
        <f>IF(A53="","",SUM(AG$5:AG53))</f>
        <v/>
      </c>
      <c r="AN53" s="37" t="str">
        <f>IF(A53="","",MAX(0,MAX(AM$5:AM53))-AM53)</f>
        <v/>
      </c>
    </row>
    <row r="54">
      <c r="A54" s="29" t="n"/>
      <c r="B54" s="30" t="n"/>
      <c r="C54" s="31" t="n"/>
      <c r="D54" s="32" t="n"/>
      <c r="E54" s="32" t="n"/>
      <c r="F54" s="33" t="n"/>
      <c r="G54" s="33" t="n"/>
      <c r="H54" s="33" t="n"/>
      <c r="I54" s="34" t="str">
        <f>IF(AND(ISNUMBER(F54),ISNUMBER(G54),ISNUMBER(H54)),IF(OR(AND(E54="多",F54&gt;G54),AND(E54="空",F54&lt;G54)),ABS(H54-F54)/ABS(F54-G54),"止损方向不对"),"")</f>
        <v/>
      </c>
      <c r="J54" s="35" t="str">
        <f>IF(AND(ISNUMBER(F54),ISNUMBER(G54)),IF(F54=G54,"",IF(INT(ROUND('参数'!$C$7/(ABS(F54-G54)*1+2*'参数'!$C$11+N('参数'!$C$14)*F54+N('参数'!$C$15))/1,6))*1&gt;0,INT(ROUND('参数'!$C$7/(ABS(F54-G54)*1+2*'参数'!$C$11+N('参数'!$C$14)*F54+N('参数'!$C$15))/1,6))*1,"预算不足，这笔不做")),"")</f>
        <v/>
      </c>
      <c r="K54" s="36" t="n"/>
      <c r="L54" s="20" t="str">
        <f>IF(AND(ISNUMBER(F54),ISNUMBER(G54),ISNUMBER(K54)),IF(AND(F54&lt;&gt;G54,K54&gt;0),ABS(F54-G54)*K54*1,""),"")</f>
        <v/>
      </c>
      <c r="M54" s="30" t="n"/>
      <c r="N54" s="37" t="str">
        <f>IF(AND(ISNUMBER(L54),ISNUMBER(M54)),IF(E54="空",(G54*(1+'参数'!$C$17)-F54),(F54-G54*(1-'参数'!$C$17)))*K54/L54,"")</f>
        <v/>
      </c>
      <c r="O54" s="38" t="n"/>
      <c r="P54" s="31" t="n"/>
      <c r="Q54" s="32" t="n"/>
      <c r="R54" s="39" t="str">
        <f>IF(N(U54)&gt;0,SUMPRODUCT(LARGE(('成交明细'!$A$5:$A$804=A54)*('成交明细'!$D$5:$D$804=IF(E54="空","卖","买"))*'成交明细'!$B$5:$B$804,COUNTIFS('成交明细'!$A$5:$A$804,A54,'成交明细'!$D$5:$D$804,IF(E54="空","卖","买")))),"")</f>
        <v/>
      </c>
      <c r="S54" s="39" t="str">
        <f>IF(AND(N(U54)&gt;0,N(W54)&gt;=N(U54)),SUMPRODUCT(MAX(('成交明细'!$A$5:$A$804=A54)*('成交明细'!$D$5:$D$804=IF(E54="空","买","卖"))*'成交明细'!$B$5:$B$804)),"")</f>
        <v/>
      </c>
      <c r="T54" s="32" t="n"/>
      <c r="U54" s="35" t="str">
        <f>IF(A54="","",SUMIFS('成交明细'!$F$5:$F$804,'成交明细'!$A$5:$A$804,A54,'成交明细'!$D$5:$D$804,IF(E54="空","卖","买")))</f>
        <v/>
      </c>
      <c r="V54" s="40" t="str">
        <f>IF(N(U54)&gt;0,SUMIFS('成交明细'!$H$5:$H$804,'成交明细'!$A$5:$A$804,A54,'成交明细'!$D$5:$D$804,IF(E54="空","卖","买"))/U54,"")</f>
        <v/>
      </c>
      <c r="W54" s="35" t="str">
        <f>IF(A54="","",SUMIFS('成交明细'!$F$5:$F$804,'成交明细'!$A$5:$A$804,A54,'成交明细'!$D$5:$D$804,IF(E54="空","买","卖")))</f>
        <v/>
      </c>
      <c r="X54" s="40" t="str">
        <f>IF(N(W54)&gt;0,SUMIFS('成交明细'!$H$5:$H$804,'成交明细'!$A$5:$A$804,A54,'成交明细'!$D$5:$D$804,IF(E54="空","买","卖"))/W54,"")</f>
        <v/>
      </c>
      <c r="Y54" s="41" t="str">
        <f>IF(A54="","",IF(Q54&lt;&gt;"已执行",IF(Q54="","未填执行情况",Q54),IF(N(U54)=0,"待录成交",IF(N(W54)&gt;N(U54),"平仓多于开仓",IF(N(W54)&lt;N(U54),"持仓中","已平仓")))))</f>
        <v/>
      </c>
      <c r="Z54" s="41" t="str">
        <f>IF(AND(ISNUMBER(R54),ISNUMBER(S54)),IF(R54=S54,"日内",""),"")</f>
        <v/>
      </c>
      <c r="AA54" s="42" t="str">
        <f>IF(Z54&lt;&gt;"日内","",COUNTIFS($Z$5:$Z$304,"日内",$S$5:$S$304,"&gt;"&amp;WORKDAY(S54,-5),$S$5:$S$304,"&lt;="&amp;S54))</f>
        <v/>
      </c>
      <c r="AB54" s="41" t="str">
        <f>IF(OR(NOT(ISNUMBER(M54)),NOT(ISNUMBER(R54))),"",IF(AND(M54&gt;=R54,OR(NOT(ISNUMBER(S54)),M54&lt;=S54)),"持仓跨财报",""))</f>
        <v/>
      </c>
      <c r="AC54" s="20">
        <f>IF(AND(E54="空",ISNUMBER(O54),ISNUMBER(S54)),ROUND(O54*(S54-R54)/360*V54*U54,2),0)</f>
        <v>0</v>
      </c>
      <c r="AD54" s="43" t="str">
        <f>IF(N(U54)=0,"",SUMIFS('成交明细'!$L$5:$L$804,'成交明细'!$A$5:$A$804,A54)+AC54)</f>
        <v/>
      </c>
      <c r="AE54" s="44" t="str">
        <f>IF(Y54&lt;&gt;"已平仓","",(SUMIFS('成交明细'!$H$5:$H$804,'成交明细'!$A$5:$A$804,A54,'成交明细'!$D$5:$D$804,"卖")-SUMIFS('成交明细'!$H$5:$H$804,'成交明细'!$A$5:$A$804,A54,'成交明细'!$D$5:$D$804,"买"))*1-AD54)</f>
        <v/>
      </c>
      <c r="AF54" s="45" t="str">
        <f>IF(AND(Y54="已平仓",ISNUMBER(L54)),(SUMIFS('成交明细'!$H$5:$H$804,'成交明细'!$A$5:$A$804,A54,'成交明细'!$D$5:$D$804,"卖")-SUMIFS('成交明细'!$H$5:$H$804,'成交明细'!$A$5:$A$804,A54,'成交明细'!$D$5:$D$804,"买"))*1/L54,"")</f>
        <v/>
      </c>
      <c r="AG54" s="45" t="str">
        <f>IF(AND(Y54="已平仓",ISNUMBER(L54)),AE54/L54,"")</f>
        <v/>
      </c>
      <c r="AH54" s="46" t="str">
        <f>IF(AND(ISNUMBER(V54),ISNUMBER(F54)),IF(E54="空",F54-V54,V54-F54),"")</f>
        <v/>
      </c>
      <c r="AI54" s="46" t="str">
        <f>IF(OR(NOT(ISNUMBER(AE54)),NOT(ISNUMBER(X54))),"",IF(AE54&lt;0,IF(E54="空",X54-G54,G54-X54),IF(NOT(ISNUMBER(H54)),"",IF(E54="空",X54-H54,H54-X54))))</f>
        <v/>
      </c>
      <c r="AJ54" s="32" t="n"/>
      <c r="AK54" s="32" t="n"/>
      <c r="AL54" s="31" t="n"/>
      <c r="AM54" s="45" t="str">
        <f>IF(A54="","",SUM(AG$5:AG54))</f>
        <v/>
      </c>
      <c r="AN54" s="37" t="str">
        <f>IF(A54="","",MAX(0,MAX(AM$5:AM54))-AM54)</f>
        <v/>
      </c>
    </row>
    <row r="55">
      <c r="A55" s="29" t="n"/>
      <c r="B55" s="30" t="n"/>
      <c r="C55" s="31" t="n"/>
      <c r="D55" s="32" t="n"/>
      <c r="E55" s="32" t="n"/>
      <c r="F55" s="33" t="n"/>
      <c r="G55" s="33" t="n"/>
      <c r="H55" s="33" t="n"/>
      <c r="I55" s="34" t="str">
        <f>IF(AND(ISNUMBER(F55),ISNUMBER(G55),ISNUMBER(H55)),IF(OR(AND(E55="多",F55&gt;G55),AND(E55="空",F55&lt;G55)),ABS(H55-F55)/ABS(F55-G55),"止损方向不对"),"")</f>
        <v/>
      </c>
      <c r="J55" s="35" t="str">
        <f>IF(AND(ISNUMBER(F55),ISNUMBER(G55)),IF(F55=G55,"",IF(INT(ROUND('参数'!$C$7/(ABS(F55-G55)*1+2*'参数'!$C$11+N('参数'!$C$14)*F55+N('参数'!$C$15))/1,6))*1&gt;0,INT(ROUND('参数'!$C$7/(ABS(F55-G55)*1+2*'参数'!$C$11+N('参数'!$C$14)*F55+N('参数'!$C$15))/1,6))*1,"预算不足，这笔不做")),"")</f>
        <v/>
      </c>
      <c r="K55" s="36" t="n"/>
      <c r="L55" s="20" t="str">
        <f>IF(AND(ISNUMBER(F55),ISNUMBER(G55),ISNUMBER(K55)),IF(AND(F55&lt;&gt;G55,K55&gt;0),ABS(F55-G55)*K55*1,""),"")</f>
        <v/>
      </c>
      <c r="M55" s="30" t="n"/>
      <c r="N55" s="37" t="str">
        <f>IF(AND(ISNUMBER(L55),ISNUMBER(M55)),IF(E55="空",(G55*(1+'参数'!$C$17)-F55),(F55-G55*(1-'参数'!$C$17)))*K55/L55,"")</f>
        <v/>
      </c>
      <c r="O55" s="38" t="n"/>
      <c r="P55" s="31" t="n"/>
      <c r="Q55" s="32" t="n"/>
      <c r="R55" s="39" t="str">
        <f>IF(N(U55)&gt;0,SUMPRODUCT(LARGE(('成交明细'!$A$5:$A$804=A55)*('成交明细'!$D$5:$D$804=IF(E55="空","卖","买"))*'成交明细'!$B$5:$B$804,COUNTIFS('成交明细'!$A$5:$A$804,A55,'成交明细'!$D$5:$D$804,IF(E55="空","卖","买")))),"")</f>
        <v/>
      </c>
      <c r="S55" s="39" t="str">
        <f>IF(AND(N(U55)&gt;0,N(W55)&gt;=N(U55)),SUMPRODUCT(MAX(('成交明细'!$A$5:$A$804=A55)*('成交明细'!$D$5:$D$804=IF(E55="空","买","卖"))*'成交明细'!$B$5:$B$804)),"")</f>
        <v/>
      </c>
      <c r="T55" s="32" t="n"/>
      <c r="U55" s="35" t="str">
        <f>IF(A55="","",SUMIFS('成交明细'!$F$5:$F$804,'成交明细'!$A$5:$A$804,A55,'成交明细'!$D$5:$D$804,IF(E55="空","卖","买")))</f>
        <v/>
      </c>
      <c r="V55" s="40" t="str">
        <f>IF(N(U55)&gt;0,SUMIFS('成交明细'!$H$5:$H$804,'成交明细'!$A$5:$A$804,A55,'成交明细'!$D$5:$D$804,IF(E55="空","卖","买"))/U55,"")</f>
        <v/>
      </c>
      <c r="W55" s="35" t="str">
        <f>IF(A55="","",SUMIFS('成交明细'!$F$5:$F$804,'成交明细'!$A$5:$A$804,A55,'成交明细'!$D$5:$D$804,IF(E55="空","买","卖")))</f>
        <v/>
      </c>
      <c r="X55" s="40" t="str">
        <f>IF(N(W55)&gt;0,SUMIFS('成交明细'!$H$5:$H$804,'成交明细'!$A$5:$A$804,A55,'成交明细'!$D$5:$D$804,IF(E55="空","买","卖"))/W55,"")</f>
        <v/>
      </c>
      <c r="Y55" s="41" t="str">
        <f>IF(A55="","",IF(Q55&lt;&gt;"已执行",IF(Q55="","未填执行情况",Q55),IF(N(U55)=0,"待录成交",IF(N(W55)&gt;N(U55),"平仓多于开仓",IF(N(W55)&lt;N(U55),"持仓中","已平仓")))))</f>
        <v/>
      </c>
      <c r="Z55" s="41" t="str">
        <f>IF(AND(ISNUMBER(R55),ISNUMBER(S55)),IF(R55=S55,"日内",""),"")</f>
        <v/>
      </c>
      <c r="AA55" s="42" t="str">
        <f>IF(Z55&lt;&gt;"日内","",COUNTIFS($Z$5:$Z$304,"日内",$S$5:$S$304,"&gt;"&amp;WORKDAY(S55,-5),$S$5:$S$304,"&lt;="&amp;S55))</f>
        <v/>
      </c>
      <c r="AB55" s="41" t="str">
        <f>IF(OR(NOT(ISNUMBER(M55)),NOT(ISNUMBER(R55))),"",IF(AND(M55&gt;=R55,OR(NOT(ISNUMBER(S55)),M55&lt;=S55)),"持仓跨财报",""))</f>
        <v/>
      </c>
      <c r="AC55" s="20">
        <f>IF(AND(E55="空",ISNUMBER(O55),ISNUMBER(S55)),ROUND(O55*(S55-R55)/360*V55*U55,2),0)</f>
        <v>0</v>
      </c>
      <c r="AD55" s="43" t="str">
        <f>IF(N(U55)=0,"",SUMIFS('成交明细'!$L$5:$L$804,'成交明细'!$A$5:$A$804,A55)+AC55)</f>
        <v/>
      </c>
      <c r="AE55" s="44" t="str">
        <f>IF(Y55&lt;&gt;"已平仓","",(SUMIFS('成交明细'!$H$5:$H$804,'成交明细'!$A$5:$A$804,A55,'成交明细'!$D$5:$D$804,"卖")-SUMIFS('成交明细'!$H$5:$H$804,'成交明细'!$A$5:$A$804,A55,'成交明细'!$D$5:$D$804,"买"))*1-AD55)</f>
        <v/>
      </c>
      <c r="AF55" s="45" t="str">
        <f>IF(AND(Y55="已平仓",ISNUMBER(L55)),(SUMIFS('成交明细'!$H$5:$H$804,'成交明细'!$A$5:$A$804,A55,'成交明细'!$D$5:$D$804,"卖")-SUMIFS('成交明细'!$H$5:$H$804,'成交明细'!$A$5:$A$804,A55,'成交明细'!$D$5:$D$804,"买"))*1/L55,"")</f>
        <v/>
      </c>
      <c r="AG55" s="45" t="str">
        <f>IF(AND(Y55="已平仓",ISNUMBER(L55)),AE55/L55,"")</f>
        <v/>
      </c>
      <c r="AH55" s="46" t="str">
        <f>IF(AND(ISNUMBER(V55),ISNUMBER(F55)),IF(E55="空",F55-V55,V55-F55),"")</f>
        <v/>
      </c>
      <c r="AI55" s="46" t="str">
        <f>IF(OR(NOT(ISNUMBER(AE55)),NOT(ISNUMBER(X55))),"",IF(AE55&lt;0,IF(E55="空",X55-G55,G55-X55),IF(NOT(ISNUMBER(H55)),"",IF(E55="空",X55-H55,H55-X55))))</f>
        <v/>
      </c>
      <c r="AJ55" s="32" t="n"/>
      <c r="AK55" s="32" t="n"/>
      <c r="AL55" s="31" t="n"/>
      <c r="AM55" s="45" t="str">
        <f>IF(A55="","",SUM(AG$5:AG55))</f>
        <v/>
      </c>
      <c r="AN55" s="37" t="str">
        <f>IF(A55="","",MAX(0,MAX(AM$5:AM55))-AM55)</f>
        <v/>
      </c>
    </row>
    <row r="56">
      <c r="A56" s="29" t="n"/>
      <c r="B56" s="30" t="n"/>
      <c r="C56" s="31" t="n"/>
      <c r="D56" s="32" t="n"/>
      <c r="E56" s="32" t="n"/>
      <c r="F56" s="33" t="n"/>
      <c r="G56" s="33" t="n"/>
      <c r="H56" s="33" t="n"/>
      <c r="I56" s="34" t="str">
        <f>IF(AND(ISNUMBER(F56),ISNUMBER(G56),ISNUMBER(H56)),IF(OR(AND(E56="多",F56&gt;G56),AND(E56="空",F56&lt;G56)),ABS(H56-F56)/ABS(F56-G56),"止损方向不对"),"")</f>
        <v/>
      </c>
      <c r="J56" s="35" t="str">
        <f>IF(AND(ISNUMBER(F56),ISNUMBER(G56)),IF(F56=G56,"",IF(INT(ROUND('参数'!$C$7/(ABS(F56-G56)*1+2*'参数'!$C$11+N('参数'!$C$14)*F56+N('参数'!$C$15))/1,6))*1&gt;0,INT(ROUND('参数'!$C$7/(ABS(F56-G56)*1+2*'参数'!$C$11+N('参数'!$C$14)*F56+N('参数'!$C$15))/1,6))*1,"预算不足，这笔不做")),"")</f>
        <v/>
      </c>
      <c r="K56" s="36" t="n"/>
      <c r="L56" s="20" t="str">
        <f>IF(AND(ISNUMBER(F56),ISNUMBER(G56),ISNUMBER(K56)),IF(AND(F56&lt;&gt;G56,K56&gt;0),ABS(F56-G56)*K56*1,""),"")</f>
        <v/>
      </c>
      <c r="M56" s="30" t="n"/>
      <c r="N56" s="37" t="str">
        <f>IF(AND(ISNUMBER(L56),ISNUMBER(M56)),IF(E56="空",(G56*(1+'参数'!$C$17)-F56),(F56-G56*(1-'参数'!$C$17)))*K56/L56,"")</f>
        <v/>
      </c>
      <c r="O56" s="38" t="n"/>
      <c r="P56" s="31" t="n"/>
      <c r="Q56" s="32" t="n"/>
      <c r="R56" s="39" t="str">
        <f>IF(N(U56)&gt;0,SUMPRODUCT(LARGE(('成交明细'!$A$5:$A$804=A56)*('成交明细'!$D$5:$D$804=IF(E56="空","卖","买"))*'成交明细'!$B$5:$B$804,COUNTIFS('成交明细'!$A$5:$A$804,A56,'成交明细'!$D$5:$D$804,IF(E56="空","卖","买")))),"")</f>
        <v/>
      </c>
      <c r="S56" s="39" t="str">
        <f>IF(AND(N(U56)&gt;0,N(W56)&gt;=N(U56)),SUMPRODUCT(MAX(('成交明细'!$A$5:$A$804=A56)*('成交明细'!$D$5:$D$804=IF(E56="空","买","卖"))*'成交明细'!$B$5:$B$804)),"")</f>
        <v/>
      </c>
      <c r="T56" s="32" t="n"/>
      <c r="U56" s="35" t="str">
        <f>IF(A56="","",SUMIFS('成交明细'!$F$5:$F$804,'成交明细'!$A$5:$A$804,A56,'成交明细'!$D$5:$D$804,IF(E56="空","卖","买")))</f>
        <v/>
      </c>
      <c r="V56" s="40" t="str">
        <f>IF(N(U56)&gt;0,SUMIFS('成交明细'!$H$5:$H$804,'成交明细'!$A$5:$A$804,A56,'成交明细'!$D$5:$D$804,IF(E56="空","卖","买"))/U56,"")</f>
        <v/>
      </c>
      <c r="W56" s="35" t="str">
        <f>IF(A56="","",SUMIFS('成交明细'!$F$5:$F$804,'成交明细'!$A$5:$A$804,A56,'成交明细'!$D$5:$D$804,IF(E56="空","买","卖")))</f>
        <v/>
      </c>
      <c r="X56" s="40" t="str">
        <f>IF(N(W56)&gt;0,SUMIFS('成交明细'!$H$5:$H$804,'成交明细'!$A$5:$A$804,A56,'成交明细'!$D$5:$D$804,IF(E56="空","买","卖"))/W56,"")</f>
        <v/>
      </c>
      <c r="Y56" s="41" t="str">
        <f>IF(A56="","",IF(Q56&lt;&gt;"已执行",IF(Q56="","未填执行情况",Q56),IF(N(U56)=0,"待录成交",IF(N(W56)&gt;N(U56),"平仓多于开仓",IF(N(W56)&lt;N(U56),"持仓中","已平仓")))))</f>
        <v/>
      </c>
      <c r="Z56" s="41" t="str">
        <f>IF(AND(ISNUMBER(R56),ISNUMBER(S56)),IF(R56=S56,"日内",""),"")</f>
        <v/>
      </c>
      <c r="AA56" s="42" t="str">
        <f>IF(Z56&lt;&gt;"日内","",COUNTIFS($Z$5:$Z$304,"日内",$S$5:$S$304,"&gt;"&amp;WORKDAY(S56,-5),$S$5:$S$304,"&lt;="&amp;S56))</f>
        <v/>
      </c>
      <c r="AB56" s="41" t="str">
        <f>IF(OR(NOT(ISNUMBER(M56)),NOT(ISNUMBER(R56))),"",IF(AND(M56&gt;=R56,OR(NOT(ISNUMBER(S56)),M56&lt;=S56)),"持仓跨财报",""))</f>
        <v/>
      </c>
      <c r="AC56" s="20">
        <f>IF(AND(E56="空",ISNUMBER(O56),ISNUMBER(S56)),ROUND(O56*(S56-R56)/360*V56*U56,2),0)</f>
        <v>0</v>
      </c>
      <c r="AD56" s="43" t="str">
        <f>IF(N(U56)=0,"",SUMIFS('成交明细'!$L$5:$L$804,'成交明细'!$A$5:$A$804,A56)+AC56)</f>
        <v/>
      </c>
      <c r="AE56" s="44" t="str">
        <f>IF(Y56&lt;&gt;"已平仓","",(SUMIFS('成交明细'!$H$5:$H$804,'成交明细'!$A$5:$A$804,A56,'成交明细'!$D$5:$D$804,"卖")-SUMIFS('成交明细'!$H$5:$H$804,'成交明细'!$A$5:$A$804,A56,'成交明细'!$D$5:$D$804,"买"))*1-AD56)</f>
        <v/>
      </c>
      <c r="AF56" s="45" t="str">
        <f>IF(AND(Y56="已平仓",ISNUMBER(L56)),(SUMIFS('成交明细'!$H$5:$H$804,'成交明细'!$A$5:$A$804,A56,'成交明细'!$D$5:$D$804,"卖")-SUMIFS('成交明细'!$H$5:$H$804,'成交明细'!$A$5:$A$804,A56,'成交明细'!$D$5:$D$804,"买"))*1/L56,"")</f>
        <v/>
      </c>
      <c r="AG56" s="45" t="str">
        <f>IF(AND(Y56="已平仓",ISNUMBER(L56)),AE56/L56,"")</f>
        <v/>
      </c>
      <c r="AH56" s="46" t="str">
        <f>IF(AND(ISNUMBER(V56),ISNUMBER(F56)),IF(E56="空",F56-V56,V56-F56),"")</f>
        <v/>
      </c>
      <c r="AI56" s="46" t="str">
        <f>IF(OR(NOT(ISNUMBER(AE56)),NOT(ISNUMBER(X56))),"",IF(AE56&lt;0,IF(E56="空",X56-G56,G56-X56),IF(NOT(ISNUMBER(H56)),"",IF(E56="空",X56-H56,H56-X56))))</f>
        <v/>
      </c>
      <c r="AJ56" s="32" t="n"/>
      <c r="AK56" s="32" t="n"/>
      <c r="AL56" s="31" t="n"/>
      <c r="AM56" s="45" t="str">
        <f>IF(A56="","",SUM(AG$5:AG56))</f>
        <v/>
      </c>
      <c r="AN56" s="37" t="str">
        <f>IF(A56="","",MAX(0,MAX(AM$5:AM56))-AM56)</f>
        <v/>
      </c>
    </row>
    <row r="57">
      <c r="A57" s="29" t="n"/>
      <c r="B57" s="30" t="n"/>
      <c r="C57" s="31" t="n"/>
      <c r="D57" s="32" t="n"/>
      <c r="E57" s="32" t="n"/>
      <c r="F57" s="33" t="n"/>
      <c r="G57" s="33" t="n"/>
      <c r="H57" s="33" t="n"/>
      <c r="I57" s="34" t="str">
        <f>IF(AND(ISNUMBER(F57),ISNUMBER(G57),ISNUMBER(H57)),IF(OR(AND(E57="多",F57&gt;G57),AND(E57="空",F57&lt;G57)),ABS(H57-F57)/ABS(F57-G57),"止损方向不对"),"")</f>
        <v/>
      </c>
      <c r="J57" s="35" t="str">
        <f>IF(AND(ISNUMBER(F57),ISNUMBER(G57)),IF(F57=G57,"",IF(INT(ROUND('参数'!$C$7/(ABS(F57-G57)*1+2*'参数'!$C$11+N('参数'!$C$14)*F57+N('参数'!$C$15))/1,6))*1&gt;0,INT(ROUND('参数'!$C$7/(ABS(F57-G57)*1+2*'参数'!$C$11+N('参数'!$C$14)*F57+N('参数'!$C$15))/1,6))*1,"预算不足，这笔不做")),"")</f>
        <v/>
      </c>
      <c r="K57" s="36" t="n"/>
      <c r="L57" s="20" t="str">
        <f>IF(AND(ISNUMBER(F57),ISNUMBER(G57),ISNUMBER(K57)),IF(AND(F57&lt;&gt;G57,K57&gt;0),ABS(F57-G57)*K57*1,""),"")</f>
        <v/>
      </c>
      <c r="M57" s="30" t="n"/>
      <c r="N57" s="37" t="str">
        <f>IF(AND(ISNUMBER(L57),ISNUMBER(M57)),IF(E57="空",(G57*(1+'参数'!$C$17)-F57),(F57-G57*(1-'参数'!$C$17)))*K57/L57,"")</f>
        <v/>
      </c>
      <c r="O57" s="38" t="n"/>
      <c r="P57" s="31" t="n"/>
      <c r="Q57" s="32" t="n"/>
      <c r="R57" s="39" t="str">
        <f>IF(N(U57)&gt;0,SUMPRODUCT(LARGE(('成交明细'!$A$5:$A$804=A57)*('成交明细'!$D$5:$D$804=IF(E57="空","卖","买"))*'成交明细'!$B$5:$B$804,COUNTIFS('成交明细'!$A$5:$A$804,A57,'成交明细'!$D$5:$D$804,IF(E57="空","卖","买")))),"")</f>
        <v/>
      </c>
      <c r="S57" s="39" t="str">
        <f>IF(AND(N(U57)&gt;0,N(W57)&gt;=N(U57)),SUMPRODUCT(MAX(('成交明细'!$A$5:$A$804=A57)*('成交明细'!$D$5:$D$804=IF(E57="空","买","卖"))*'成交明细'!$B$5:$B$804)),"")</f>
        <v/>
      </c>
      <c r="T57" s="32" t="n"/>
      <c r="U57" s="35" t="str">
        <f>IF(A57="","",SUMIFS('成交明细'!$F$5:$F$804,'成交明细'!$A$5:$A$804,A57,'成交明细'!$D$5:$D$804,IF(E57="空","卖","买")))</f>
        <v/>
      </c>
      <c r="V57" s="40" t="str">
        <f>IF(N(U57)&gt;0,SUMIFS('成交明细'!$H$5:$H$804,'成交明细'!$A$5:$A$804,A57,'成交明细'!$D$5:$D$804,IF(E57="空","卖","买"))/U57,"")</f>
        <v/>
      </c>
      <c r="W57" s="35" t="str">
        <f>IF(A57="","",SUMIFS('成交明细'!$F$5:$F$804,'成交明细'!$A$5:$A$804,A57,'成交明细'!$D$5:$D$804,IF(E57="空","买","卖")))</f>
        <v/>
      </c>
      <c r="X57" s="40" t="str">
        <f>IF(N(W57)&gt;0,SUMIFS('成交明细'!$H$5:$H$804,'成交明细'!$A$5:$A$804,A57,'成交明细'!$D$5:$D$804,IF(E57="空","买","卖"))/W57,"")</f>
        <v/>
      </c>
      <c r="Y57" s="41" t="str">
        <f>IF(A57="","",IF(Q57&lt;&gt;"已执行",IF(Q57="","未填执行情况",Q57),IF(N(U57)=0,"待录成交",IF(N(W57)&gt;N(U57),"平仓多于开仓",IF(N(W57)&lt;N(U57),"持仓中","已平仓")))))</f>
        <v/>
      </c>
      <c r="Z57" s="41" t="str">
        <f>IF(AND(ISNUMBER(R57),ISNUMBER(S57)),IF(R57=S57,"日内",""),"")</f>
        <v/>
      </c>
      <c r="AA57" s="42" t="str">
        <f>IF(Z57&lt;&gt;"日内","",COUNTIFS($Z$5:$Z$304,"日内",$S$5:$S$304,"&gt;"&amp;WORKDAY(S57,-5),$S$5:$S$304,"&lt;="&amp;S57))</f>
        <v/>
      </c>
      <c r="AB57" s="41" t="str">
        <f>IF(OR(NOT(ISNUMBER(M57)),NOT(ISNUMBER(R57))),"",IF(AND(M57&gt;=R57,OR(NOT(ISNUMBER(S57)),M57&lt;=S57)),"持仓跨财报",""))</f>
        <v/>
      </c>
      <c r="AC57" s="20">
        <f>IF(AND(E57="空",ISNUMBER(O57),ISNUMBER(S57)),ROUND(O57*(S57-R57)/360*V57*U57,2),0)</f>
        <v>0</v>
      </c>
      <c r="AD57" s="43" t="str">
        <f>IF(N(U57)=0,"",SUMIFS('成交明细'!$L$5:$L$804,'成交明细'!$A$5:$A$804,A57)+AC57)</f>
        <v/>
      </c>
      <c r="AE57" s="44" t="str">
        <f>IF(Y57&lt;&gt;"已平仓","",(SUMIFS('成交明细'!$H$5:$H$804,'成交明细'!$A$5:$A$804,A57,'成交明细'!$D$5:$D$804,"卖")-SUMIFS('成交明细'!$H$5:$H$804,'成交明细'!$A$5:$A$804,A57,'成交明细'!$D$5:$D$804,"买"))*1-AD57)</f>
        <v/>
      </c>
      <c r="AF57" s="45" t="str">
        <f>IF(AND(Y57="已平仓",ISNUMBER(L57)),(SUMIFS('成交明细'!$H$5:$H$804,'成交明细'!$A$5:$A$804,A57,'成交明细'!$D$5:$D$804,"卖")-SUMIFS('成交明细'!$H$5:$H$804,'成交明细'!$A$5:$A$804,A57,'成交明细'!$D$5:$D$804,"买"))*1/L57,"")</f>
        <v/>
      </c>
      <c r="AG57" s="45" t="str">
        <f>IF(AND(Y57="已平仓",ISNUMBER(L57)),AE57/L57,"")</f>
        <v/>
      </c>
      <c r="AH57" s="46" t="str">
        <f>IF(AND(ISNUMBER(V57),ISNUMBER(F57)),IF(E57="空",F57-V57,V57-F57),"")</f>
        <v/>
      </c>
      <c r="AI57" s="46" t="str">
        <f>IF(OR(NOT(ISNUMBER(AE57)),NOT(ISNUMBER(X57))),"",IF(AE57&lt;0,IF(E57="空",X57-G57,G57-X57),IF(NOT(ISNUMBER(H57)),"",IF(E57="空",X57-H57,H57-X57))))</f>
        <v/>
      </c>
      <c r="AJ57" s="32" t="n"/>
      <c r="AK57" s="32" t="n"/>
      <c r="AL57" s="31" t="n"/>
      <c r="AM57" s="45" t="str">
        <f>IF(A57="","",SUM(AG$5:AG57))</f>
        <v/>
      </c>
      <c r="AN57" s="37" t="str">
        <f>IF(A57="","",MAX(0,MAX(AM$5:AM57))-AM57)</f>
        <v/>
      </c>
    </row>
    <row r="58">
      <c r="A58" s="29" t="n"/>
      <c r="B58" s="30" t="n"/>
      <c r="C58" s="31" t="n"/>
      <c r="D58" s="32" t="n"/>
      <c r="E58" s="32" t="n"/>
      <c r="F58" s="33" t="n"/>
      <c r="G58" s="33" t="n"/>
      <c r="H58" s="33" t="n"/>
      <c r="I58" s="34" t="str">
        <f>IF(AND(ISNUMBER(F58),ISNUMBER(G58),ISNUMBER(H58)),IF(OR(AND(E58="多",F58&gt;G58),AND(E58="空",F58&lt;G58)),ABS(H58-F58)/ABS(F58-G58),"止损方向不对"),"")</f>
        <v/>
      </c>
      <c r="J58" s="35" t="str">
        <f>IF(AND(ISNUMBER(F58),ISNUMBER(G58)),IF(F58=G58,"",IF(INT(ROUND('参数'!$C$7/(ABS(F58-G58)*1+2*'参数'!$C$11+N('参数'!$C$14)*F58+N('参数'!$C$15))/1,6))*1&gt;0,INT(ROUND('参数'!$C$7/(ABS(F58-G58)*1+2*'参数'!$C$11+N('参数'!$C$14)*F58+N('参数'!$C$15))/1,6))*1,"预算不足，这笔不做")),"")</f>
        <v/>
      </c>
      <c r="K58" s="36" t="n"/>
      <c r="L58" s="20" t="str">
        <f>IF(AND(ISNUMBER(F58),ISNUMBER(G58),ISNUMBER(K58)),IF(AND(F58&lt;&gt;G58,K58&gt;0),ABS(F58-G58)*K58*1,""),"")</f>
        <v/>
      </c>
      <c r="M58" s="30" t="n"/>
      <c r="N58" s="37" t="str">
        <f>IF(AND(ISNUMBER(L58),ISNUMBER(M58)),IF(E58="空",(G58*(1+'参数'!$C$17)-F58),(F58-G58*(1-'参数'!$C$17)))*K58/L58,"")</f>
        <v/>
      </c>
      <c r="O58" s="38" t="n"/>
      <c r="P58" s="31" t="n"/>
      <c r="Q58" s="32" t="n"/>
      <c r="R58" s="39" t="str">
        <f>IF(N(U58)&gt;0,SUMPRODUCT(LARGE(('成交明细'!$A$5:$A$804=A58)*('成交明细'!$D$5:$D$804=IF(E58="空","卖","买"))*'成交明细'!$B$5:$B$804,COUNTIFS('成交明细'!$A$5:$A$804,A58,'成交明细'!$D$5:$D$804,IF(E58="空","卖","买")))),"")</f>
        <v/>
      </c>
      <c r="S58" s="39" t="str">
        <f>IF(AND(N(U58)&gt;0,N(W58)&gt;=N(U58)),SUMPRODUCT(MAX(('成交明细'!$A$5:$A$804=A58)*('成交明细'!$D$5:$D$804=IF(E58="空","买","卖"))*'成交明细'!$B$5:$B$804)),"")</f>
        <v/>
      </c>
      <c r="T58" s="32" t="n"/>
      <c r="U58" s="35" t="str">
        <f>IF(A58="","",SUMIFS('成交明细'!$F$5:$F$804,'成交明细'!$A$5:$A$804,A58,'成交明细'!$D$5:$D$804,IF(E58="空","卖","买")))</f>
        <v/>
      </c>
      <c r="V58" s="40" t="str">
        <f>IF(N(U58)&gt;0,SUMIFS('成交明细'!$H$5:$H$804,'成交明细'!$A$5:$A$804,A58,'成交明细'!$D$5:$D$804,IF(E58="空","卖","买"))/U58,"")</f>
        <v/>
      </c>
      <c r="W58" s="35" t="str">
        <f>IF(A58="","",SUMIFS('成交明细'!$F$5:$F$804,'成交明细'!$A$5:$A$804,A58,'成交明细'!$D$5:$D$804,IF(E58="空","买","卖")))</f>
        <v/>
      </c>
      <c r="X58" s="40" t="str">
        <f>IF(N(W58)&gt;0,SUMIFS('成交明细'!$H$5:$H$804,'成交明细'!$A$5:$A$804,A58,'成交明细'!$D$5:$D$804,IF(E58="空","买","卖"))/W58,"")</f>
        <v/>
      </c>
      <c r="Y58" s="41" t="str">
        <f>IF(A58="","",IF(Q58&lt;&gt;"已执行",IF(Q58="","未填执行情况",Q58),IF(N(U58)=0,"待录成交",IF(N(W58)&gt;N(U58),"平仓多于开仓",IF(N(W58)&lt;N(U58),"持仓中","已平仓")))))</f>
        <v/>
      </c>
      <c r="Z58" s="41" t="str">
        <f>IF(AND(ISNUMBER(R58),ISNUMBER(S58)),IF(R58=S58,"日内",""),"")</f>
        <v/>
      </c>
      <c r="AA58" s="42" t="str">
        <f>IF(Z58&lt;&gt;"日内","",COUNTIFS($Z$5:$Z$304,"日内",$S$5:$S$304,"&gt;"&amp;WORKDAY(S58,-5),$S$5:$S$304,"&lt;="&amp;S58))</f>
        <v/>
      </c>
      <c r="AB58" s="41" t="str">
        <f>IF(OR(NOT(ISNUMBER(M58)),NOT(ISNUMBER(R58))),"",IF(AND(M58&gt;=R58,OR(NOT(ISNUMBER(S58)),M58&lt;=S58)),"持仓跨财报",""))</f>
        <v/>
      </c>
      <c r="AC58" s="20">
        <f>IF(AND(E58="空",ISNUMBER(O58),ISNUMBER(S58)),ROUND(O58*(S58-R58)/360*V58*U58,2),0)</f>
        <v>0</v>
      </c>
      <c r="AD58" s="43" t="str">
        <f>IF(N(U58)=0,"",SUMIFS('成交明细'!$L$5:$L$804,'成交明细'!$A$5:$A$804,A58)+AC58)</f>
        <v/>
      </c>
      <c r="AE58" s="44" t="str">
        <f>IF(Y58&lt;&gt;"已平仓","",(SUMIFS('成交明细'!$H$5:$H$804,'成交明细'!$A$5:$A$804,A58,'成交明细'!$D$5:$D$804,"卖")-SUMIFS('成交明细'!$H$5:$H$804,'成交明细'!$A$5:$A$804,A58,'成交明细'!$D$5:$D$804,"买"))*1-AD58)</f>
        <v/>
      </c>
      <c r="AF58" s="45" t="str">
        <f>IF(AND(Y58="已平仓",ISNUMBER(L58)),(SUMIFS('成交明细'!$H$5:$H$804,'成交明细'!$A$5:$A$804,A58,'成交明细'!$D$5:$D$804,"卖")-SUMIFS('成交明细'!$H$5:$H$804,'成交明细'!$A$5:$A$804,A58,'成交明细'!$D$5:$D$804,"买"))*1/L58,"")</f>
        <v/>
      </c>
      <c r="AG58" s="45" t="str">
        <f>IF(AND(Y58="已平仓",ISNUMBER(L58)),AE58/L58,"")</f>
        <v/>
      </c>
      <c r="AH58" s="46" t="str">
        <f>IF(AND(ISNUMBER(V58),ISNUMBER(F58)),IF(E58="空",F58-V58,V58-F58),"")</f>
        <v/>
      </c>
      <c r="AI58" s="46" t="str">
        <f>IF(OR(NOT(ISNUMBER(AE58)),NOT(ISNUMBER(X58))),"",IF(AE58&lt;0,IF(E58="空",X58-G58,G58-X58),IF(NOT(ISNUMBER(H58)),"",IF(E58="空",X58-H58,H58-X58))))</f>
        <v/>
      </c>
      <c r="AJ58" s="32" t="n"/>
      <c r="AK58" s="32" t="n"/>
      <c r="AL58" s="31" t="n"/>
      <c r="AM58" s="45" t="str">
        <f>IF(A58="","",SUM(AG$5:AG58))</f>
        <v/>
      </c>
      <c r="AN58" s="37" t="str">
        <f>IF(A58="","",MAX(0,MAX(AM$5:AM58))-AM58)</f>
        <v/>
      </c>
    </row>
    <row r="59">
      <c r="A59" s="29" t="n"/>
      <c r="B59" s="30" t="n"/>
      <c r="C59" s="31" t="n"/>
      <c r="D59" s="32" t="n"/>
      <c r="E59" s="32" t="n"/>
      <c r="F59" s="33" t="n"/>
      <c r="G59" s="33" t="n"/>
      <c r="H59" s="33" t="n"/>
      <c r="I59" s="34" t="str">
        <f>IF(AND(ISNUMBER(F59),ISNUMBER(G59),ISNUMBER(H59)),IF(OR(AND(E59="多",F59&gt;G59),AND(E59="空",F59&lt;G59)),ABS(H59-F59)/ABS(F59-G59),"止损方向不对"),"")</f>
        <v/>
      </c>
      <c r="J59" s="35" t="str">
        <f>IF(AND(ISNUMBER(F59),ISNUMBER(G59)),IF(F59=G59,"",IF(INT(ROUND('参数'!$C$7/(ABS(F59-G59)*1+2*'参数'!$C$11+N('参数'!$C$14)*F59+N('参数'!$C$15))/1,6))*1&gt;0,INT(ROUND('参数'!$C$7/(ABS(F59-G59)*1+2*'参数'!$C$11+N('参数'!$C$14)*F59+N('参数'!$C$15))/1,6))*1,"预算不足，这笔不做")),"")</f>
        <v/>
      </c>
      <c r="K59" s="36" t="n"/>
      <c r="L59" s="20" t="str">
        <f>IF(AND(ISNUMBER(F59),ISNUMBER(G59),ISNUMBER(K59)),IF(AND(F59&lt;&gt;G59,K59&gt;0),ABS(F59-G59)*K59*1,""),"")</f>
        <v/>
      </c>
      <c r="M59" s="30" t="n"/>
      <c r="N59" s="37" t="str">
        <f>IF(AND(ISNUMBER(L59),ISNUMBER(M59)),IF(E59="空",(G59*(1+'参数'!$C$17)-F59),(F59-G59*(1-'参数'!$C$17)))*K59/L59,"")</f>
        <v/>
      </c>
      <c r="O59" s="38" t="n"/>
      <c r="P59" s="31" t="n"/>
      <c r="Q59" s="32" t="n"/>
      <c r="R59" s="39" t="str">
        <f>IF(N(U59)&gt;0,SUMPRODUCT(LARGE(('成交明细'!$A$5:$A$804=A59)*('成交明细'!$D$5:$D$804=IF(E59="空","卖","买"))*'成交明细'!$B$5:$B$804,COUNTIFS('成交明细'!$A$5:$A$804,A59,'成交明细'!$D$5:$D$804,IF(E59="空","卖","买")))),"")</f>
        <v/>
      </c>
      <c r="S59" s="39" t="str">
        <f>IF(AND(N(U59)&gt;0,N(W59)&gt;=N(U59)),SUMPRODUCT(MAX(('成交明细'!$A$5:$A$804=A59)*('成交明细'!$D$5:$D$804=IF(E59="空","买","卖"))*'成交明细'!$B$5:$B$804)),"")</f>
        <v/>
      </c>
      <c r="T59" s="32" t="n"/>
      <c r="U59" s="35" t="str">
        <f>IF(A59="","",SUMIFS('成交明细'!$F$5:$F$804,'成交明细'!$A$5:$A$804,A59,'成交明细'!$D$5:$D$804,IF(E59="空","卖","买")))</f>
        <v/>
      </c>
      <c r="V59" s="40" t="str">
        <f>IF(N(U59)&gt;0,SUMIFS('成交明细'!$H$5:$H$804,'成交明细'!$A$5:$A$804,A59,'成交明细'!$D$5:$D$804,IF(E59="空","卖","买"))/U59,"")</f>
        <v/>
      </c>
      <c r="W59" s="35" t="str">
        <f>IF(A59="","",SUMIFS('成交明细'!$F$5:$F$804,'成交明细'!$A$5:$A$804,A59,'成交明细'!$D$5:$D$804,IF(E59="空","买","卖")))</f>
        <v/>
      </c>
      <c r="X59" s="40" t="str">
        <f>IF(N(W59)&gt;0,SUMIFS('成交明细'!$H$5:$H$804,'成交明细'!$A$5:$A$804,A59,'成交明细'!$D$5:$D$804,IF(E59="空","买","卖"))/W59,"")</f>
        <v/>
      </c>
      <c r="Y59" s="41" t="str">
        <f>IF(A59="","",IF(Q59&lt;&gt;"已执行",IF(Q59="","未填执行情况",Q59),IF(N(U59)=0,"待录成交",IF(N(W59)&gt;N(U59),"平仓多于开仓",IF(N(W59)&lt;N(U59),"持仓中","已平仓")))))</f>
        <v/>
      </c>
      <c r="Z59" s="41" t="str">
        <f>IF(AND(ISNUMBER(R59),ISNUMBER(S59)),IF(R59=S59,"日内",""),"")</f>
        <v/>
      </c>
      <c r="AA59" s="42" t="str">
        <f>IF(Z59&lt;&gt;"日内","",COUNTIFS($Z$5:$Z$304,"日内",$S$5:$S$304,"&gt;"&amp;WORKDAY(S59,-5),$S$5:$S$304,"&lt;="&amp;S59))</f>
        <v/>
      </c>
      <c r="AB59" s="41" t="str">
        <f>IF(OR(NOT(ISNUMBER(M59)),NOT(ISNUMBER(R59))),"",IF(AND(M59&gt;=R59,OR(NOT(ISNUMBER(S59)),M59&lt;=S59)),"持仓跨财报",""))</f>
        <v/>
      </c>
      <c r="AC59" s="20">
        <f>IF(AND(E59="空",ISNUMBER(O59),ISNUMBER(S59)),ROUND(O59*(S59-R59)/360*V59*U59,2),0)</f>
        <v>0</v>
      </c>
      <c r="AD59" s="43" t="str">
        <f>IF(N(U59)=0,"",SUMIFS('成交明细'!$L$5:$L$804,'成交明细'!$A$5:$A$804,A59)+AC59)</f>
        <v/>
      </c>
      <c r="AE59" s="44" t="str">
        <f>IF(Y59&lt;&gt;"已平仓","",(SUMIFS('成交明细'!$H$5:$H$804,'成交明细'!$A$5:$A$804,A59,'成交明细'!$D$5:$D$804,"卖")-SUMIFS('成交明细'!$H$5:$H$804,'成交明细'!$A$5:$A$804,A59,'成交明细'!$D$5:$D$804,"买"))*1-AD59)</f>
        <v/>
      </c>
      <c r="AF59" s="45" t="str">
        <f>IF(AND(Y59="已平仓",ISNUMBER(L59)),(SUMIFS('成交明细'!$H$5:$H$804,'成交明细'!$A$5:$A$804,A59,'成交明细'!$D$5:$D$804,"卖")-SUMIFS('成交明细'!$H$5:$H$804,'成交明细'!$A$5:$A$804,A59,'成交明细'!$D$5:$D$804,"买"))*1/L59,"")</f>
        <v/>
      </c>
      <c r="AG59" s="45" t="str">
        <f>IF(AND(Y59="已平仓",ISNUMBER(L59)),AE59/L59,"")</f>
        <v/>
      </c>
      <c r="AH59" s="46" t="str">
        <f>IF(AND(ISNUMBER(V59),ISNUMBER(F59)),IF(E59="空",F59-V59,V59-F59),"")</f>
        <v/>
      </c>
      <c r="AI59" s="46" t="str">
        <f>IF(OR(NOT(ISNUMBER(AE59)),NOT(ISNUMBER(X59))),"",IF(AE59&lt;0,IF(E59="空",X59-G59,G59-X59),IF(NOT(ISNUMBER(H59)),"",IF(E59="空",X59-H59,H59-X59))))</f>
        <v/>
      </c>
      <c r="AJ59" s="32" t="n"/>
      <c r="AK59" s="32" t="n"/>
      <c r="AL59" s="31" t="n"/>
      <c r="AM59" s="45" t="str">
        <f>IF(A59="","",SUM(AG$5:AG59))</f>
        <v/>
      </c>
      <c r="AN59" s="37" t="str">
        <f>IF(A59="","",MAX(0,MAX(AM$5:AM59))-AM59)</f>
        <v/>
      </c>
    </row>
    <row r="60">
      <c r="A60" s="29" t="n"/>
      <c r="B60" s="30" t="n"/>
      <c r="C60" s="31" t="n"/>
      <c r="D60" s="32" t="n"/>
      <c r="E60" s="32" t="n"/>
      <c r="F60" s="33" t="n"/>
      <c r="G60" s="33" t="n"/>
      <c r="H60" s="33" t="n"/>
      <c r="I60" s="34" t="str">
        <f>IF(AND(ISNUMBER(F60),ISNUMBER(G60),ISNUMBER(H60)),IF(OR(AND(E60="多",F60&gt;G60),AND(E60="空",F60&lt;G60)),ABS(H60-F60)/ABS(F60-G60),"止损方向不对"),"")</f>
        <v/>
      </c>
      <c r="J60" s="35" t="str">
        <f>IF(AND(ISNUMBER(F60),ISNUMBER(G60)),IF(F60=G60,"",IF(INT(ROUND('参数'!$C$7/(ABS(F60-G60)*1+2*'参数'!$C$11+N('参数'!$C$14)*F60+N('参数'!$C$15))/1,6))*1&gt;0,INT(ROUND('参数'!$C$7/(ABS(F60-G60)*1+2*'参数'!$C$11+N('参数'!$C$14)*F60+N('参数'!$C$15))/1,6))*1,"预算不足，这笔不做")),"")</f>
        <v/>
      </c>
      <c r="K60" s="36" t="n"/>
      <c r="L60" s="20" t="str">
        <f>IF(AND(ISNUMBER(F60),ISNUMBER(G60),ISNUMBER(K60)),IF(AND(F60&lt;&gt;G60,K60&gt;0),ABS(F60-G60)*K60*1,""),"")</f>
        <v/>
      </c>
      <c r="M60" s="30" t="n"/>
      <c r="N60" s="37" t="str">
        <f>IF(AND(ISNUMBER(L60),ISNUMBER(M60)),IF(E60="空",(G60*(1+'参数'!$C$17)-F60),(F60-G60*(1-'参数'!$C$17)))*K60/L60,"")</f>
        <v/>
      </c>
      <c r="O60" s="38" t="n"/>
      <c r="P60" s="31" t="n"/>
      <c r="Q60" s="32" t="n"/>
      <c r="R60" s="39" t="str">
        <f>IF(N(U60)&gt;0,SUMPRODUCT(LARGE(('成交明细'!$A$5:$A$804=A60)*('成交明细'!$D$5:$D$804=IF(E60="空","卖","买"))*'成交明细'!$B$5:$B$804,COUNTIFS('成交明细'!$A$5:$A$804,A60,'成交明细'!$D$5:$D$804,IF(E60="空","卖","买")))),"")</f>
        <v/>
      </c>
      <c r="S60" s="39" t="str">
        <f>IF(AND(N(U60)&gt;0,N(W60)&gt;=N(U60)),SUMPRODUCT(MAX(('成交明细'!$A$5:$A$804=A60)*('成交明细'!$D$5:$D$804=IF(E60="空","买","卖"))*'成交明细'!$B$5:$B$804)),"")</f>
        <v/>
      </c>
      <c r="T60" s="32" t="n"/>
      <c r="U60" s="35" t="str">
        <f>IF(A60="","",SUMIFS('成交明细'!$F$5:$F$804,'成交明细'!$A$5:$A$804,A60,'成交明细'!$D$5:$D$804,IF(E60="空","卖","买")))</f>
        <v/>
      </c>
      <c r="V60" s="40" t="str">
        <f>IF(N(U60)&gt;0,SUMIFS('成交明细'!$H$5:$H$804,'成交明细'!$A$5:$A$804,A60,'成交明细'!$D$5:$D$804,IF(E60="空","卖","买"))/U60,"")</f>
        <v/>
      </c>
      <c r="W60" s="35" t="str">
        <f>IF(A60="","",SUMIFS('成交明细'!$F$5:$F$804,'成交明细'!$A$5:$A$804,A60,'成交明细'!$D$5:$D$804,IF(E60="空","买","卖")))</f>
        <v/>
      </c>
      <c r="X60" s="40" t="str">
        <f>IF(N(W60)&gt;0,SUMIFS('成交明细'!$H$5:$H$804,'成交明细'!$A$5:$A$804,A60,'成交明细'!$D$5:$D$804,IF(E60="空","买","卖"))/W60,"")</f>
        <v/>
      </c>
      <c r="Y60" s="41" t="str">
        <f>IF(A60="","",IF(Q60&lt;&gt;"已执行",IF(Q60="","未填执行情况",Q60),IF(N(U60)=0,"待录成交",IF(N(W60)&gt;N(U60),"平仓多于开仓",IF(N(W60)&lt;N(U60),"持仓中","已平仓")))))</f>
        <v/>
      </c>
      <c r="Z60" s="41" t="str">
        <f>IF(AND(ISNUMBER(R60),ISNUMBER(S60)),IF(R60=S60,"日内",""),"")</f>
        <v/>
      </c>
      <c r="AA60" s="42" t="str">
        <f>IF(Z60&lt;&gt;"日内","",COUNTIFS($Z$5:$Z$304,"日内",$S$5:$S$304,"&gt;"&amp;WORKDAY(S60,-5),$S$5:$S$304,"&lt;="&amp;S60))</f>
        <v/>
      </c>
      <c r="AB60" s="41" t="str">
        <f>IF(OR(NOT(ISNUMBER(M60)),NOT(ISNUMBER(R60))),"",IF(AND(M60&gt;=R60,OR(NOT(ISNUMBER(S60)),M60&lt;=S60)),"持仓跨财报",""))</f>
        <v/>
      </c>
      <c r="AC60" s="20">
        <f>IF(AND(E60="空",ISNUMBER(O60),ISNUMBER(S60)),ROUND(O60*(S60-R60)/360*V60*U60,2),0)</f>
        <v>0</v>
      </c>
      <c r="AD60" s="43" t="str">
        <f>IF(N(U60)=0,"",SUMIFS('成交明细'!$L$5:$L$804,'成交明细'!$A$5:$A$804,A60)+AC60)</f>
        <v/>
      </c>
      <c r="AE60" s="44" t="str">
        <f>IF(Y60&lt;&gt;"已平仓","",(SUMIFS('成交明细'!$H$5:$H$804,'成交明细'!$A$5:$A$804,A60,'成交明细'!$D$5:$D$804,"卖")-SUMIFS('成交明细'!$H$5:$H$804,'成交明细'!$A$5:$A$804,A60,'成交明细'!$D$5:$D$804,"买"))*1-AD60)</f>
        <v/>
      </c>
      <c r="AF60" s="45" t="str">
        <f>IF(AND(Y60="已平仓",ISNUMBER(L60)),(SUMIFS('成交明细'!$H$5:$H$804,'成交明细'!$A$5:$A$804,A60,'成交明细'!$D$5:$D$804,"卖")-SUMIFS('成交明细'!$H$5:$H$804,'成交明细'!$A$5:$A$804,A60,'成交明细'!$D$5:$D$804,"买"))*1/L60,"")</f>
        <v/>
      </c>
      <c r="AG60" s="45" t="str">
        <f>IF(AND(Y60="已平仓",ISNUMBER(L60)),AE60/L60,"")</f>
        <v/>
      </c>
      <c r="AH60" s="46" t="str">
        <f>IF(AND(ISNUMBER(V60),ISNUMBER(F60)),IF(E60="空",F60-V60,V60-F60),"")</f>
        <v/>
      </c>
      <c r="AI60" s="46" t="str">
        <f>IF(OR(NOT(ISNUMBER(AE60)),NOT(ISNUMBER(X60))),"",IF(AE60&lt;0,IF(E60="空",X60-G60,G60-X60),IF(NOT(ISNUMBER(H60)),"",IF(E60="空",X60-H60,H60-X60))))</f>
        <v/>
      </c>
      <c r="AJ60" s="32" t="n"/>
      <c r="AK60" s="32" t="n"/>
      <c r="AL60" s="31" t="n"/>
      <c r="AM60" s="45" t="str">
        <f>IF(A60="","",SUM(AG$5:AG60))</f>
        <v/>
      </c>
      <c r="AN60" s="37" t="str">
        <f>IF(A60="","",MAX(0,MAX(AM$5:AM60))-AM60)</f>
        <v/>
      </c>
    </row>
    <row r="61">
      <c r="A61" s="29" t="n"/>
      <c r="B61" s="30" t="n"/>
      <c r="C61" s="31" t="n"/>
      <c r="D61" s="32" t="n"/>
      <c r="E61" s="32" t="n"/>
      <c r="F61" s="33" t="n"/>
      <c r="G61" s="33" t="n"/>
      <c r="H61" s="33" t="n"/>
      <c r="I61" s="34" t="str">
        <f>IF(AND(ISNUMBER(F61),ISNUMBER(G61),ISNUMBER(H61)),IF(OR(AND(E61="多",F61&gt;G61),AND(E61="空",F61&lt;G61)),ABS(H61-F61)/ABS(F61-G61),"止损方向不对"),"")</f>
        <v/>
      </c>
      <c r="J61" s="35" t="str">
        <f>IF(AND(ISNUMBER(F61),ISNUMBER(G61)),IF(F61=G61,"",IF(INT(ROUND('参数'!$C$7/(ABS(F61-G61)*1+2*'参数'!$C$11+N('参数'!$C$14)*F61+N('参数'!$C$15))/1,6))*1&gt;0,INT(ROUND('参数'!$C$7/(ABS(F61-G61)*1+2*'参数'!$C$11+N('参数'!$C$14)*F61+N('参数'!$C$15))/1,6))*1,"预算不足，这笔不做")),"")</f>
        <v/>
      </c>
      <c r="K61" s="36" t="n"/>
      <c r="L61" s="20" t="str">
        <f>IF(AND(ISNUMBER(F61),ISNUMBER(G61),ISNUMBER(K61)),IF(AND(F61&lt;&gt;G61,K61&gt;0),ABS(F61-G61)*K61*1,""),"")</f>
        <v/>
      </c>
      <c r="M61" s="30" t="n"/>
      <c r="N61" s="37" t="str">
        <f>IF(AND(ISNUMBER(L61),ISNUMBER(M61)),IF(E61="空",(G61*(1+'参数'!$C$17)-F61),(F61-G61*(1-'参数'!$C$17)))*K61/L61,"")</f>
        <v/>
      </c>
      <c r="O61" s="38" t="n"/>
      <c r="P61" s="31" t="n"/>
      <c r="Q61" s="32" t="n"/>
      <c r="R61" s="39" t="str">
        <f>IF(N(U61)&gt;0,SUMPRODUCT(LARGE(('成交明细'!$A$5:$A$804=A61)*('成交明细'!$D$5:$D$804=IF(E61="空","卖","买"))*'成交明细'!$B$5:$B$804,COUNTIFS('成交明细'!$A$5:$A$804,A61,'成交明细'!$D$5:$D$804,IF(E61="空","卖","买")))),"")</f>
        <v/>
      </c>
      <c r="S61" s="39" t="str">
        <f>IF(AND(N(U61)&gt;0,N(W61)&gt;=N(U61)),SUMPRODUCT(MAX(('成交明细'!$A$5:$A$804=A61)*('成交明细'!$D$5:$D$804=IF(E61="空","买","卖"))*'成交明细'!$B$5:$B$804)),"")</f>
        <v/>
      </c>
      <c r="T61" s="32" t="n"/>
      <c r="U61" s="35" t="str">
        <f>IF(A61="","",SUMIFS('成交明细'!$F$5:$F$804,'成交明细'!$A$5:$A$804,A61,'成交明细'!$D$5:$D$804,IF(E61="空","卖","买")))</f>
        <v/>
      </c>
      <c r="V61" s="40" t="str">
        <f>IF(N(U61)&gt;0,SUMIFS('成交明细'!$H$5:$H$804,'成交明细'!$A$5:$A$804,A61,'成交明细'!$D$5:$D$804,IF(E61="空","卖","买"))/U61,"")</f>
        <v/>
      </c>
      <c r="W61" s="35" t="str">
        <f>IF(A61="","",SUMIFS('成交明细'!$F$5:$F$804,'成交明细'!$A$5:$A$804,A61,'成交明细'!$D$5:$D$804,IF(E61="空","买","卖")))</f>
        <v/>
      </c>
      <c r="X61" s="40" t="str">
        <f>IF(N(W61)&gt;0,SUMIFS('成交明细'!$H$5:$H$804,'成交明细'!$A$5:$A$804,A61,'成交明细'!$D$5:$D$804,IF(E61="空","买","卖"))/W61,"")</f>
        <v/>
      </c>
      <c r="Y61" s="41" t="str">
        <f>IF(A61="","",IF(Q61&lt;&gt;"已执行",IF(Q61="","未填执行情况",Q61),IF(N(U61)=0,"待录成交",IF(N(W61)&gt;N(U61),"平仓多于开仓",IF(N(W61)&lt;N(U61),"持仓中","已平仓")))))</f>
        <v/>
      </c>
      <c r="Z61" s="41" t="str">
        <f>IF(AND(ISNUMBER(R61),ISNUMBER(S61)),IF(R61=S61,"日内",""),"")</f>
        <v/>
      </c>
      <c r="AA61" s="42" t="str">
        <f>IF(Z61&lt;&gt;"日内","",COUNTIFS($Z$5:$Z$304,"日内",$S$5:$S$304,"&gt;"&amp;WORKDAY(S61,-5),$S$5:$S$304,"&lt;="&amp;S61))</f>
        <v/>
      </c>
      <c r="AB61" s="41" t="str">
        <f>IF(OR(NOT(ISNUMBER(M61)),NOT(ISNUMBER(R61))),"",IF(AND(M61&gt;=R61,OR(NOT(ISNUMBER(S61)),M61&lt;=S61)),"持仓跨财报",""))</f>
        <v/>
      </c>
      <c r="AC61" s="20">
        <f>IF(AND(E61="空",ISNUMBER(O61),ISNUMBER(S61)),ROUND(O61*(S61-R61)/360*V61*U61,2),0)</f>
        <v>0</v>
      </c>
      <c r="AD61" s="43" t="str">
        <f>IF(N(U61)=0,"",SUMIFS('成交明细'!$L$5:$L$804,'成交明细'!$A$5:$A$804,A61)+AC61)</f>
        <v/>
      </c>
      <c r="AE61" s="44" t="str">
        <f>IF(Y61&lt;&gt;"已平仓","",(SUMIFS('成交明细'!$H$5:$H$804,'成交明细'!$A$5:$A$804,A61,'成交明细'!$D$5:$D$804,"卖")-SUMIFS('成交明细'!$H$5:$H$804,'成交明细'!$A$5:$A$804,A61,'成交明细'!$D$5:$D$804,"买"))*1-AD61)</f>
        <v/>
      </c>
      <c r="AF61" s="45" t="str">
        <f>IF(AND(Y61="已平仓",ISNUMBER(L61)),(SUMIFS('成交明细'!$H$5:$H$804,'成交明细'!$A$5:$A$804,A61,'成交明细'!$D$5:$D$804,"卖")-SUMIFS('成交明细'!$H$5:$H$804,'成交明细'!$A$5:$A$804,A61,'成交明细'!$D$5:$D$804,"买"))*1/L61,"")</f>
        <v/>
      </c>
      <c r="AG61" s="45" t="str">
        <f>IF(AND(Y61="已平仓",ISNUMBER(L61)),AE61/L61,"")</f>
        <v/>
      </c>
      <c r="AH61" s="46" t="str">
        <f>IF(AND(ISNUMBER(V61),ISNUMBER(F61)),IF(E61="空",F61-V61,V61-F61),"")</f>
        <v/>
      </c>
      <c r="AI61" s="46" t="str">
        <f>IF(OR(NOT(ISNUMBER(AE61)),NOT(ISNUMBER(X61))),"",IF(AE61&lt;0,IF(E61="空",X61-G61,G61-X61),IF(NOT(ISNUMBER(H61)),"",IF(E61="空",X61-H61,H61-X61))))</f>
        <v/>
      </c>
      <c r="AJ61" s="32" t="n"/>
      <c r="AK61" s="32" t="n"/>
      <c r="AL61" s="31" t="n"/>
      <c r="AM61" s="45" t="str">
        <f>IF(A61="","",SUM(AG$5:AG61))</f>
        <v/>
      </c>
      <c r="AN61" s="37" t="str">
        <f>IF(A61="","",MAX(0,MAX(AM$5:AM61))-AM61)</f>
        <v/>
      </c>
    </row>
    <row r="62">
      <c r="A62" s="29" t="n"/>
      <c r="B62" s="30" t="n"/>
      <c r="C62" s="31" t="n"/>
      <c r="D62" s="32" t="n"/>
      <c r="E62" s="32" t="n"/>
      <c r="F62" s="33" t="n"/>
      <c r="G62" s="33" t="n"/>
      <c r="H62" s="33" t="n"/>
      <c r="I62" s="34" t="str">
        <f>IF(AND(ISNUMBER(F62),ISNUMBER(G62),ISNUMBER(H62)),IF(OR(AND(E62="多",F62&gt;G62),AND(E62="空",F62&lt;G62)),ABS(H62-F62)/ABS(F62-G62),"止损方向不对"),"")</f>
        <v/>
      </c>
      <c r="J62" s="35" t="str">
        <f>IF(AND(ISNUMBER(F62),ISNUMBER(G62)),IF(F62=G62,"",IF(INT(ROUND('参数'!$C$7/(ABS(F62-G62)*1+2*'参数'!$C$11+N('参数'!$C$14)*F62+N('参数'!$C$15))/1,6))*1&gt;0,INT(ROUND('参数'!$C$7/(ABS(F62-G62)*1+2*'参数'!$C$11+N('参数'!$C$14)*F62+N('参数'!$C$15))/1,6))*1,"预算不足，这笔不做")),"")</f>
        <v/>
      </c>
      <c r="K62" s="36" t="n"/>
      <c r="L62" s="20" t="str">
        <f>IF(AND(ISNUMBER(F62),ISNUMBER(G62),ISNUMBER(K62)),IF(AND(F62&lt;&gt;G62,K62&gt;0),ABS(F62-G62)*K62*1,""),"")</f>
        <v/>
      </c>
      <c r="M62" s="30" t="n"/>
      <c r="N62" s="37" t="str">
        <f>IF(AND(ISNUMBER(L62),ISNUMBER(M62)),IF(E62="空",(G62*(1+'参数'!$C$17)-F62),(F62-G62*(1-'参数'!$C$17)))*K62/L62,"")</f>
        <v/>
      </c>
      <c r="O62" s="38" t="n"/>
      <c r="P62" s="31" t="n"/>
      <c r="Q62" s="32" t="n"/>
      <c r="R62" s="39" t="str">
        <f>IF(N(U62)&gt;0,SUMPRODUCT(LARGE(('成交明细'!$A$5:$A$804=A62)*('成交明细'!$D$5:$D$804=IF(E62="空","卖","买"))*'成交明细'!$B$5:$B$804,COUNTIFS('成交明细'!$A$5:$A$804,A62,'成交明细'!$D$5:$D$804,IF(E62="空","卖","买")))),"")</f>
        <v/>
      </c>
      <c r="S62" s="39" t="str">
        <f>IF(AND(N(U62)&gt;0,N(W62)&gt;=N(U62)),SUMPRODUCT(MAX(('成交明细'!$A$5:$A$804=A62)*('成交明细'!$D$5:$D$804=IF(E62="空","买","卖"))*'成交明细'!$B$5:$B$804)),"")</f>
        <v/>
      </c>
      <c r="T62" s="32" t="n"/>
      <c r="U62" s="35" t="str">
        <f>IF(A62="","",SUMIFS('成交明细'!$F$5:$F$804,'成交明细'!$A$5:$A$804,A62,'成交明细'!$D$5:$D$804,IF(E62="空","卖","买")))</f>
        <v/>
      </c>
      <c r="V62" s="40" t="str">
        <f>IF(N(U62)&gt;0,SUMIFS('成交明细'!$H$5:$H$804,'成交明细'!$A$5:$A$804,A62,'成交明细'!$D$5:$D$804,IF(E62="空","卖","买"))/U62,"")</f>
        <v/>
      </c>
      <c r="W62" s="35" t="str">
        <f>IF(A62="","",SUMIFS('成交明细'!$F$5:$F$804,'成交明细'!$A$5:$A$804,A62,'成交明细'!$D$5:$D$804,IF(E62="空","买","卖")))</f>
        <v/>
      </c>
      <c r="X62" s="40" t="str">
        <f>IF(N(W62)&gt;0,SUMIFS('成交明细'!$H$5:$H$804,'成交明细'!$A$5:$A$804,A62,'成交明细'!$D$5:$D$804,IF(E62="空","买","卖"))/W62,"")</f>
        <v/>
      </c>
      <c r="Y62" s="41" t="str">
        <f>IF(A62="","",IF(Q62&lt;&gt;"已执行",IF(Q62="","未填执行情况",Q62),IF(N(U62)=0,"待录成交",IF(N(W62)&gt;N(U62),"平仓多于开仓",IF(N(W62)&lt;N(U62),"持仓中","已平仓")))))</f>
        <v/>
      </c>
      <c r="Z62" s="41" t="str">
        <f>IF(AND(ISNUMBER(R62),ISNUMBER(S62)),IF(R62=S62,"日内",""),"")</f>
        <v/>
      </c>
      <c r="AA62" s="42" t="str">
        <f>IF(Z62&lt;&gt;"日内","",COUNTIFS($Z$5:$Z$304,"日内",$S$5:$S$304,"&gt;"&amp;WORKDAY(S62,-5),$S$5:$S$304,"&lt;="&amp;S62))</f>
        <v/>
      </c>
      <c r="AB62" s="41" t="str">
        <f>IF(OR(NOT(ISNUMBER(M62)),NOT(ISNUMBER(R62))),"",IF(AND(M62&gt;=R62,OR(NOT(ISNUMBER(S62)),M62&lt;=S62)),"持仓跨财报",""))</f>
        <v/>
      </c>
      <c r="AC62" s="20">
        <f>IF(AND(E62="空",ISNUMBER(O62),ISNUMBER(S62)),ROUND(O62*(S62-R62)/360*V62*U62,2),0)</f>
        <v>0</v>
      </c>
      <c r="AD62" s="43" t="str">
        <f>IF(N(U62)=0,"",SUMIFS('成交明细'!$L$5:$L$804,'成交明细'!$A$5:$A$804,A62)+AC62)</f>
        <v/>
      </c>
      <c r="AE62" s="44" t="str">
        <f>IF(Y62&lt;&gt;"已平仓","",(SUMIFS('成交明细'!$H$5:$H$804,'成交明细'!$A$5:$A$804,A62,'成交明细'!$D$5:$D$804,"卖")-SUMIFS('成交明细'!$H$5:$H$804,'成交明细'!$A$5:$A$804,A62,'成交明细'!$D$5:$D$804,"买"))*1-AD62)</f>
        <v/>
      </c>
      <c r="AF62" s="45" t="str">
        <f>IF(AND(Y62="已平仓",ISNUMBER(L62)),(SUMIFS('成交明细'!$H$5:$H$804,'成交明细'!$A$5:$A$804,A62,'成交明细'!$D$5:$D$804,"卖")-SUMIFS('成交明细'!$H$5:$H$804,'成交明细'!$A$5:$A$804,A62,'成交明细'!$D$5:$D$804,"买"))*1/L62,"")</f>
        <v/>
      </c>
      <c r="AG62" s="45" t="str">
        <f>IF(AND(Y62="已平仓",ISNUMBER(L62)),AE62/L62,"")</f>
        <v/>
      </c>
      <c r="AH62" s="46" t="str">
        <f>IF(AND(ISNUMBER(V62),ISNUMBER(F62)),IF(E62="空",F62-V62,V62-F62),"")</f>
        <v/>
      </c>
      <c r="AI62" s="46" t="str">
        <f>IF(OR(NOT(ISNUMBER(AE62)),NOT(ISNUMBER(X62))),"",IF(AE62&lt;0,IF(E62="空",X62-G62,G62-X62),IF(NOT(ISNUMBER(H62)),"",IF(E62="空",X62-H62,H62-X62))))</f>
        <v/>
      </c>
      <c r="AJ62" s="32" t="n"/>
      <c r="AK62" s="32" t="n"/>
      <c r="AL62" s="31" t="n"/>
      <c r="AM62" s="45" t="str">
        <f>IF(A62="","",SUM(AG$5:AG62))</f>
        <v/>
      </c>
      <c r="AN62" s="37" t="str">
        <f>IF(A62="","",MAX(0,MAX(AM$5:AM62))-AM62)</f>
        <v/>
      </c>
    </row>
    <row r="63">
      <c r="A63" s="29" t="n"/>
      <c r="B63" s="30" t="n"/>
      <c r="C63" s="31" t="n"/>
      <c r="D63" s="32" t="n"/>
      <c r="E63" s="32" t="n"/>
      <c r="F63" s="33" t="n"/>
      <c r="G63" s="33" t="n"/>
      <c r="H63" s="33" t="n"/>
      <c r="I63" s="34" t="str">
        <f>IF(AND(ISNUMBER(F63),ISNUMBER(G63),ISNUMBER(H63)),IF(OR(AND(E63="多",F63&gt;G63),AND(E63="空",F63&lt;G63)),ABS(H63-F63)/ABS(F63-G63),"止损方向不对"),"")</f>
        <v/>
      </c>
      <c r="J63" s="35" t="str">
        <f>IF(AND(ISNUMBER(F63),ISNUMBER(G63)),IF(F63=G63,"",IF(INT(ROUND('参数'!$C$7/(ABS(F63-G63)*1+2*'参数'!$C$11+N('参数'!$C$14)*F63+N('参数'!$C$15))/1,6))*1&gt;0,INT(ROUND('参数'!$C$7/(ABS(F63-G63)*1+2*'参数'!$C$11+N('参数'!$C$14)*F63+N('参数'!$C$15))/1,6))*1,"预算不足，这笔不做")),"")</f>
        <v/>
      </c>
      <c r="K63" s="36" t="n"/>
      <c r="L63" s="20" t="str">
        <f>IF(AND(ISNUMBER(F63),ISNUMBER(G63),ISNUMBER(K63)),IF(AND(F63&lt;&gt;G63,K63&gt;0),ABS(F63-G63)*K63*1,""),"")</f>
        <v/>
      </c>
      <c r="M63" s="30" t="n"/>
      <c r="N63" s="37" t="str">
        <f>IF(AND(ISNUMBER(L63),ISNUMBER(M63)),IF(E63="空",(G63*(1+'参数'!$C$17)-F63),(F63-G63*(1-'参数'!$C$17)))*K63/L63,"")</f>
        <v/>
      </c>
      <c r="O63" s="38" t="n"/>
      <c r="P63" s="31" t="n"/>
      <c r="Q63" s="32" t="n"/>
      <c r="R63" s="39" t="str">
        <f>IF(N(U63)&gt;0,SUMPRODUCT(LARGE(('成交明细'!$A$5:$A$804=A63)*('成交明细'!$D$5:$D$804=IF(E63="空","卖","买"))*'成交明细'!$B$5:$B$804,COUNTIFS('成交明细'!$A$5:$A$804,A63,'成交明细'!$D$5:$D$804,IF(E63="空","卖","买")))),"")</f>
        <v/>
      </c>
      <c r="S63" s="39" t="str">
        <f>IF(AND(N(U63)&gt;0,N(W63)&gt;=N(U63)),SUMPRODUCT(MAX(('成交明细'!$A$5:$A$804=A63)*('成交明细'!$D$5:$D$804=IF(E63="空","买","卖"))*'成交明细'!$B$5:$B$804)),"")</f>
        <v/>
      </c>
      <c r="T63" s="32" t="n"/>
      <c r="U63" s="35" t="str">
        <f>IF(A63="","",SUMIFS('成交明细'!$F$5:$F$804,'成交明细'!$A$5:$A$804,A63,'成交明细'!$D$5:$D$804,IF(E63="空","卖","买")))</f>
        <v/>
      </c>
      <c r="V63" s="40" t="str">
        <f>IF(N(U63)&gt;0,SUMIFS('成交明细'!$H$5:$H$804,'成交明细'!$A$5:$A$804,A63,'成交明细'!$D$5:$D$804,IF(E63="空","卖","买"))/U63,"")</f>
        <v/>
      </c>
      <c r="W63" s="35" t="str">
        <f>IF(A63="","",SUMIFS('成交明细'!$F$5:$F$804,'成交明细'!$A$5:$A$804,A63,'成交明细'!$D$5:$D$804,IF(E63="空","买","卖")))</f>
        <v/>
      </c>
      <c r="X63" s="40" t="str">
        <f>IF(N(W63)&gt;0,SUMIFS('成交明细'!$H$5:$H$804,'成交明细'!$A$5:$A$804,A63,'成交明细'!$D$5:$D$804,IF(E63="空","买","卖"))/W63,"")</f>
        <v/>
      </c>
      <c r="Y63" s="41" t="str">
        <f>IF(A63="","",IF(Q63&lt;&gt;"已执行",IF(Q63="","未填执行情况",Q63),IF(N(U63)=0,"待录成交",IF(N(W63)&gt;N(U63),"平仓多于开仓",IF(N(W63)&lt;N(U63),"持仓中","已平仓")))))</f>
        <v/>
      </c>
      <c r="Z63" s="41" t="str">
        <f>IF(AND(ISNUMBER(R63),ISNUMBER(S63)),IF(R63=S63,"日内",""),"")</f>
        <v/>
      </c>
      <c r="AA63" s="42" t="str">
        <f>IF(Z63&lt;&gt;"日内","",COUNTIFS($Z$5:$Z$304,"日内",$S$5:$S$304,"&gt;"&amp;WORKDAY(S63,-5),$S$5:$S$304,"&lt;="&amp;S63))</f>
        <v/>
      </c>
      <c r="AB63" s="41" t="str">
        <f>IF(OR(NOT(ISNUMBER(M63)),NOT(ISNUMBER(R63))),"",IF(AND(M63&gt;=R63,OR(NOT(ISNUMBER(S63)),M63&lt;=S63)),"持仓跨财报",""))</f>
        <v/>
      </c>
      <c r="AC63" s="20">
        <f>IF(AND(E63="空",ISNUMBER(O63),ISNUMBER(S63)),ROUND(O63*(S63-R63)/360*V63*U63,2),0)</f>
        <v>0</v>
      </c>
      <c r="AD63" s="43" t="str">
        <f>IF(N(U63)=0,"",SUMIFS('成交明细'!$L$5:$L$804,'成交明细'!$A$5:$A$804,A63)+AC63)</f>
        <v/>
      </c>
      <c r="AE63" s="44" t="str">
        <f>IF(Y63&lt;&gt;"已平仓","",(SUMIFS('成交明细'!$H$5:$H$804,'成交明细'!$A$5:$A$804,A63,'成交明细'!$D$5:$D$804,"卖")-SUMIFS('成交明细'!$H$5:$H$804,'成交明细'!$A$5:$A$804,A63,'成交明细'!$D$5:$D$804,"买"))*1-AD63)</f>
        <v/>
      </c>
      <c r="AF63" s="45" t="str">
        <f>IF(AND(Y63="已平仓",ISNUMBER(L63)),(SUMIFS('成交明细'!$H$5:$H$804,'成交明细'!$A$5:$A$804,A63,'成交明细'!$D$5:$D$804,"卖")-SUMIFS('成交明细'!$H$5:$H$804,'成交明细'!$A$5:$A$804,A63,'成交明细'!$D$5:$D$804,"买"))*1/L63,"")</f>
        <v/>
      </c>
      <c r="AG63" s="45" t="str">
        <f>IF(AND(Y63="已平仓",ISNUMBER(L63)),AE63/L63,"")</f>
        <v/>
      </c>
      <c r="AH63" s="46" t="str">
        <f>IF(AND(ISNUMBER(V63),ISNUMBER(F63)),IF(E63="空",F63-V63,V63-F63),"")</f>
        <v/>
      </c>
      <c r="AI63" s="46" t="str">
        <f>IF(OR(NOT(ISNUMBER(AE63)),NOT(ISNUMBER(X63))),"",IF(AE63&lt;0,IF(E63="空",X63-G63,G63-X63),IF(NOT(ISNUMBER(H63)),"",IF(E63="空",X63-H63,H63-X63))))</f>
        <v/>
      </c>
      <c r="AJ63" s="32" t="n"/>
      <c r="AK63" s="32" t="n"/>
      <c r="AL63" s="31" t="n"/>
      <c r="AM63" s="45" t="str">
        <f>IF(A63="","",SUM(AG$5:AG63))</f>
        <v/>
      </c>
      <c r="AN63" s="37" t="str">
        <f>IF(A63="","",MAX(0,MAX(AM$5:AM63))-AM63)</f>
        <v/>
      </c>
    </row>
    <row r="64">
      <c r="A64" s="29" t="n"/>
      <c r="B64" s="30" t="n"/>
      <c r="C64" s="31" t="n"/>
      <c r="D64" s="32" t="n"/>
      <c r="E64" s="32" t="n"/>
      <c r="F64" s="33" t="n"/>
      <c r="G64" s="33" t="n"/>
      <c r="H64" s="33" t="n"/>
      <c r="I64" s="34" t="str">
        <f>IF(AND(ISNUMBER(F64),ISNUMBER(G64),ISNUMBER(H64)),IF(OR(AND(E64="多",F64&gt;G64),AND(E64="空",F64&lt;G64)),ABS(H64-F64)/ABS(F64-G64),"止损方向不对"),"")</f>
        <v/>
      </c>
      <c r="J64" s="35" t="str">
        <f>IF(AND(ISNUMBER(F64),ISNUMBER(G64)),IF(F64=G64,"",IF(INT(ROUND('参数'!$C$7/(ABS(F64-G64)*1+2*'参数'!$C$11+N('参数'!$C$14)*F64+N('参数'!$C$15))/1,6))*1&gt;0,INT(ROUND('参数'!$C$7/(ABS(F64-G64)*1+2*'参数'!$C$11+N('参数'!$C$14)*F64+N('参数'!$C$15))/1,6))*1,"预算不足，这笔不做")),"")</f>
        <v/>
      </c>
      <c r="K64" s="36" t="n"/>
      <c r="L64" s="20" t="str">
        <f>IF(AND(ISNUMBER(F64),ISNUMBER(G64),ISNUMBER(K64)),IF(AND(F64&lt;&gt;G64,K64&gt;0),ABS(F64-G64)*K64*1,""),"")</f>
        <v/>
      </c>
      <c r="M64" s="30" t="n"/>
      <c r="N64" s="37" t="str">
        <f>IF(AND(ISNUMBER(L64),ISNUMBER(M64)),IF(E64="空",(G64*(1+'参数'!$C$17)-F64),(F64-G64*(1-'参数'!$C$17)))*K64/L64,"")</f>
        <v/>
      </c>
      <c r="O64" s="38" t="n"/>
      <c r="P64" s="31" t="n"/>
      <c r="Q64" s="32" t="n"/>
      <c r="R64" s="39" t="str">
        <f>IF(N(U64)&gt;0,SUMPRODUCT(LARGE(('成交明细'!$A$5:$A$804=A64)*('成交明细'!$D$5:$D$804=IF(E64="空","卖","买"))*'成交明细'!$B$5:$B$804,COUNTIFS('成交明细'!$A$5:$A$804,A64,'成交明细'!$D$5:$D$804,IF(E64="空","卖","买")))),"")</f>
        <v/>
      </c>
      <c r="S64" s="39" t="str">
        <f>IF(AND(N(U64)&gt;0,N(W64)&gt;=N(U64)),SUMPRODUCT(MAX(('成交明细'!$A$5:$A$804=A64)*('成交明细'!$D$5:$D$804=IF(E64="空","买","卖"))*'成交明细'!$B$5:$B$804)),"")</f>
        <v/>
      </c>
      <c r="T64" s="32" t="n"/>
      <c r="U64" s="35" t="str">
        <f>IF(A64="","",SUMIFS('成交明细'!$F$5:$F$804,'成交明细'!$A$5:$A$804,A64,'成交明细'!$D$5:$D$804,IF(E64="空","卖","买")))</f>
        <v/>
      </c>
      <c r="V64" s="40" t="str">
        <f>IF(N(U64)&gt;0,SUMIFS('成交明细'!$H$5:$H$804,'成交明细'!$A$5:$A$804,A64,'成交明细'!$D$5:$D$804,IF(E64="空","卖","买"))/U64,"")</f>
        <v/>
      </c>
      <c r="W64" s="35" t="str">
        <f>IF(A64="","",SUMIFS('成交明细'!$F$5:$F$804,'成交明细'!$A$5:$A$804,A64,'成交明细'!$D$5:$D$804,IF(E64="空","买","卖")))</f>
        <v/>
      </c>
      <c r="X64" s="40" t="str">
        <f>IF(N(W64)&gt;0,SUMIFS('成交明细'!$H$5:$H$804,'成交明细'!$A$5:$A$804,A64,'成交明细'!$D$5:$D$804,IF(E64="空","买","卖"))/W64,"")</f>
        <v/>
      </c>
      <c r="Y64" s="41" t="str">
        <f>IF(A64="","",IF(Q64&lt;&gt;"已执行",IF(Q64="","未填执行情况",Q64),IF(N(U64)=0,"待录成交",IF(N(W64)&gt;N(U64),"平仓多于开仓",IF(N(W64)&lt;N(U64),"持仓中","已平仓")))))</f>
        <v/>
      </c>
      <c r="Z64" s="41" t="str">
        <f>IF(AND(ISNUMBER(R64),ISNUMBER(S64)),IF(R64=S64,"日内",""),"")</f>
        <v/>
      </c>
      <c r="AA64" s="42" t="str">
        <f>IF(Z64&lt;&gt;"日内","",COUNTIFS($Z$5:$Z$304,"日内",$S$5:$S$304,"&gt;"&amp;WORKDAY(S64,-5),$S$5:$S$304,"&lt;="&amp;S64))</f>
        <v/>
      </c>
      <c r="AB64" s="41" t="str">
        <f>IF(OR(NOT(ISNUMBER(M64)),NOT(ISNUMBER(R64))),"",IF(AND(M64&gt;=R64,OR(NOT(ISNUMBER(S64)),M64&lt;=S64)),"持仓跨财报",""))</f>
        <v/>
      </c>
      <c r="AC64" s="20">
        <f>IF(AND(E64="空",ISNUMBER(O64),ISNUMBER(S64)),ROUND(O64*(S64-R64)/360*V64*U64,2),0)</f>
        <v>0</v>
      </c>
      <c r="AD64" s="43" t="str">
        <f>IF(N(U64)=0,"",SUMIFS('成交明细'!$L$5:$L$804,'成交明细'!$A$5:$A$804,A64)+AC64)</f>
        <v/>
      </c>
      <c r="AE64" s="44" t="str">
        <f>IF(Y64&lt;&gt;"已平仓","",(SUMIFS('成交明细'!$H$5:$H$804,'成交明细'!$A$5:$A$804,A64,'成交明细'!$D$5:$D$804,"卖")-SUMIFS('成交明细'!$H$5:$H$804,'成交明细'!$A$5:$A$804,A64,'成交明细'!$D$5:$D$804,"买"))*1-AD64)</f>
        <v/>
      </c>
      <c r="AF64" s="45" t="str">
        <f>IF(AND(Y64="已平仓",ISNUMBER(L64)),(SUMIFS('成交明细'!$H$5:$H$804,'成交明细'!$A$5:$A$804,A64,'成交明细'!$D$5:$D$804,"卖")-SUMIFS('成交明细'!$H$5:$H$804,'成交明细'!$A$5:$A$804,A64,'成交明细'!$D$5:$D$804,"买"))*1/L64,"")</f>
        <v/>
      </c>
      <c r="AG64" s="45" t="str">
        <f>IF(AND(Y64="已平仓",ISNUMBER(L64)),AE64/L64,"")</f>
        <v/>
      </c>
      <c r="AH64" s="46" t="str">
        <f>IF(AND(ISNUMBER(V64),ISNUMBER(F64)),IF(E64="空",F64-V64,V64-F64),"")</f>
        <v/>
      </c>
      <c r="AI64" s="46" t="str">
        <f>IF(OR(NOT(ISNUMBER(AE64)),NOT(ISNUMBER(X64))),"",IF(AE64&lt;0,IF(E64="空",X64-G64,G64-X64),IF(NOT(ISNUMBER(H64)),"",IF(E64="空",X64-H64,H64-X64))))</f>
        <v/>
      </c>
      <c r="AJ64" s="32" t="n"/>
      <c r="AK64" s="32" t="n"/>
      <c r="AL64" s="31" t="n"/>
      <c r="AM64" s="45" t="str">
        <f>IF(A64="","",SUM(AG$5:AG64))</f>
        <v/>
      </c>
      <c r="AN64" s="37" t="str">
        <f>IF(A64="","",MAX(0,MAX(AM$5:AM64))-AM64)</f>
        <v/>
      </c>
    </row>
    <row r="65">
      <c r="A65" s="29" t="n"/>
      <c r="B65" s="30" t="n"/>
      <c r="C65" s="31" t="n"/>
      <c r="D65" s="32" t="n"/>
      <c r="E65" s="32" t="n"/>
      <c r="F65" s="33" t="n"/>
      <c r="G65" s="33" t="n"/>
      <c r="H65" s="33" t="n"/>
      <c r="I65" s="34" t="str">
        <f>IF(AND(ISNUMBER(F65),ISNUMBER(G65),ISNUMBER(H65)),IF(OR(AND(E65="多",F65&gt;G65),AND(E65="空",F65&lt;G65)),ABS(H65-F65)/ABS(F65-G65),"止损方向不对"),"")</f>
        <v/>
      </c>
      <c r="J65" s="35" t="str">
        <f>IF(AND(ISNUMBER(F65),ISNUMBER(G65)),IF(F65=G65,"",IF(INT(ROUND('参数'!$C$7/(ABS(F65-G65)*1+2*'参数'!$C$11+N('参数'!$C$14)*F65+N('参数'!$C$15))/1,6))*1&gt;0,INT(ROUND('参数'!$C$7/(ABS(F65-G65)*1+2*'参数'!$C$11+N('参数'!$C$14)*F65+N('参数'!$C$15))/1,6))*1,"预算不足，这笔不做")),"")</f>
        <v/>
      </c>
      <c r="K65" s="36" t="n"/>
      <c r="L65" s="20" t="str">
        <f>IF(AND(ISNUMBER(F65),ISNUMBER(G65),ISNUMBER(K65)),IF(AND(F65&lt;&gt;G65,K65&gt;0),ABS(F65-G65)*K65*1,""),"")</f>
        <v/>
      </c>
      <c r="M65" s="30" t="n"/>
      <c r="N65" s="37" t="str">
        <f>IF(AND(ISNUMBER(L65),ISNUMBER(M65)),IF(E65="空",(G65*(1+'参数'!$C$17)-F65),(F65-G65*(1-'参数'!$C$17)))*K65/L65,"")</f>
        <v/>
      </c>
      <c r="O65" s="38" t="n"/>
      <c r="P65" s="31" t="n"/>
      <c r="Q65" s="32" t="n"/>
      <c r="R65" s="39" t="str">
        <f>IF(N(U65)&gt;0,SUMPRODUCT(LARGE(('成交明细'!$A$5:$A$804=A65)*('成交明细'!$D$5:$D$804=IF(E65="空","卖","买"))*'成交明细'!$B$5:$B$804,COUNTIFS('成交明细'!$A$5:$A$804,A65,'成交明细'!$D$5:$D$804,IF(E65="空","卖","买")))),"")</f>
        <v/>
      </c>
      <c r="S65" s="39" t="str">
        <f>IF(AND(N(U65)&gt;0,N(W65)&gt;=N(U65)),SUMPRODUCT(MAX(('成交明细'!$A$5:$A$804=A65)*('成交明细'!$D$5:$D$804=IF(E65="空","买","卖"))*'成交明细'!$B$5:$B$804)),"")</f>
        <v/>
      </c>
      <c r="T65" s="32" t="n"/>
      <c r="U65" s="35" t="str">
        <f>IF(A65="","",SUMIFS('成交明细'!$F$5:$F$804,'成交明细'!$A$5:$A$804,A65,'成交明细'!$D$5:$D$804,IF(E65="空","卖","买")))</f>
        <v/>
      </c>
      <c r="V65" s="40" t="str">
        <f>IF(N(U65)&gt;0,SUMIFS('成交明细'!$H$5:$H$804,'成交明细'!$A$5:$A$804,A65,'成交明细'!$D$5:$D$804,IF(E65="空","卖","买"))/U65,"")</f>
        <v/>
      </c>
      <c r="W65" s="35" t="str">
        <f>IF(A65="","",SUMIFS('成交明细'!$F$5:$F$804,'成交明细'!$A$5:$A$804,A65,'成交明细'!$D$5:$D$804,IF(E65="空","买","卖")))</f>
        <v/>
      </c>
      <c r="X65" s="40" t="str">
        <f>IF(N(W65)&gt;0,SUMIFS('成交明细'!$H$5:$H$804,'成交明细'!$A$5:$A$804,A65,'成交明细'!$D$5:$D$804,IF(E65="空","买","卖"))/W65,"")</f>
        <v/>
      </c>
      <c r="Y65" s="41" t="str">
        <f>IF(A65="","",IF(Q65&lt;&gt;"已执行",IF(Q65="","未填执行情况",Q65),IF(N(U65)=0,"待录成交",IF(N(W65)&gt;N(U65),"平仓多于开仓",IF(N(W65)&lt;N(U65),"持仓中","已平仓")))))</f>
        <v/>
      </c>
      <c r="Z65" s="41" t="str">
        <f>IF(AND(ISNUMBER(R65),ISNUMBER(S65)),IF(R65=S65,"日内",""),"")</f>
        <v/>
      </c>
      <c r="AA65" s="42" t="str">
        <f>IF(Z65&lt;&gt;"日内","",COUNTIFS($Z$5:$Z$304,"日内",$S$5:$S$304,"&gt;"&amp;WORKDAY(S65,-5),$S$5:$S$304,"&lt;="&amp;S65))</f>
        <v/>
      </c>
      <c r="AB65" s="41" t="str">
        <f>IF(OR(NOT(ISNUMBER(M65)),NOT(ISNUMBER(R65))),"",IF(AND(M65&gt;=R65,OR(NOT(ISNUMBER(S65)),M65&lt;=S65)),"持仓跨财报",""))</f>
        <v/>
      </c>
      <c r="AC65" s="20">
        <f>IF(AND(E65="空",ISNUMBER(O65),ISNUMBER(S65)),ROUND(O65*(S65-R65)/360*V65*U65,2),0)</f>
        <v>0</v>
      </c>
      <c r="AD65" s="43" t="str">
        <f>IF(N(U65)=0,"",SUMIFS('成交明细'!$L$5:$L$804,'成交明细'!$A$5:$A$804,A65)+AC65)</f>
        <v/>
      </c>
      <c r="AE65" s="44" t="str">
        <f>IF(Y65&lt;&gt;"已平仓","",(SUMIFS('成交明细'!$H$5:$H$804,'成交明细'!$A$5:$A$804,A65,'成交明细'!$D$5:$D$804,"卖")-SUMIFS('成交明细'!$H$5:$H$804,'成交明细'!$A$5:$A$804,A65,'成交明细'!$D$5:$D$804,"买"))*1-AD65)</f>
        <v/>
      </c>
      <c r="AF65" s="45" t="str">
        <f>IF(AND(Y65="已平仓",ISNUMBER(L65)),(SUMIFS('成交明细'!$H$5:$H$804,'成交明细'!$A$5:$A$804,A65,'成交明细'!$D$5:$D$804,"卖")-SUMIFS('成交明细'!$H$5:$H$804,'成交明细'!$A$5:$A$804,A65,'成交明细'!$D$5:$D$804,"买"))*1/L65,"")</f>
        <v/>
      </c>
      <c r="AG65" s="45" t="str">
        <f>IF(AND(Y65="已平仓",ISNUMBER(L65)),AE65/L65,"")</f>
        <v/>
      </c>
      <c r="AH65" s="46" t="str">
        <f>IF(AND(ISNUMBER(V65),ISNUMBER(F65)),IF(E65="空",F65-V65,V65-F65),"")</f>
        <v/>
      </c>
      <c r="AI65" s="46" t="str">
        <f>IF(OR(NOT(ISNUMBER(AE65)),NOT(ISNUMBER(X65))),"",IF(AE65&lt;0,IF(E65="空",X65-G65,G65-X65),IF(NOT(ISNUMBER(H65)),"",IF(E65="空",X65-H65,H65-X65))))</f>
        <v/>
      </c>
      <c r="AJ65" s="32" t="n"/>
      <c r="AK65" s="32" t="n"/>
      <c r="AL65" s="31" t="n"/>
      <c r="AM65" s="45" t="str">
        <f>IF(A65="","",SUM(AG$5:AG65))</f>
        <v/>
      </c>
      <c r="AN65" s="37" t="str">
        <f>IF(A65="","",MAX(0,MAX(AM$5:AM65))-AM65)</f>
        <v/>
      </c>
    </row>
    <row r="66">
      <c r="A66" s="29" t="n"/>
      <c r="B66" s="30" t="n"/>
      <c r="C66" s="31" t="n"/>
      <c r="D66" s="32" t="n"/>
      <c r="E66" s="32" t="n"/>
      <c r="F66" s="33" t="n"/>
      <c r="G66" s="33" t="n"/>
      <c r="H66" s="33" t="n"/>
      <c r="I66" s="34" t="str">
        <f>IF(AND(ISNUMBER(F66),ISNUMBER(G66),ISNUMBER(H66)),IF(OR(AND(E66="多",F66&gt;G66),AND(E66="空",F66&lt;G66)),ABS(H66-F66)/ABS(F66-G66),"止损方向不对"),"")</f>
        <v/>
      </c>
      <c r="J66" s="35" t="str">
        <f>IF(AND(ISNUMBER(F66),ISNUMBER(G66)),IF(F66=G66,"",IF(INT(ROUND('参数'!$C$7/(ABS(F66-G66)*1+2*'参数'!$C$11+N('参数'!$C$14)*F66+N('参数'!$C$15))/1,6))*1&gt;0,INT(ROUND('参数'!$C$7/(ABS(F66-G66)*1+2*'参数'!$C$11+N('参数'!$C$14)*F66+N('参数'!$C$15))/1,6))*1,"预算不足，这笔不做")),"")</f>
        <v/>
      </c>
      <c r="K66" s="36" t="n"/>
      <c r="L66" s="20" t="str">
        <f>IF(AND(ISNUMBER(F66),ISNUMBER(G66),ISNUMBER(K66)),IF(AND(F66&lt;&gt;G66,K66&gt;0),ABS(F66-G66)*K66*1,""),"")</f>
        <v/>
      </c>
      <c r="M66" s="30" t="n"/>
      <c r="N66" s="37" t="str">
        <f>IF(AND(ISNUMBER(L66),ISNUMBER(M66)),IF(E66="空",(G66*(1+'参数'!$C$17)-F66),(F66-G66*(1-'参数'!$C$17)))*K66/L66,"")</f>
        <v/>
      </c>
      <c r="O66" s="38" t="n"/>
      <c r="P66" s="31" t="n"/>
      <c r="Q66" s="32" t="n"/>
      <c r="R66" s="39" t="str">
        <f>IF(N(U66)&gt;0,SUMPRODUCT(LARGE(('成交明细'!$A$5:$A$804=A66)*('成交明细'!$D$5:$D$804=IF(E66="空","卖","买"))*'成交明细'!$B$5:$B$804,COUNTIFS('成交明细'!$A$5:$A$804,A66,'成交明细'!$D$5:$D$804,IF(E66="空","卖","买")))),"")</f>
        <v/>
      </c>
      <c r="S66" s="39" t="str">
        <f>IF(AND(N(U66)&gt;0,N(W66)&gt;=N(U66)),SUMPRODUCT(MAX(('成交明细'!$A$5:$A$804=A66)*('成交明细'!$D$5:$D$804=IF(E66="空","买","卖"))*'成交明细'!$B$5:$B$804)),"")</f>
        <v/>
      </c>
      <c r="T66" s="32" t="n"/>
      <c r="U66" s="35" t="str">
        <f>IF(A66="","",SUMIFS('成交明细'!$F$5:$F$804,'成交明细'!$A$5:$A$804,A66,'成交明细'!$D$5:$D$804,IF(E66="空","卖","买")))</f>
        <v/>
      </c>
      <c r="V66" s="40" t="str">
        <f>IF(N(U66)&gt;0,SUMIFS('成交明细'!$H$5:$H$804,'成交明细'!$A$5:$A$804,A66,'成交明细'!$D$5:$D$804,IF(E66="空","卖","买"))/U66,"")</f>
        <v/>
      </c>
      <c r="W66" s="35" t="str">
        <f>IF(A66="","",SUMIFS('成交明细'!$F$5:$F$804,'成交明细'!$A$5:$A$804,A66,'成交明细'!$D$5:$D$804,IF(E66="空","买","卖")))</f>
        <v/>
      </c>
      <c r="X66" s="40" t="str">
        <f>IF(N(W66)&gt;0,SUMIFS('成交明细'!$H$5:$H$804,'成交明细'!$A$5:$A$804,A66,'成交明细'!$D$5:$D$804,IF(E66="空","买","卖"))/W66,"")</f>
        <v/>
      </c>
      <c r="Y66" s="41" t="str">
        <f>IF(A66="","",IF(Q66&lt;&gt;"已执行",IF(Q66="","未填执行情况",Q66),IF(N(U66)=0,"待录成交",IF(N(W66)&gt;N(U66),"平仓多于开仓",IF(N(W66)&lt;N(U66),"持仓中","已平仓")))))</f>
        <v/>
      </c>
      <c r="Z66" s="41" t="str">
        <f>IF(AND(ISNUMBER(R66),ISNUMBER(S66)),IF(R66=S66,"日内",""),"")</f>
        <v/>
      </c>
      <c r="AA66" s="42" t="str">
        <f>IF(Z66&lt;&gt;"日内","",COUNTIFS($Z$5:$Z$304,"日内",$S$5:$S$304,"&gt;"&amp;WORKDAY(S66,-5),$S$5:$S$304,"&lt;="&amp;S66))</f>
        <v/>
      </c>
      <c r="AB66" s="41" t="str">
        <f>IF(OR(NOT(ISNUMBER(M66)),NOT(ISNUMBER(R66))),"",IF(AND(M66&gt;=R66,OR(NOT(ISNUMBER(S66)),M66&lt;=S66)),"持仓跨财报",""))</f>
        <v/>
      </c>
      <c r="AC66" s="20">
        <f>IF(AND(E66="空",ISNUMBER(O66),ISNUMBER(S66)),ROUND(O66*(S66-R66)/360*V66*U66,2),0)</f>
        <v>0</v>
      </c>
      <c r="AD66" s="43" t="str">
        <f>IF(N(U66)=0,"",SUMIFS('成交明细'!$L$5:$L$804,'成交明细'!$A$5:$A$804,A66)+AC66)</f>
        <v/>
      </c>
      <c r="AE66" s="44" t="str">
        <f>IF(Y66&lt;&gt;"已平仓","",(SUMIFS('成交明细'!$H$5:$H$804,'成交明细'!$A$5:$A$804,A66,'成交明细'!$D$5:$D$804,"卖")-SUMIFS('成交明细'!$H$5:$H$804,'成交明细'!$A$5:$A$804,A66,'成交明细'!$D$5:$D$804,"买"))*1-AD66)</f>
        <v/>
      </c>
      <c r="AF66" s="45" t="str">
        <f>IF(AND(Y66="已平仓",ISNUMBER(L66)),(SUMIFS('成交明细'!$H$5:$H$804,'成交明细'!$A$5:$A$804,A66,'成交明细'!$D$5:$D$804,"卖")-SUMIFS('成交明细'!$H$5:$H$804,'成交明细'!$A$5:$A$804,A66,'成交明细'!$D$5:$D$804,"买"))*1/L66,"")</f>
        <v/>
      </c>
      <c r="AG66" s="45" t="str">
        <f>IF(AND(Y66="已平仓",ISNUMBER(L66)),AE66/L66,"")</f>
        <v/>
      </c>
      <c r="AH66" s="46" t="str">
        <f>IF(AND(ISNUMBER(V66),ISNUMBER(F66)),IF(E66="空",F66-V66,V66-F66),"")</f>
        <v/>
      </c>
      <c r="AI66" s="46" t="str">
        <f>IF(OR(NOT(ISNUMBER(AE66)),NOT(ISNUMBER(X66))),"",IF(AE66&lt;0,IF(E66="空",X66-G66,G66-X66),IF(NOT(ISNUMBER(H66)),"",IF(E66="空",X66-H66,H66-X66))))</f>
        <v/>
      </c>
      <c r="AJ66" s="32" t="n"/>
      <c r="AK66" s="32" t="n"/>
      <c r="AL66" s="31" t="n"/>
      <c r="AM66" s="45" t="str">
        <f>IF(A66="","",SUM(AG$5:AG66))</f>
        <v/>
      </c>
      <c r="AN66" s="37" t="str">
        <f>IF(A66="","",MAX(0,MAX(AM$5:AM66))-AM66)</f>
        <v/>
      </c>
    </row>
    <row r="67">
      <c r="A67" s="29" t="n"/>
      <c r="B67" s="30" t="n"/>
      <c r="C67" s="31" t="n"/>
      <c r="D67" s="32" t="n"/>
      <c r="E67" s="32" t="n"/>
      <c r="F67" s="33" t="n"/>
      <c r="G67" s="33" t="n"/>
      <c r="H67" s="33" t="n"/>
      <c r="I67" s="34" t="str">
        <f>IF(AND(ISNUMBER(F67),ISNUMBER(G67),ISNUMBER(H67)),IF(OR(AND(E67="多",F67&gt;G67),AND(E67="空",F67&lt;G67)),ABS(H67-F67)/ABS(F67-G67),"止损方向不对"),"")</f>
        <v/>
      </c>
      <c r="J67" s="35" t="str">
        <f>IF(AND(ISNUMBER(F67),ISNUMBER(G67)),IF(F67=G67,"",IF(INT(ROUND('参数'!$C$7/(ABS(F67-G67)*1+2*'参数'!$C$11+N('参数'!$C$14)*F67+N('参数'!$C$15))/1,6))*1&gt;0,INT(ROUND('参数'!$C$7/(ABS(F67-G67)*1+2*'参数'!$C$11+N('参数'!$C$14)*F67+N('参数'!$C$15))/1,6))*1,"预算不足，这笔不做")),"")</f>
        <v/>
      </c>
      <c r="K67" s="36" t="n"/>
      <c r="L67" s="20" t="str">
        <f>IF(AND(ISNUMBER(F67),ISNUMBER(G67),ISNUMBER(K67)),IF(AND(F67&lt;&gt;G67,K67&gt;0),ABS(F67-G67)*K67*1,""),"")</f>
        <v/>
      </c>
      <c r="M67" s="30" t="n"/>
      <c r="N67" s="37" t="str">
        <f>IF(AND(ISNUMBER(L67),ISNUMBER(M67)),IF(E67="空",(G67*(1+'参数'!$C$17)-F67),(F67-G67*(1-'参数'!$C$17)))*K67/L67,"")</f>
        <v/>
      </c>
      <c r="O67" s="38" t="n"/>
      <c r="P67" s="31" t="n"/>
      <c r="Q67" s="32" t="n"/>
      <c r="R67" s="39" t="str">
        <f>IF(N(U67)&gt;0,SUMPRODUCT(LARGE(('成交明细'!$A$5:$A$804=A67)*('成交明细'!$D$5:$D$804=IF(E67="空","卖","买"))*'成交明细'!$B$5:$B$804,COUNTIFS('成交明细'!$A$5:$A$804,A67,'成交明细'!$D$5:$D$804,IF(E67="空","卖","买")))),"")</f>
        <v/>
      </c>
      <c r="S67" s="39" t="str">
        <f>IF(AND(N(U67)&gt;0,N(W67)&gt;=N(U67)),SUMPRODUCT(MAX(('成交明细'!$A$5:$A$804=A67)*('成交明细'!$D$5:$D$804=IF(E67="空","买","卖"))*'成交明细'!$B$5:$B$804)),"")</f>
        <v/>
      </c>
      <c r="T67" s="32" t="n"/>
      <c r="U67" s="35" t="str">
        <f>IF(A67="","",SUMIFS('成交明细'!$F$5:$F$804,'成交明细'!$A$5:$A$804,A67,'成交明细'!$D$5:$D$804,IF(E67="空","卖","买")))</f>
        <v/>
      </c>
      <c r="V67" s="40" t="str">
        <f>IF(N(U67)&gt;0,SUMIFS('成交明细'!$H$5:$H$804,'成交明细'!$A$5:$A$804,A67,'成交明细'!$D$5:$D$804,IF(E67="空","卖","买"))/U67,"")</f>
        <v/>
      </c>
      <c r="W67" s="35" t="str">
        <f>IF(A67="","",SUMIFS('成交明细'!$F$5:$F$804,'成交明细'!$A$5:$A$804,A67,'成交明细'!$D$5:$D$804,IF(E67="空","买","卖")))</f>
        <v/>
      </c>
      <c r="X67" s="40" t="str">
        <f>IF(N(W67)&gt;0,SUMIFS('成交明细'!$H$5:$H$804,'成交明细'!$A$5:$A$804,A67,'成交明细'!$D$5:$D$804,IF(E67="空","买","卖"))/W67,"")</f>
        <v/>
      </c>
      <c r="Y67" s="41" t="str">
        <f>IF(A67="","",IF(Q67&lt;&gt;"已执行",IF(Q67="","未填执行情况",Q67),IF(N(U67)=0,"待录成交",IF(N(W67)&gt;N(U67),"平仓多于开仓",IF(N(W67)&lt;N(U67),"持仓中","已平仓")))))</f>
        <v/>
      </c>
      <c r="Z67" s="41" t="str">
        <f>IF(AND(ISNUMBER(R67),ISNUMBER(S67)),IF(R67=S67,"日内",""),"")</f>
        <v/>
      </c>
      <c r="AA67" s="42" t="str">
        <f>IF(Z67&lt;&gt;"日内","",COUNTIFS($Z$5:$Z$304,"日内",$S$5:$S$304,"&gt;"&amp;WORKDAY(S67,-5),$S$5:$S$304,"&lt;="&amp;S67))</f>
        <v/>
      </c>
      <c r="AB67" s="41" t="str">
        <f>IF(OR(NOT(ISNUMBER(M67)),NOT(ISNUMBER(R67))),"",IF(AND(M67&gt;=R67,OR(NOT(ISNUMBER(S67)),M67&lt;=S67)),"持仓跨财报",""))</f>
        <v/>
      </c>
      <c r="AC67" s="20">
        <f>IF(AND(E67="空",ISNUMBER(O67),ISNUMBER(S67)),ROUND(O67*(S67-R67)/360*V67*U67,2),0)</f>
        <v>0</v>
      </c>
      <c r="AD67" s="43" t="str">
        <f>IF(N(U67)=0,"",SUMIFS('成交明细'!$L$5:$L$804,'成交明细'!$A$5:$A$804,A67)+AC67)</f>
        <v/>
      </c>
      <c r="AE67" s="44" t="str">
        <f>IF(Y67&lt;&gt;"已平仓","",(SUMIFS('成交明细'!$H$5:$H$804,'成交明细'!$A$5:$A$804,A67,'成交明细'!$D$5:$D$804,"卖")-SUMIFS('成交明细'!$H$5:$H$804,'成交明细'!$A$5:$A$804,A67,'成交明细'!$D$5:$D$804,"买"))*1-AD67)</f>
        <v/>
      </c>
      <c r="AF67" s="45" t="str">
        <f>IF(AND(Y67="已平仓",ISNUMBER(L67)),(SUMIFS('成交明细'!$H$5:$H$804,'成交明细'!$A$5:$A$804,A67,'成交明细'!$D$5:$D$804,"卖")-SUMIFS('成交明细'!$H$5:$H$804,'成交明细'!$A$5:$A$804,A67,'成交明细'!$D$5:$D$804,"买"))*1/L67,"")</f>
        <v/>
      </c>
      <c r="AG67" s="45" t="str">
        <f>IF(AND(Y67="已平仓",ISNUMBER(L67)),AE67/L67,"")</f>
        <v/>
      </c>
      <c r="AH67" s="46" t="str">
        <f>IF(AND(ISNUMBER(V67),ISNUMBER(F67)),IF(E67="空",F67-V67,V67-F67),"")</f>
        <v/>
      </c>
      <c r="AI67" s="46" t="str">
        <f>IF(OR(NOT(ISNUMBER(AE67)),NOT(ISNUMBER(X67))),"",IF(AE67&lt;0,IF(E67="空",X67-G67,G67-X67),IF(NOT(ISNUMBER(H67)),"",IF(E67="空",X67-H67,H67-X67))))</f>
        <v/>
      </c>
      <c r="AJ67" s="32" t="n"/>
      <c r="AK67" s="32" t="n"/>
      <c r="AL67" s="31" t="n"/>
      <c r="AM67" s="45" t="str">
        <f>IF(A67="","",SUM(AG$5:AG67))</f>
        <v/>
      </c>
      <c r="AN67" s="37" t="str">
        <f>IF(A67="","",MAX(0,MAX(AM$5:AM67))-AM67)</f>
        <v/>
      </c>
    </row>
    <row r="68">
      <c r="A68" s="29" t="n"/>
      <c r="B68" s="30" t="n"/>
      <c r="C68" s="31" t="n"/>
      <c r="D68" s="32" t="n"/>
      <c r="E68" s="32" t="n"/>
      <c r="F68" s="33" t="n"/>
      <c r="G68" s="33" t="n"/>
      <c r="H68" s="33" t="n"/>
      <c r="I68" s="34" t="str">
        <f>IF(AND(ISNUMBER(F68),ISNUMBER(G68),ISNUMBER(H68)),IF(OR(AND(E68="多",F68&gt;G68),AND(E68="空",F68&lt;G68)),ABS(H68-F68)/ABS(F68-G68),"止损方向不对"),"")</f>
        <v/>
      </c>
      <c r="J68" s="35" t="str">
        <f>IF(AND(ISNUMBER(F68),ISNUMBER(G68)),IF(F68=G68,"",IF(INT(ROUND('参数'!$C$7/(ABS(F68-G68)*1+2*'参数'!$C$11+N('参数'!$C$14)*F68+N('参数'!$C$15))/1,6))*1&gt;0,INT(ROUND('参数'!$C$7/(ABS(F68-G68)*1+2*'参数'!$C$11+N('参数'!$C$14)*F68+N('参数'!$C$15))/1,6))*1,"预算不足，这笔不做")),"")</f>
        <v/>
      </c>
      <c r="K68" s="36" t="n"/>
      <c r="L68" s="20" t="str">
        <f>IF(AND(ISNUMBER(F68),ISNUMBER(G68),ISNUMBER(K68)),IF(AND(F68&lt;&gt;G68,K68&gt;0),ABS(F68-G68)*K68*1,""),"")</f>
        <v/>
      </c>
      <c r="M68" s="30" t="n"/>
      <c r="N68" s="37" t="str">
        <f>IF(AND(ISNUMBER(L68),ISNUMBER(M68)),IF(E68="空",(G68*(1+'参数'!$C$17)-F68),(F68-G68*(1-'参数'!$C$17)))*K68/L68,"")</f>
        <v/>
      </c>
      <c r="O68" s="38" t="n"/>
      <c r="P68" s="31" t="n"/>
      <c r="Q68" s="32" t="n"/>
      <c r="R68" s="39" t="str">
        <f>IF(N(U68)&gt;0,SUMPRODUCT(LARGE(('成交明细'!$A$5:$A$804=A68)*('成交明细'!$D$5:$D$804=IF(E68="空","卖","买"))*'成交明细'!$B$5:$B$804,COUNTIFS('成交明细'!$A$5:$A$804,A68,'成交明细'!$D$5:$D$804,IF(E68="空","卖","买")))),"")</f>
        <v/>
      </c>
      <c r="S68" s="39" t="str">
        <f>IF(AND(N(U68)&gt;0,N(W68)&gt;=N(U68)),SUMPRODUCT(MAX(('成交明细'!$A$5:$A$804=A68)*('成交明细'!$D$5:$D$804=IF(E68="空","买","卖"))*'成交明细'!$B$5:$B$804)),"")</f>
        <v/>
      </c>
      <c r="T68" s="32" t="n"/>
      <c r="U68" s="35" t="str">
        <f>IF(A68="","",SUMIFS('成交明细'!$F$5:$F$804,'成交明细'!$A$5:$A$804,A68,'成交明细'!$D$5:$D$804,IF(E68="空","卖","买")))</f>
        <v/>
      </c>
      <c r="V68" s="40" t="str">
        <f>IF(N(U68)&gt;0,SUMIFS('成交明细'!$H$5:$H$804,'成交明细'!$A$5:$A$804,A68,'成交明细'!$D$5:$D$804,IF(E68="空","卖","买"))/U68,"")</f>
        <v/>
      </c>
      <c r="W68" s="35" t="str">
        <f>IF(A68="","",SUMIFS('成交明细'!$F$5:$F$804,'成交明细'!$A$5:$A$804,A68,'成交明细'!$D$5:$D$804,IF(E68="空","买","卖")))</f>
        <v/>
      </c>
      <c r="X68" s="40" t="str">
        <f>IF(N(W68)&gt;0,SUMIFS('成交明细'!$H$5:$H$804,'成交明细'!$A$5:$A$804,A68,'成交明细'!$D$5:$D$804,IF(E68="空","买","卖"))/W68,"")</f>
        <v/>
      </c>
      <c r="Y68" s="41" t="str">
        <f>IF(A68="","",IF(Q68&lt;&gt;"已执行",IF(Q68="","未填执行情况",Q68),IF(N(U68)=0,"待录成交",IF(N(W68)&gt;N(U68),"平仓多于开仓",IF(N(W68)&lt;N(U68),"持仓中","已平仓")))))</f>
        <v/>
      </c>
      <c r="Z68" s="41" t="str">
        <f>IF(AND(ISNUMBER(R68),ISNUMBER(S68)),IF(R68=S68,"日内",""),"")</f>
        <v/>
      </c>
      <c r="AA68" s="42" t="str">
        <f>IF(Z68&lt;&gt;"日内","",COUNTIFS($Z$5:$Z$304,"日内",$S$5:$S$304,"&gt;"&amp;WORKDAY(S68,-5),$S$5:$S$304,"&lt;="&amp;S68))</f>
        <v/>
      </c>
      <c r="AB68" s="41" t="str">
        <f>IF(OR(NOT(ISNUMBER(M68)),NOT(ISNUMBER(R68))),"",IF(AND(M68&gt;=R68,OR(NOT(ISNUMBER(S68)),M68&lt;=S68)),"持仓跨财报",""))</f>
        <v/>
      </c>
      <c r="AC68" s="20">
        <f>IF(AND(E68="空",ISNUMBER(O68),ISNUMBER(S68)),ROUND(O68*(S68-R68)/360*V68*U68,2),0)</f>
        <v>0</v>
      </c>
      <c r="AD68" s="43" t="str">
        <f>IF(N(U68)=0,"",SUMIFS('成交明细'!$L$5:$L$804,'成交明细'!$A$5:$A$804,A68)+AC68)</f>
        <v/>
      </c>
      <c r="AE68" s="44" t="str">
        <f>IF(Y68&lt;&gt;"已平仓","",(SUMIFS('成交明细'!$H$5:$H$804,'成交明细'!$A$5:$A$804,A68,'成交明细'!$D$5:$D$804,"卖")-SUMIFS('成交明细'!$H$5:$H$804,'成交明细'!$A$5:$A$804,A68,'成交明细'!$D$5:$D$804,"买"))*1-AD68)</f>
        <v/>
      </c>
      <c r="AF68" s="45" t="str">
        <f>IF(AND(Y68="已平仓",ISNUMBER(L68)),(SUMIFS('成交明细'!$H$5:$H$804,'成交明细'!$A$5:$A$804,A68,'成交明细'!$D$5:$D$804,"卖")-SUMIFS('成交明细'!$H$5:$H$804,'成交明细'!$A$5:$A$804,A68,'成交明细'!$D$5:$D$804,"买"))*1/L68,"")</f>
        <v/>
      </c>
      <c r="AG68" s="45" t="str">
        <f>IF(AND(Y68="已平仓",ISNUMBER(L68)),AE68/L68,"")</f>
        <v/>
      </c>
      <c r="AH68" s="46" t="str">
        <f>IF(AND(ISNUMBER(V68),ISNUMBER(F68)),IF(E68="空",F68-V68,V68-F68),"")</f>
        <v/>
      </c>
      <c r="AI68" s="46" t="str">
        <f>IF(OR(NOT(ISNUMBER(AE68)),NOT(ISNUMBER(X68))),"",IF(AE68&lt;0,IF(E68="空",X68-G68,G68-X68),IF(NOT(ISNUMBER(H68)),"",IF(E68="空",X68-H68,H68-X68))))</f>
        <v/>
      </c>
      <c r="AJ68" s="32" t="n"/>
      <c r="AK68" s="32" t="n"/>
      <c r="AL68" s="31" t="n"/>
      <c r="AM68" s="45" t="str">
        <f>IF(A68="","",SUM(AG$5:AG68))</f>
        <v/>
      </c>
      <c r="AN68" s="37" t="str">
        <f>IF(A68="","",MAX(0,MAX(AM$5:AM68))-AM68)</f>
        <v/>
      </c>
    </row>
    <row r="69">
      <c r="A69" s="29" t="n"/>
      <c r="B69" s="30" t="n"/>
      <c r="C69" s="31" t="n"/>
      <c r="D69" s="32" t="n"/>
      <c r="E69" s="32" t="n"/>
      <c r="F69" s="33" t="n"/>
      <c r="G69" s="33" t="n"/>
      <c r="H69" s="33" t="n"/>
      <c r="I69" s="34" t="str">
        <f>IF(AND(ISNUMBER(F69),ISNUMBER(G69),ISNUMBER(H69)),IF(OR(AND(E69="多",F69&gt;G69),AND(E69="空",F69&lt;G69)),ABS(H69-F69)/ABS(F69-G69),"止损方向不对"),"")</f>
        <v/>
      </c>
      <c r="J69" s="35" t="str">
        <f>IF(AND(ISNUMBER(F69),ISNUMBER(G69)),IF(F69=G69,"",IF(INT(ROUND('参数'!$C$7/(ABS(F69-G69)*1+2*'参数'!$C$11+N('参数'!$C$14)*F69+N('参数'!$C$15))/1,6))*1&gt;0,INT(ROUND('参数'!$C$7/(ABS(F69-G69)*1+2*'参数'!$C$11+N('参数'!$C$14)*F69+N('参数'!$C$15))/1,6))*1,"预算不足，这笔不做")),"")</f>
        <v/>
      </c>
      <c r="K69" s="36" t="n"/>
      <c r="L69" s="20" t="str">
        <f>IF(AND(ISNUMBER(F69),ISNUMBER(G69),ISNUMBER(K69)),IF(AND(F69&lt;&gt;G69,K69&gt;0),ABS(F69-G69)*K69*1,""),"")</f>
        <v/>
      </c>
      <c r="M69" s="30" t="n"/>
      <c r="N69" s="37" t="str">
        <f>IF(AND(ISNUMBER(L69),ISNUMBER(M69)),IF(E69="空",(G69*(1+'参数'!$C$17)-F69),(F69-G69*(1-'参数'!$C$17)))*K69/L69,"")</f>
        <v/>
      </c>
      <c r="O69" s="38" t="n"/>
      <c r="P69" s="31" t="n"/>
      <c r="Q69" s="32" t="n"/>
      <c r="R69" s="39" t="str">
        <f>IF(N(U69)&gt;0,SUMPRODUCT(LARGE(('成交明细'!$A$5:$A$804=A69)*('成交明细'!$D$5:$D$804=IF(E69="空","卖","买"))*'成交明细'!$B$5:$B$804,COUNTIFS('成交明细'!$A$5:$A$804,A69,'成交明细'!$D$5:$D$804,IF(E69="空","卖","买")))),"")</f>
        <v/>
      </c>
      <c r="S69" s="39" t="str">
        <f>IF(AND(N(U69)&gt;0,N(W69)&gt;=N(U69)),SUMPRODUCT(MAX(('成交明细'!$A$5:$A$804=A69)*('成交明细'!$D$5:$D$804=IF(E69="空","买","卖"))*'成交明细'!$B$5:$B$804)),"")</f>
        <v/>
      </c>
      <c r="T69" s="32" t="n"/>
      <c r="U69" s="35" t="str">
        <f>IF(A69="","",SUMIFS('成交明细'!$F$5:$F$804,'成交明细'!$A$5:$A$804,A69,'成交明细'!$D$5:$D$804,IF(E69="空","卖","买")))</f>
        <v/>
      </c>
      <c r="V69" s="40" t="str">
        <f>IF(N(U69)&gt;0,SUMIFS('成交明细'!$H$5:$H$804,'成交明细'!$A$5:$A$804,A69,'成交明细'!$D$5:$D$804,IF(E69="空","卖","买"))/U69,"")</f>
        <v/>
      </c>
      <c r="W69" s="35" t="str">
        <f>IF(A69="","",SUMIFS('成交明细'!$F$5:$F$804,'成交明细'!$A$5:$A$804,A69,'成交明细'!$D$5:$D$804,IF(E69="空","买","卖")))</f>
        <v/>
      </c>
      <c r="X69" s="40" t="str">
        <f>IF(N(W69)&gt;0,SUMIFS('成交明细'!$H$5:$H$804,'成交明细'!$A$5:$A$804,A69,'成交明细'!$D$5:$D$804,IF(E69="空","买","卖"))/W69,"")</f>
        <v/>
      </c>
      <c r="Y69" s="41" t="str">
        <f>IF(A69="","",IF(Q69&lt;&gt;"已执行",IF(Q69="","未填执行情况",Q69),IF(N(U69)=0,"待录成交",IF(N(W69)&gt;N(U69),"平仓多于开仓",IF(N(W69)&lt;N(U69),"持仓中","已平仓")))))</f>
        <v/>
      </c>
      <c r="Z69" s="41" t="str">
        <f>IF(AND(ISNUMBER(R69),ISNUMBER(S69)),IF(R69=S69,"日内",""),"")</f>
        <v/>
      </c>
      <c r="AA69" s="42" t="str">
        <f>IF(Z69&lt;&gt;"日内","",COUNTIFS($Z$5:$Z$304,"日内",$S$5:$S$304,"&gt;"&amp;WORKDAY(S69,-5),$S$5:$S$304,"&lt;="&amp;S69))</f>
        <v/>
      </c>
      <c r="AB69" s="41" t="str">
        <f>IF(OR(NOT(ISNUMBER(M69)),NOT(ISNUMBER(R69))),"",IF(AND(M69&gt;=R69,OR(NOT(ISNUMBER(S69)),M69&lt;=S69)),"持仓跨财报",""))</f>
        <v/>
      </c>
      <c r="AC69" s="20">
        <f>IF(AND(E69="空",ISNUMBER(O69),ISNUMBER(S69)),ROUND(O69*(S69-R69)/360*V69*U69,2),0)</f>
        <v>0</v>
      </c>
      <c r="AD69" s="43" t="str">
        <f>IF(N(U69)=0,"",SUMIFS('成交明细'!$L$5:$L$804,'成交明细'!$A$5:$A$804,A69)+AC69)</f>
        <v/>
      </c>
      <c r="AE69" s="44" t="str">
        <f>IF(Y69&lt;&gt;"已平仓","",(SUMIFS('成交明细'!$H$5:$H$804,'成交明细'!$A$5:$A$804,A69,'成交明细'!$D$5:$D$804,"卖")-SUMIFS('成交明细'!$H$5:$H$804,'成交明细'!$A$5:$A$804,A69,'成交明细'!$D$5:$D$804,"买"))*1-AD69)</f>
        <v/>
      </c>
      <c r="AF69" s="45" t="str">
        <f>IF(AND(Y69="已平仓",ISNUMBER(L69)),(SUMIFS('成交明细'!$H$5:$H$804,'成交明细'!$A$5:$A$804,A69,'成交明细'!$D$5:$D$804,"卖")-SUMIFS('成交明细'!$H$5:$H$804,'成交明细'!$A$5:$A$804,A69,'成交明细'!$D$5:$D$804,"买"))*1/L69,"")</f>
        <v/>
      </c>
      <c r="AG69" s="45" t="str">
        <f>IF(AND(Y69="已平仓",ISNUMBER(L69)),AE69/L69,"")</f>
        <v/>
      </c>
      <c r="AH69" s="46" t="str">
        <f>IF(AND(ISNUMBER(V69),ISNUMBER(F69)),IF(E69="空",F69-V69,V69-F69),"")</f>
        <v/>
      </c>
      <c r="AI69" s="46" t="str">
        <f>IF(OR(NOT(ISNUMBER(AE69)),NOT(ISNUMBER(X69))),"",IF(AE69&lt;0,IF(E69="空",X69-G69,G69-X69),IF(NOT(ISNUMBER(H69)),"",IF(E69="空",X69-H69,H69-X69))))</f>
        <v/>
      </c>
      <c r="AJ69" s="32" t="n"/>
      <c r="AK69" s="32" t="n"/>
      <c r="AL69" s="31" t="n"/>
      <c r="AM69" s="45" t="str">
        <f>IF(A69="","",SUM(AG$5:AG69))</f>
        <v/>
      </c>
      <c r="AN69" s="37" t="str">
        <f>IF(A69="","",MAX(0,MAX(AM$5:AM69))-AM69)</f>
        <v/>
      </c>
    </row>
    <row r="70">
      <c r="A70" s="29" t="n"/>
      <c r="B70" s="30" t="n"/>
      <c r="C70" s="31" t="n"/>
      <c r="D70" s="32" t="n"/>
      <c r="E70" s="32" t="n"/>
      <c r="F70" s="33" t="n"/>
      <c r="G70" s="33" t="n"/>
      <c r="H70" s="33" t="n"/>
      <c r="I70" s="34" t="str">
        <f>IF(AND(ISNUMBER(F70),ISNUMBER(G70),ISNUMBER(H70)),IF(OR(AND(E70="多",F70&gt;G70),AND(E70="空",F70&lt;G70)),ABS(H70-F70)/ABS(F70-G70),"止损方向不对"),"")</f>
        <v/>
      </c>
      <c r="J70" s="35" t="str">
        <f>IF(AND(ISNUMBER(F70),ISNUMBER(G70)),IF(F70=G70,"",IF(INT(ROUND('参数'!$C$7/(ABS(F70-G70)*1+2*'参数'!$C$11+N('参数'!$C$14)*F70+N('参数'!$C$15))/1,6))*1&gt;0,INT(ROUND('参数'!$C$7/(ABS(F70-G70)*1+2*'参数'!$C$11+N('参数'!$C$14)*F70+N('参数'!$C$15))/1,6))*1,"预算不足，这笔不做")),"")</f>
        <v/>
      </c>
      <c r="K70" s="36" t="n"/>
      <c r="L70" s="20" t="str">
        <f>IF(AND(ISNUMBER(F70),ISNUMBER(G70),ISNUMBER(K70)),IF(AND(F70&lt;&gt;G70,K70&gt;0),ABS(F70-G70)*K70*1,""),"")</f>
        <v/>
      </c>
      <c r="M70" s="30" t="n"/>
      <c r="N70" s="37" t="str">
        <f>IF(AND(ISNUMBER(L70),ISNUMBER(M70)),IF(E70="空",(G70*(1+'参数'!$C$17)-F70),(F70-G70*(1-'参数'!$C$17)))*K70/L70,"")</f>
        <v/>
      </c>
      <c r="O70" s="38" t="n"/>
      <c r="P70" s="31" t="n"/>
      <c r="Q70" s="32" t="n"/>
      <c r="R70" s="39" t="str">
        <f>IF(N(U70)&gt;0,SUMPRODUCT(LARGE(('成交明细'!$A$5:$A$804=A70)*('成交明细'!$D$5:$D$804=IF(E70="空","卖","买"))*'成交明细'!$B$5:$B$804,COUNTIFS('成交明细'!$A$5:$A$804,A70,'成交明细'!$D$5:$D$804,IF(E70="空","卖","买")))),"")</f>
        <v/>
      </c>
      <c r="S70" s="39" t="str">
        <f>IF(AND(N(U70)&gt;0,N(W70)&gt;=N(U70)),SUMPRODUCT(MAX(('成交明细'!$A$5:$A$804=A70)*('成交明细'!$D$5:$D$804=IF(E70="空","买","卖"))*'成交明细'!$B$5:$B$804)),"")</f>
        <v/>
      </c>
      <c r="T70" s="32" t="n"/>
      <c r="U70" s="35" t="str">
        <f>IF(A70="","",SUMIFS('成交明细'!$F$5:$F$804,'成交明细'!$A$5:$A$804,A70,'成交明细'!$D$5:$D$804,IF(E70="空","卖","买")))</f>
        <v/>
      </c>
      <c r="V70" s="40" t="str">
        <f>IF(N(U70)&gt;0,SUMIFS('成交明细'!$H$5:$H$804,'成交明细'!$A$5:$A$804,A70,'成交明细'!$D$5:$D$804,IF(E70="空","卖","买"))/U70,"")</f>
        <v/>
      </c>
      <c r="W70" s="35" t="str">
        <f>IF(A70="","",SUMIFS('成交明细'!$F$5:$F$804,'成交明细'!$A$5:$A$804,A70,'成交明细'!$D$5:$D$804,IF(E70="空","买","卖")))</f>
        <v/>
      </c>
      <c r="X70" s="40" t="str">
        <f>IF(N(W70)&gt;0,SUMIFS('成交明细'!$H$5:$H$804,'成交明细'!$A$5:$A$804,A70,'成交明细'!$D$5:$D$804,IF(E70="空","买","卖"))/W70,"")</f>
        <v/>
      </c>
      <c r="Y70" s="41" t="str">
        <f>IF(A70="","",IF(Q70&lt;&gt;"已执行",IF(Q70="","未填执行情况",Q70),IF(N(U70)=0,"待录成交",IF(N(W70)&gt;N(U70),"平仓多于开仓",IF(N(W70)&lt;N(U70),"持仓中","已平仓")))))</f>
        <v/>
      </c>
      <c r="Z70" s="41" t="str">
        <f>IF(AND(ISNUMBER(R70),ISNUMBER(S70)),IF(R70=S70,"日内",""),"")</f>
        <v/>
      </c>
      <c r="AA70" s="42" t="str">
        <f>IF(Z70&lt;&gt;"日内","",COUNTIFS($Z$5:$Z$304,"日内",$S$5:$S$304,"&gt;"&amp;WORKDAY(S70,-5),$S$5:$S$304,"&lt;="&amp;S70))</f>
        <v/>
      </c>
      <c r="AB70" s="41" t="str">
        <f>IF(OR(NOT(ISNUMBER(M70)),NOT(ISNUMBER(R70))),"",IF(AND(M70&gt;=R70,OR(NOT(ISNUMBER(S70)),M70&lt;=S70)),"持仓跨财报",""))</f>
        <v/>
      </c>
      <c r="AC70" s="20">
        <f>IF(AND(E70="空",ISNUMBER(O70),ISNUMBER(S70)),ROUND(O70*(S70-R70)/360*V70*U70,2),0)</f>
        <v>0</v>
      </c>
      <c r="AD70" s="43" t="str">
        <f>IF(N(U70)=0,"",SUMIFS('成交明细'!$L$5:$L$804,'成交明细'!$A$5:$A$804,A70)+AC70)</f>
        <v/>
      </c>
      <c r="AE70" s="44" t="str">
        <f>IF(Y70&lt;&gt;"已平仓","",(SUMIFS('成交明细'!$H$5:$H$804,'成交明细'!$A$5:$A$804,A70,'成交明细'!$D$5:$D$804,"卖")-SUMIFS('成交明细'!$H$5:$H$804,'成交明细'!$A$5:$A$804,A70,'成交明细'!$D$5:$D$804,"买"))*1-AD70)</f>
        <v/>
      </c>
      <c r="AF70" s="45" t="str">
        <f>IF(AND(Y70="已平仓",ISNUMBER(L70)),(SUMIFS('成交明细'!$H$5:$H$804,'成交明细'!$A$5:$A$804,A70,'成交明细'!$D$5:$D$804,"卖")-SUMIFS('成交明细'!$H$5:$H$804,'成交明细'!$A$5:$A$804,A70,'成交明细'!$D$5:$D$804,"买"))*1/L70,"")</f>
        <v/>
      </c>
      <c r="AG70" s="45" t="str">
        <f>IF(AND(Y70="已平仓",ISNUMBER(L70)),AE70/L70,"")</f>
        <v/>
      </c>
      <c r="AH70" s="46" t="str">
        <f>IF(AND(ISNUMBER(V70),ISNUMBER(F70)),IF(E70="空",F70-V70,V70-F70),"")</f>
        <v/>
      </c>
      <c r="AI70" s="46" t="str">
        <f>IF(OR(NOT(ISNUMBER(AE70)),NOT(ISNUMBER(X70))),"",IF(AE70&lt;0,IF(E70="空",X70-G70,G70-X70),IF(NOT(ISNUMBER(H70)),"",IF(E70="空",X70-H70,H70-X70))))</f>
        <v/>
      </c>
      <c r="AJ70" s="32" t="n"/>
      <c r="AK70" s="32" t="n"/>
      <c r="AL70" s="31" t="n"/>
      <c r="AM70" s="45" t="str">
        <f>IF(A70="","",SUM(AG$5:AG70))</f>
        <v/>
      </c>
      <c r="AN70" s="37" t="str">
        <f>IF(A70="","",MAX(0,MAX(AM$5:AM70))-AM70)</f>
        <v/>
      </c>
    </row>
    <row r="71">
      <c r="A71" s="29" t="n"/>
      <c r="B71" s="30" t="n"/>
      <c r="C71" s="31" t="n"/>
      <c r="D71" s="32" t="n"/>
      <c r="E71" s="32" t="n"/>
      <c r="F71" s="33" t="n"/>
      <c r="G71" s="33" t="n"/>
      <c r="H71" s="33" t="n"/>
      <c r="I71" s="34" t="str">
        <f>IF(AND(ISNUMBER(F71),ISNUMBER(G71),ISNUMBER(H71)),IF(OR(AND(E71="多",F71&gt;G71),AND(E71="空",F71&lt;G71)),ABS(H71-F71)/ABS(F71-G71),"止损方向不对"),"")</f>
        <v/>
      </c>
      <c r="J71" s="35" t="str">
        <f>IF(AND(ISNUMBER(F71),ISNUMBER(G71)),IF(F71=G71,"",IF(INT(ROUND('参数'!$C$7/(ABS(F71-G71)*1+2*'参数'!$C$11+N('参数'!$C$14)*F71+N('参数'!$C$15))/1,6))*1&gt;0,INT(ROUND('参数'!$C$7/(ABS(F71-G71)*1+2*'参数'!$C$11+N('参数'!$C$14)*F71+N('参数'!$C$15))/1,6))*1,"预算不足，这笔不做")),"")</f>
        <v/>
      </c>
      <c r="K71" s="36" t="n"/>
      <c r="L71" s="20" t="str">
        <f>IF(AND(ISNUMBER(F71),ISNUMBER(G71),ISNUMBER(K71)),IF(AND(F71&lt;&gt;G71,K71&gt;0),ABS(F71-G71)*K71*1,""),"")</f>
        <v/>
      </c>
      <c r="M71" s="30" t="n"/>
      <c r="N71" s="37" t="str">
        <f>IF(AND(ISNUMBER(L71),ISNUMBER(M71)),IF(E71="空",(G71*(1+'参数'!$C$17)-F71),(F71-G71*(1-'参数'!$C$17)))*K71/L71,"")</f>
        <v/>
      </c>
      <c r="O71" s="38" t="n"/>
      <c r="P71" s="31" t="n"/>
      <c r="Q71" s="32" t="n"/>
      <c r="R71" s="39" t="str">
        <f>IF(N(U71)&gt;0,SUMPRODUCT(LARGE(('成交明细'!$A$5:$A$804=A71)*('成交明细'!$D$5:$D$804=IF(E71="空","卖","买"))*'成交明细'!$B$5:$B$804,COUNTIFS('成交明细'!$A$5:$A$804,A71,'成交明细'!$D$5:$D$804,IF(E71="空","卖","买")))),"")</f>
        <v/>
      </c>
      <c r="S71" s="39" t="str">
        <f>IF(AND(N(U71)&gt;0,N(W71)&gt;=N(U71)),SUMPRODUCT(MAX(('成交明细'!$A$5:$A$804=A71)*('成交明细'!$D$5:$D$804=IF(E71="空","买","卖"))*'成交明细'!$B$5:$B$804)),"")</f>
        <v/>
      </c>
      <c r="T71" s="32" t="n"/>
      <c r="U71" s="35" t="str">
        <f>IF(A71="","",SUMIFS('成交明细'!$F$5:$F$804,'成交明细'!$A$5:$A$804,A71,'成交明细'!$D$5:$D$804,IF(E71="空","卖","买")))</f>
        <v/>
      </c>
      <c r="V71" s="40" t="str">
        <f>IF(N(U71)&gt;0,SUMIFS('成交明细'!$H$5:$H$804,'成交明细'!$A$5:$A$804,A71,'成交明细'!$D$5:$D$804,IF(E71="空","卖","买"))/U71,"")</f>
        <v/>
      </c>
      <c r="W71" s="35" t="str">
        <f>IF(A71="","",SUMIFS('成交明细'!$F$5:$F$804,'成交明细'!$A$5:$A$804,A71,'成交明细'!$D$5:$D$804,IF(E71="空","买","卖")))</f>
        <v/>
      </c>
      <c r="X71" s="40" t="str">
        <f>IF(N(W71)&gt;0,SUMIFS('成交明细'!$H$5:$H$804,'成交明细'!$A$5:$A$804,A71,'成交明细'!$D$5:$D$804,IF(E71="空","买","卖"))/W71,"")</f>
        <v/>
      </c>
      <c r="Y71" s="41" t="str">
        <f>IF(A71="","",IF(Q71&lt;&gt;"已执行",IF(Q71="","未填执行情况",Q71),IF(N(U71)=0,"待录成交",IF(N(W71)&gt;N(U71),"平仓多于开仓",IF(N(W71)&lt;N(U71),"持仓中","已平仓")))))</f>
        <v/>
      </c>
      <c r="Z71" s="41" t="str">
        <f>IF(AND(ISNUMBER(R71),ISNUMBER(S71)),IF(R71=S71,"日内",""),"")</f>
        <v/>
      </c>
      <c r="AA71" s="42" t="str">
        <f>IF(Z71&lt;&gt;"日内","",COUNTIFS($Z$5:$Z$304,"日内",$S$5:$S$304,"&gt;"&amp;WORKDAY(S71,-5),$S$5:$S$304,"&lt;="&amp;S71))</f>
        <v/>
      </c>
      <c r="AB71" s="41" t="str">
        <f>IF(OR(NOT(ISNUMBER(M71)),NOT(ISNUMBER(R71))),"",IF(AND(M71&gt;=R71,OR(NOT(ISNUMBER(S71)),M71&lt;=S71)),"持仓跨财报",""))</f>
        <v/>
      </c>
      <c r="AC71" s="20">
        <f>IF(AND(E71="空",ISNUMBER(O71),ISNUMBER(S71)),ROUND(O71*(S71-R71)/360*V71*U71,2),0)</f>
        <v>0</v>
      </c>
      <c r="AD71" s="43" t="str">
        <f>IF(N(U71)=0,"",SUMIFS('成交明细'!$L$5:$L$804,'成交明细'!$A$5:$A$804,A71)+AC71)</f>
        <v/>
      </c>
      <c r="AE71" s="44" t="str">
        <f>IF(Y71&lt;&gt;"已平仓","",(SUMIFS('成交明细'!$H$5:$H$804,'成交明细'!$A$5:$A$804,A71,'成交明细'!$D$5:$D$804,"卖")-SUMIFS('成交明细'!$H$5:$H$804,'成交明细'!$A$5:$A$804,A71,'成交明细'!$D$5:$D$804,"买"))*1-AD71)</f>
        <v/>
      </c>
      <c r="AF71" s="45" t="str">
        <f>IF(AND(Y71="已平仓",ISNUMBER(L71)),(SUMIFS('成交明细'!$H$5:$H$804,'成交明细'!$A$5:$A$804,A71,'成交明细'!$D$5:$D$804,"卖")-SUMIFS('成交明细'!$H$5:$H$804,'成交明细'!$A$5:$A$804,A71,'成交明细'!$D$5:$D$804,"买"))*1/L71,"")</f>
        <v/>
      </c>
      <c r="AG71" s="45" t="str">
        <f>IF(AND(Y71="已平仓",ISNUMBER(L71)),AE71/L71,"")</f>
        <v/>
      </c>
      <c r="AH71" s="46" t="str">
        <f>IF(AND(ISNUMBER(V71),ISNUMBER(F71)),IF(E71="空",F71-V71,V71-F71),"")</f>
        <v/>
      </c>
      <c r="AI71" s="46" t="str">
        <f>IF(OR(NOT(ISNUMBER(AE71)),NOT(ISNUMBER(X71))),"",IF(AE71&lt;0,IF(E71="空",X71-G71,G71-X71),IF(NOT(ISNUMBER(H71)),"",IF(E71="空",X71-H71,H71-X71))))</f>
        <v/>
      </c>
      <c r="AJ71" s="32" t="n"/>
      <c r="AK71" s="32" t="n"/>
      <c r="AL71" s="31" t="n"/>
      <c r="AM71" s="45" t="str">
        <f>IF(A71="","",SUM(AG$5:AG71))</f>
        <v/>
      </c>
      <c r="AN71" s="37" t="str">
        <f>IF(A71="","",MAX(0,MAX(AM$5:AM71))-AM71)</f>
        <v/>
      </c>
    </row>
    <row r="72">
      <c r="A72" s="29" t="n"/>
      <c r="B72" s="30" t="n"/>
      <c r="C72" s="31" t="n"/>
      <c r="D72" s="32" t="n"/>
      <c r="E72" s="32" t="n"/>
      <c r="F72" s="33" t="n"/>
      <c r="G72" s="33" t="n"/>
      <c r="H72" s="33" t="n"/>
      <c r="I72" s="34" t="str">
        <f>IF(AND(ISNUMBER(F72),ISNUMBER(G72),ISNUMBER(H72)),IF(OR(AND(E72="多",F72&gt;G72),AND(E72="空",F72&lt;G72)),ABS(H72-F72)/ABS(F72-G72),"止损方向不对"),"")</f>
        <v/>
      </c>
      <c r="J72" s="35" t="str">
        <f>IF(AND(ISNUMBER(F72),ISNUMBER(G72)),IF(F72=G72,"",IF(INT(ROUND('参数'!$C$7/(ABS(F72-G72)*1+2*'参数'!$C$11+N('参数'!$C$14)*F72+N('参数'!$C$15))/1,6))*1&gt;0,INT(ROUND('参数'!$C$7/(ABS(F72-G72)*1+2*'参数'!$C$11+N('参数'!$C$14)*F72+N('参数'!$C$15))/1,6))*1,"预算不足，这笔不做")),"")</f>
        <v/>
      </c>
      <c r="K72" s="36" t="n"/>
      <c r="L72" s="20" t="str">
        <f>IF(AND(ISNUMBER(F72),ISNUMBER(G72),ISNUMBER(K72)),IF(AND(F72&lt;&gt;G72,K72&gt;0),ABS(F72-G72)*K72*1,""),"")</f>
        <v/>
      </c>
      <c r="M72" s="30" t="n"/>
      <c r="N72" s="37" t="str">
        <f>IF(AND(ISNUMBER(L72),ISNUMBER(M72)),IF(E72="空",(G72*(1+'参数'!$C$17)-F72),(F72-G72*(1-'参数'!$C$17)))*K72/L72,"")</f>
        <v/>
      </c>
      <c r="O72" s="38" t="n"/>
      <c r="P72" s="31" t="n"/>
      <c r="Q72" s="32" t="n"/>
      <c r="R72" s="39" t="str">
        <f>IF(N(U72)&gt;0,SUMPRODUCT(LARGE(('成交明细'!$A$5:$A$804=A72)*('成交明细'!$D$5:$D$804=IF(E72="空","卖","买"))*'成交明细'!$B$5:$B$804,COUNTIFS('成交明细'!$A$5:$A$804,A72,'成交明细'!$D$5:$D$804,IF(E72="空","卖","买")))),"")</f>
        <v/>
      </c>
      <c r="S72" s="39" t="str">
        <f>IF(AND(N(U72)&gt;0,N(W72)&gt;=N(U72)),SUMPRODUCT(MAX(('成交明细'!$A$5:$A$804=A72)*('成交明细'!$D$5:$D$804=IF(E72="空","买","卖"))*'成交明细'!$B$5:$B$804)),"")</f>
        <v/>
      </c>
      <c r="T72" s="32" t="n"/>
      <c r="U72" s="35" t="str">
        <f>IF(A72="","",SUMIFS('成交明细'!$F$5:$F$804,'成交明细'!$A$5:$A$804,A72,'成交明细'!$D$5:$D$804,IF(E72="空","卖","买")))</f>
        <v/>
      </c>
      <c r="V72" s="40" t="str">
        <f>IF(N(U72)&gt;0,SUMIFS('成交明细'!$H$5:$H$804,'成交明细'!$A$5:$A$804,A72,'成交明细'!$D$5:$D$804,IF(E72="空","卖","买"))/U72,"")</f>
        <v/>
      </c>
      <c r="W72" s="35" t="str">
        <f>IF(A72="","",SUMIFS('成交明细'!$F$5:$F$804,'成交明细'!$A$5:$A$804,A72,'成交明细'!$D$5:$D$804,IF(E72="空","买","卖")))</f>
        <v/>
      </c>
      <c r="X72" s="40" t="str">
        <f>IF(N(W72)&gt;0,SUMIFS('成交明细'!$H$5:$H$804,'成交明细'!$A$5:$A$804,A72,'成交明细'!$D$5:$D$804,IF(E72="空","买","卖"))/W72,"")</f>
        <v/>
      </c>
      <c r="Y72" s="41" t="str">
        <f>IF(A72="","",IF(Q72&lt;&gt;"已执行",IF(Q72="","未填执行情况",Q72),IF(N(U72)=0,"待录成交",IF(N(W72)&gt;N(U72),"平仓多于开仓",IF(N(W72)&lt;N(U72),"持仓中","已平仓")))))</f>
        <v/>
      </c>
      <c r="Z72" s="41" t="str">
        <f>IF(AND(ISNUMBER(R72),ISNUMBER(S72)),IF(R72=S72,"日内",""),"")</f>
        <v/>
      </c>
      <c r="AA72" s="42" t="str">
        <f>IF(Z72&lt;&gt;"日内","",COUNTIFS($Z$5:$Z$304,"日内",$S$5:$S$304,"&gt;"&amp;WORKDAY(S72,-5),$S$5:$S$304,"&lt;="&amp;S72))</f>
        <v/>
      </c>
      <c r="AB72" s="41" t="str">
        <f>IF(OR(NOT(ISNUMBER(M72)),NOT(ISNUMBER(R72))),"",IF(AND(M72&gt;=R72,OR(NOT(ISNUMBER(S72)),M72&lt;=S72)),"持仓跨财报",""))</f>
        <v/>
      </c>
      <c r="AC72" s="20">
        <f>IF(AND(E72="空",ISNUMBER(O72),ISNUMBER(S72)),ROUND(O72*(S72-R72)/360*V72*U72,2),0)</f>
        <v>0</v>
      </c>
      <c r="AD72" s="43" t="str">
        <f>IF(N(U72)=0,"",SUMIFS('成交明细'!$L$5:$L$804,'成交明细'!$A$5:$A$804,A72)+AC72)</f>
        <v/>
      </c>
      <c r="AE72" s="44" t="str">
        <f>IF(Y72&lt;&gt;"已平仓","",(SUMIFS('成交明细'!$H$5:$H$804,'成交明细'!$A$5:$A$804,A72,'成交明细'!$D$5:$D$804,"卖")-SUMIFS('成交明细'!$H$5:$H$804,'成交明细'!$A$5:$A$804,A72,'成交明细'!$D$5:$D$804,"买"))*1-AD72)</f>
        <v/>
      </c>
      <c r="AF72" s="45" t="str">
        <f>IF(AND(Y72="已平仓",ISNUMBER(L72)),(SUMIFS('成交明细'!$H$5:$H$804,'成交明细'!$A$5:$A$804,A72,'成交明细'!$D$5:$D$804,"卖")-SUMIFS('成交明细'!$H$5:$H$804,'成交明细'!$A$5:$A$804,A72,'成交明细'!$D$5:$D$804,"买"))*1/L72,"")</f>
        <v/>
      </c>
      <c r="AG72" s="45" t="str">
        <f>IF(AND(Y72="已平仓",ISNUMBER(L72)),AE72/L72,"")</f>
        <v/>
      </c>
      <c r="AH72" s="46" t="str">
        <f>IF(AND(ISNUMBER(V72),ISNUMBER(F72)),IF(E72="空",F72-V72,V72-F72),"")</f>
        <v/>
      </c>
      <c r="AI72" s="46" t="str">
        <f>IF(OR(NOT(ISNUMBER(AE72)),NOT(ISNUMBER(X72))),"",IF(AE72&lt;0,IF(E72="空",X72-G72,G72-X72),IF(NOT(ISNUMBER(H72)),"",IF(E72="空",X72-H72,H72-X72))))</f>
        <v/>
      </c>
      <c r="AJ72" s="32" t="n"/>
      <c r="AK72" s="32" t="n"/>
      <c r="AL72" s="31" t="n"/>
      <c r="AM72" s="45" t="str">
        <f>IF(A72="","",SUM(AG$5:AG72))</f>
        <v/>
      </c>
      <c r="AN72" s="37" t="str">
        <f>IF(A72="","",MAX(0,MAX(AM$5:AM72))-AM72)</f>
        <v/>
      </c>
    </row>
    <row r="73">
      <c r="A73" s="29" t="n"/>
      <c r="B73" s="30" t="n"/>
      <c r="C73" s="31" t="n"/>
      <c r="D73" s="32" t="n"/>
      <c r="E73" s="32" t="n"/>
      <c r="F73" s="33" t="n"/>
      <c r="G73" s="33" t="n"/>
      <c r="H73" s="33" t="n"/>
      <c r="I73" s="34" t="str">
        <f>IF(AND(ISNUMBER(F73),ISNUMBER(G73),ISNUMBER(H73)),IF(OR(AND(E73="多",F73&gt;G73),AND(E73="空",F73&lt;G73)),ABS(H73-F73)/ABS(F73-G73),"止损方向不对"),"")</f>
        <v/>
      </c>
      <c r="J73" s="35" t="str">
        <f>IF(AND(ISNUMBER(F73),ISNUMBER(G73)),IF(F73=G73,"",IF(INT(ROUND('参数'!$C$7/(ABS(F73-G73)*1+2*'参数'!$C$11+N('参数'!$C$14)*F73+N('参数'!$C$15))/1,6))*1&gt;0,INT(ROUND('参数'!$C$7/(ABS(F73-G73)*1+2*'参数'!$C$11+N('参数'!$C$14)*F73+N('参数'!$C$15))/1,6))*1,"预算不足，这笔不做")),"")</f>
        <v/>
      </c>
      <c r="K73" s="36" t="n"/>
      <c r="L73" s="20" t="str">
        <f>IF(AND(ISNUMBER(F73),ISNUMBER(G73),ISNUMBER(K73)),IF(AND(F73&lt;&gt;G73,K73&gt;0),ABS(F73-G73)*K73*1,""),"")</f>
        <v/>
      </c>
      <c r="M73" s="30" t="n"/>
      <c r="N73" s="37" t="str">
        <f>IF(AND(ISNUMBER(L73),ISNUMBER(M73)),IF(E73="空",(G73*(1+'参数'!$C$17)-F73),(F73-G73*(1-'参数'!$C$17)))*K73/L73,"")</f>
        <v/>
      </c>
      <c r="O73" s="38" t="n"/>
      <c r="P73" s="31" t="n"/>
      <c r="Q73" s="32" t="n"/>
      <c r="R73" s="39" t="str">
        <f>IF(N(U73)&gt;0,SUMPRODUCT(LARGE(('成交明细'!$A$5:$A$804=A73)*('成交明细'!$D$5:$D$804=IF(E73="空","卖","买"))*'成交明细'!$B$5:$B$804,COUNTIFS('成交明细'!$A$5:$A$804,A73,'成交明细'!$D$5:$D$804,IF(E73="空","卖","买")))),"")</f>
        <v/>
      </c>
      <c r="S73" s="39" t="str">
        <f>IF(AND(N(U73)&gt;0,N(W73)&gt;=N(U73)),SUMPRODUCT(MAX(('成交明细'!$A$5:$A$804=A73)*('成交明细'!$D$5:$D$804=IF(E73="空","买","卖"))*'成交明细'!$B$5:$B$804)),"")</f>
        <v/>
      </c>
      <c r="T73" s="32" t="n"/>
      <c r="U73" s="35" t="str">
        <f>IF(A73="","",SUMIFS('成交明细'!$F$5:$F$804,'成交明细'!$A$5:$A$804,A73,'成交明细'!$D$5:$D$804,IF(E73="空","卖","买")))</f>
        <v/>
      </c>
      <c r="V73" s="40" t="str">
        <f>IF(N(U73)&gt;0,SUMIFS('成交明细'!$H$5:$H$804,'成交明细'!$A$5:$A$804,A73,'成交明细'!$D$5:$D$804,IF(E73="空","卖","买"))/U73,"")</f>
        <v/>
      </c>
      <c r="W73" s="35" t="str">
        <f>IF(A73="","",SUMIFS('成交明细'!$F$5:$F$804,'成交明细'!$A$5:$A$804,A73,'成交明细'!$D$5:$D$804,IF(E73="空","买","卖")))</f>
        <v/>
      </c>
      <c r="X73" s="40" t="str">
        <f>IF(N(W73)&gt;0,SUMIFS('成交明细'!$H$5:$H$804,'成交明细'!$A$5:$A$804,A73,'成交明细'!$D$5:$D$804,IF(E73="空","买","卖"))/W73,"")</f>
        <v/>
      </c>
      <c r="Y73" s="41" t="str">
        <f>IF(A73="","",IF(Q73&lt;&gt;"已执行",IF(Q73="","未填执行情况",Q73),IF(N(U73)=0,"待录成交",IF(N(W73)&gt;N(U73),"平仓多于开仓",IF(N(W73)&lt;N(U73),"持仓中","已平仓")))))</f>
        <v/>
      </c>
      <c r="Z73" s="41" t="str">
        <f>IF(AND(ISNUMBER(R73),ISNUMBER(S73)),IF(R73=S73,"日内",""),"")</f>
        <v/>
      </c>
      <c r="AA73" s="42" t="str">
        <f>IF(Z73&lt;&gt;"日内","",COUNTIFS($Z$5:$Z$304,"日内",$S$5:$S$304,"&gt;"&amp;WORKDAY(S73,-5),$S$5:$S$304,"&lt;="&amp;S73))</f>
        <v/>
      </c>
      <c r="AB73" s="41" t="str">
        <f>IF(OR(NOT(ISNUMBER(M73)),NOT(ISNUMBER(R73))),"",IF(AND(M73&gt;=R73,OR(NOT(ISNUMBER(S73)),M73&lt;=S73)),"持仓跨财报",""))</f>
        <v/>
      </c>
      <c r="AC73" s="20">
        <f>IF(AND(E73="空",ISNUMBER(O73),ISNUMBER(S73)),ROUND(O73*(S73-R73)/360*V73*U73,2),0)</f>
        <v>0</v>
      </c>
      <c r="AD73" s="43" t="str">
        <f>IF(N(U73)=0,"",SUMIFS('成交明细'!$L$5:$L$804,'成交明细'!$A$5:$A$804,A73)+AC73)</f>
        <v/>
      </c>
      <c r="AE73" s="44" t="str">
        <f>IF(Y73&lt;&gt;"已平仓","",(SUMIFS('成交明细'!$H$5:$H$804,'成交明细'!$A$5:$A$804,A73,'成交明细'!$D$5:$D$804,"卖")-SUMIFS('成交明细'!$H$5:$H$804,'成交明细'!$A$5:$A$804,A73,'成交明细'!$D$5:$D$804,"买"))*1-AD73)</f>
        <v/>
      </c>
      <c r="AF73" s="45" t="str">
        <f>IF(AND(Y73="已平仓",ISNUMBER(L73)),(SUMIFS('成交明细'!$H$5:$H$804,'成交明细'!$A$5:$A$804,A73,'成交明细'!$D$5:$D$804,"卖")-SUMIFS('成交明细'!$H$5:$H$804,'成交明细'!$A$5:$A$804,A73,'成交明细'!$D$5:$D$804,"买"))*1/L73,"")</f>
        <v/>
      </c>
      <c r="AG73" s="45" t="str">
        <f>IF(AND(Y73="已平仓",ISNUMBER(L73)),AE73/L73,"")</f>
        <v/>
      </c>
      <c r="AH73" s="46" t="str">
        <f>IF(AND(ISNUMBER(V73),ISNUMBER(F73)),IF(E73="空",F73-V73,V73-F73),"")</f>
        <v/>
      </c>
      <c r="AI73" s="46" t="str">
        <f>IF(OR(NOT(ISNUMBER(AE73)),NOT(ISNUMBER(X73))),"",IF(AE73&lt;0,IF(E73="空",X73-G73,G73-X73),IF(NOT(ISNUMBER(H73)),"",IF(E73="空",X73-H73,H73-X73))))</f>
        <v/>
      </c>
      <c r="AJ73" s="32" t="n"/>
      <c r="AK73" s="32" t="n"/>
      <c r="AL73" s="31" t="n"/>
      <c r="AM73" s="45" t="str">
        <f>IF(A73="","",SUM(AG$5:AG73))</f>
        <v/>
      </c>
      <c r="AN73" s="37" t="str">
        <f>IF(A73="","",MAX(0,MAX(AM$5:AM73))-AM73)</f>
        <v/>
      </c>
    </row>
    <row r="74">
      <c r="A74" s="29" t="n"/>
      <c r="B74" s="30" t="n"/>
      <c r="C74" s="31" t="n"/>
      <c r="D74" s="32" t="n"/>
      <c r="E74" s="32" t="n"/>
      <c r="F74" s="33" t="n"/>
      <c r="G74" s="33" t="n"/>
      <c r="H74" s="33" t="n"/>
      <c r="I74" s="34" t="str">
        <f>IF(AND(ISNUMBER(F74),ISNUMBER(G74),ISNUMBER(H74)),IF(OR(AND(E74="多",F74&gt;G74),AND(E74="空",F74&lt;G74)),ABS(H74-F74)/ABS(F74-G74),"止损方向不对"),"")</f>
        <v/>
      </c>
      <c r="J74" s="35" t="str">
        <f>IF(AND(ISNUMBER(F74),ISNUMBER(G74)),IF(F74=G74,"",IF(INT(ROUND('参数'!$C$7/(ABS(F74-G74)*1+2*'参数'!$C$11+N('参数'!$C$14)*F74+N('参数'!$C$15))/1,6))*1&gt;0,INT(ROUND('参数'!$C$7/(ABS(F74-G74)*1+2*'参数'!$C$11+N('参数'!$C$14)*F74+N('参数'!$C$15))/1,6))*1,"预算不足，这笔不做")),"")</f>
        <v/>
      </c>
      <c r="K74" s="36" t="n"/>
      <c r="L74" s="20" t="str">
        <f>IF(AND(ISNUMBER(F74),ISNUMBER(G74),ISNUMBER(K74)),IF(AND(F74&lt;&gt;G74,K74&gt;0),ABS(F74-G74)*K74*1,""),"")</f>
        <v/>
      </c>
      <c r="M74" s="30" t="n"/>
      <c r="N74" s="37" t="str">
        <f>IF(AND(ISNUMBER(L74),ISNUMBER(M74)),IF(E74="空",(G74*(1+'参数'!$C$17)-F74),(F74-G74*(1-'参数'!$C$17)))*K74/L74,"")</f>
        <v/>
      </c>
      <c r="O74" s="38" t="n"/>
      <c r="P74" s="31" t="n"/>
      <c r="Q74" s="32" t="n"/>
      <c r="R74" s="39" t="str">
        <f>IF(N(U74)&gt;0,SUMPRODUCT(LARGE(('成交明细'!$A$5:$A$804=A74)*('成交明细'!$D$5:$D$804=IF(E74="空","卖","买"))*'成交明细'!$B$5:$B$804,COUNTIFS('成交明细'!$A$5:$A$804,A74,'成交明细'!$D$5:$D$804,IF(E74="空","卖","买")))),"")</f>
        <v/>
      </c>
      <c r="S74" s="39" t="str">
        <f>IF(AND(N(U74)&gt;0,N(W74)&gt;=N(U74)),SUMPRODUCT(MAX(('成交明细'!$A$5:$A$804=A74)*('成交明细'!$D$5:$D$804=IF(E74="空","买","卖"))*'成交明细'!$B$5:$B$804)),"")</f>
        <v/>
      </c>
      <c r="T74" s="32" t="n"/>
      <c r="U74" s="35" t="str">
        <f>IF(A74="","",SUMIFS('成交明细'!$F$5:$F$804,'成交明细'!$A$5:$A$804,A74,'成交明细'!$D$5:$D$804,IF(E74="空","卖","买")))</f>
        <v/>
      </c>
      <c r="V74" s="40" t="str">
        <f>IF(N(U74)&gt;0,SUMIFS('成交明细'!$H$5:$H$804,'成交明细'!$A$5:$A$804,A74,'成交明细'!$D$5:$D$804,IF(E74="空","卖","买"))/U74,"")</f>
        <v/>
      </c>
      <c r="W74" s="35" t="str">
        <f>IF(A74="","",SUMIFS('成交明细'!$F$5:$F$804,'成交明细'!$A$5:$A$804,A74,'成交明细'!$D$5:$D$804,IF(E74="空","买","卖")))</f>
        <v/>
      </c>
      <c r="X74" s="40" t="str">
        <f>IF(N(W74)&gt;0,SUMIFS('成交明细'!$H$5:$H$804,'成交明细'!$A$5:$A$804,A74,'成交明细'!$D$5:$D$804,IF(E74="空","买","卖"))/W74,"")</f>
        <v/>
      </c>
      <c r="Y74" s="41" t="str">
        <f>IF(A74="","",IF(Q74&lt;&gt;"已执行",IF(Q74="","未填执行情况",Q74),IF(N(U74)=0,"待录成交",IF(N(W74)&gt;N(U74),"平仓多于开仓",IF(N(W74)&lt;N(U74),"持仓中","已平仓")))))</f>
        <v/>
      </c>
      <c r="Z74" s="41" t="str">
        <f>IF(AND(ISNUMBER(R74),ISNUMBER(S74)),IF(R74=S74,"日内",""),"")</f>
        <v/>
      </c>
      <c r="AA74" s="42" t="str">
        <f>IF(Z74&lt;&gt;"日内","",COUNTIFS($Z$5:$Z$304,"日内",$S$5:$S$304,"&gt;"&amp;WORKDAY(S74,-5),$S$5:$S$304,"&lt;="&amp;S74))</f>
        <v/>
      </c>
      <c r="AB74" s="41" t="str">
        <f>IF(OR(NOT(ISNUMBER(M74)),NOT(ISNUMBER(R74))),"",IF(AND(M74&gt;=R74,OR(NOT(ISNUMBER(S74)),M74&lt;=S74)),"持仓跨财报",""))</f>
        <v/>
      </c>
      <c r="AC74" s="20">
        <f>IF(AND(E74="空",ISNUMBER(O74),ISNUMBER(S74)),ROUND(O74*(S74-R74)/360*V74*U74,2),0)</f>
        <v>0</v>
      </c>
      <c r="AD74" s="43" t="str">
        <f>IF(N(U74)=0,"",SUMIFS('成交明细'!$L$5:$L$804,'成交明细'!$A$5:$A$804,A74)+AC74)</f>
        <v/>
      </c>
      <c r="AE74" s="44" t="str">
        <f>IF(Y74&lt;&gt;"已平仓","",(SUMIFS('成交明细'!$H$5:$H$804,'成交明细'!$A$5:$A$804,A74,'成交明细'!$D$5:$D$804,"卖")-SUMIFS('成交明细'!$H$5:$H$804,'成交明细'!$A$5:$A$804,A74,'成交明细'!$D$5:$D$804,"买"))*1-AD74)</f>
        <v/>
      </c>
      <c r="AF74" s="45" t="str">
        <f>IF(AND(Y74="已平仓",ISNUMBER(L74)),(SUMIFS('成交明细'!$H$5:$H$804,'成交明细'!$A$5:$A$804,A74,'成交明细'!$D$5:$D$804,"卖")-SUMIFS('成交明细'!$H$5:$H$804,'成交明细'!$A$5:$A$804,A74,'成交明细'!$D$5:$D$804,"买"))*1/L74,"")</f>
        <v/>
      </c>
      <c r="AG74" s="45" t="str">
        <f>IF(AND(Y74="已平仓",ISNUMBER(L74)),AE74/L74,"")</f>
        <v/>
      </c>
      <c r="AH74" s="46" t="str">
        <f>IF(AND(ISNUMBER(V74),ISNUMBER(F74)),IF(E74="空",F74-V74,V74-F74),"")</f>
        <v/>
      </c>
      <c r="AI74" s="46" t="str">
        <f>IF(OR(NOT(ISNUMBER(AE74)),NOT(ISNUMBER(X74))),"",IF(AE74&lt;0,IF(E74="空",X74-G74,G74-X74),IF(NOT(ISNUMBER(H74)),"",IF(E74="空",X74-H74,H74-X74))))</f>
        <v/>
      </c>
      <c r="AJ74" s="32" t="n"/>
      <c r="AK74" s="32" t="n"/>
      <c r="AL74" s="31" t="n"/>
      <c r="AM74" s="45" t="str">
        <f>IF(A74="","",SUM(AG$5:AG74))</f>
        <v/>
      </c>
      <c r="AN74" s="37" t="str">
        <f>IF(A74="","",MAX(0,MAX(AM$5:AM74))-AM74)</f>
        <v/>
      </c>
    </row>
    <row r="75">
      <c r="A75" s="29" t="n"/>
      <c r="B75" s="30" t="n"/>
      <c r="C75" s="31" t="n"/>
      <c r="D75" s="32" t="n"/>
      <c r="E75" s="32" t="n"/>
      <c r="F75" s="33" t="n"/>
      <c r="G75" s="33" t="n"/>
      <c r="H75" s="33" t="n"/>
      <c r="I75" s="34" t="str">
        <f>IF(AND(ISNUMBER(F75),ISNUMBER(G75),ISNUMBER(H75)),IF(OR(AND(E75="多",F75&gt;G75),AND(E75="空",F75&lt;G75)),ABS(H75-F75)/ABS(F75-G75),"止损方向不对"),"")</f>
        <v/>
      </c>
      <c r="J75" s="35" t="str">
        <f>IF(AND(ISNUMBER(F75),ISNUMBER(G75)),IF(F75=G75,"",IF(INT(ROUND('参数'!$C$7/(ABS(F75-G75)*1+2*'参数'!$C$11+N('参数'!$C$14)*F75+N('参数'!$C$15))/1,6))*1&gt;0,INT(ROUND('参数'!$C$7/(ABS(F75-G75)*1+2*'参数'!$C$11+N('参数'!$C$14)*F75+N('参数'!$C$15))/1,6))*1,"预算不足，这笔不做")),"")</f>
        <v/>
      </c>
      <c r="K75" s="36" t="n"/>
      <c r="L75" s="20" t="str">
        <f>IF(AND(ISNUMBER(F75),ISNUMBER(G75),ISNUMBER(K75)),IF(AND(F75&lt;&gt;G75,K75&gt;0),ABS(F75-G75)*K75*1,""),"")</f>
        <v/>
      </c>
      <c r="M75" s="30" t="n"/>
      <c r="N75" s="37" t="str">
        <f>IF(AND(ISNUMBER(L75),ISNUMBER(M75)),IF(E75="空",(G75*(1+'参数'!$C$17)-F75),(F75-G75*(1-'参数'!$C$17)))*K75/L75,"")</f>
        <v/>
      </c>
      <c r="O75" s="38" t="n"/>
      <c r="P75" s="31" t="n"/>
      <c r="Q75" s="32" t="n"/>
      <c r="R75" s="39" t="str">
        <f>IF(N(U75)&gt;0,SUMPRODUCT(LARGE(('成交明细'!$A$5:$A$804=A75)*('成交明细'!$D$5:$D$804=IF(E75="空","卖","买"))*'成交明细'!$B$5:$B$804,COUNTIFS('成交明细'!$A$5:$A$804,A75,'成交明细'!$D$5:$D$804,IF(E75="空","卖","买")))),"")</f>
        <v/>
      </c>
      <c r="S75" s="39" t="str">
        <f>IF(AND(N(U75)&gt;0,N(W75)&gt;=N(U75)),SUMPRODUCT(MAX(('成交明细'!$A$5:$A$804=A75)*('成交明细'!$D$5:$D$804=IF(E75="空","买","卖"))*'成交明细'!$B$5:$B$804)),"")</f>
        <v/>
      </c>
      <c r="T75" s="32" t="n"/>
      <c r="U75" s="35" t="str">
        <f>IF(A75="","",SUMIFS('成交明细'!$F$5:$F$804,'成交明细'!$A$5:$A$804,A75,'成交明细'!$D$5:$D$804,IF(E75="空","卖","买")))</f>
        <v/>
      </c>
      <c r="V75" s="40" t="str">
        <f>IF(N(U75)&gt;0,SUMIFS('成交明细'!$H$5:$H$804,'成交明细'!$A$5:$A$804,A75,'成交明细'!$D$5:$D$804,IF(E75="空","卖","买"))/U75,"")</f>
        <v/>
      </c>
      <c r="W75" s="35" t="str">
        <f>IF(A75="","",SUMIFS('成交明细'!$F$5:$F$804,'成交明细'!$A$5:$A$804,A75,'成交明细'!$D$5:$D$804,IF(E75="空","买","卖")))</f>
        <v/>
      </c>
      <c r="X75" s="40" t="str">
        <f>IF(N(W75)&gt;0,SUMIFS('成交明细'!$H$5:$H$804,'成交明细'!$A$5:$A$804,A75,'成交明细'!$D$5:$D$804,IF(E75="空","买","卖"))/W75,"")</f>
        <v/>
      </c>
      <c r="Y75" s="41" t="str">
        <f>IF(A75="","",IF(Q75&lt;&gt;"已执行",IF(Q75="","未填执行情况",Q75),IF(N(U75)=0,"待录成交",IF(N(W75)&gt;N(U75),"平仓多于开仓",IF(N(W75)&lt;N(U75),"持仓中","已平仓")))))</f>
        <v/>
      </c>
      <c r="Z75" s="41" t="str">
        <f>IF(AND(ISNUMBER(R75),ISNUMBER(S75)),IF(R75=S75,"日内",""),"")</f>
        <v/>
      </c>
      <c r="AA75" s="42" t="str">
        <f>IF(Z75&lt;&gt;"日内","",COUNTIFS($Z$5:$Z$304,"日内",$S$5:$S$304,"&gt;"&amp;WORKDAY(S75,-5),$S$5:$S$304,"&lt;="&amp;S75))</f>
        <v/>
      </c>
      <c r="AB75" s="41" t="str">
        <f>IF(OR(NOT(ISNUMBER(M75)),NOT(ISNUMBER(R75))),"",IF(AND(M75&gt;=R75,OR(NOT(ISNUMBER(S75)),M75&lt;=S75)),"持仓跨财报",""))</f>
        <v/>
      </c>
      <c r="AC75" s="20">
        <f>IF(AND(E75="空",ISNUMBER(O75),ISNUMBER(S75)),ROUND(O75*(S75-R75)/360*V75*U75,2),0)</f>
        <v>0</v>
      </c>
      <c r="AD75" s="43" t="str">
        <f>IF(N(U75)=0,"",SUMIFS('成交明细'!$L$5:$L$804,'成交明细'!$A$5:$A$804,A75)+AC75)</f>
        <v/>
      </c>
      <c r="AE75" s="44" t="str">
        <f>IF(Y75&lt;&gt;"已平仓","",(SUMIFS('成交明细'!$H$5:$H$804,'成交明细'!$A$5:$A$804,A75,'成交明细'!$D$5:$D$804,"卖")-SUMIFS('成交明细'!$H$5:$H$804,'成交明细'!$A$5:$A$804,A75,'成交明细'!$D$5:$D$804,"买"))*1-AD75)</f>
        <v/>
      </c>
      <c r="AF75" s="45" t="str">
        <f>IF(AND(Y75="已平仓",ISNUMBER(L75)),(SUMIFS('成交明细'!$H$5:$H$804,'成交明细'!$A$5:$A$804,A75,'成交明细'!$D$5:$D$804,"卖")-SUMIFS('成交明细'!$H$5:$H$804,'成交明细'!$A$5:$A$804,A75,'成交明细'!$D$5:$D$804,"买"))*1/L75,"")</f>
        <v/>
      </c>
      <c r="AG75" s="45" t="str">
        <f>IF(AND(Y75="已平仓",ISNUMBER(L75)),AE75/L75,"")</f>
        <v/>
      </c>
      <c r="AH75" s="46" t="str">
        <f>IF(AND(ISNUMBER(V75),ISNUMBER(F75)),IF(E75="空",F75-V75,V75-F75),"")</f>
        <v/>
      </c>
      <c r="AI75" s="46" t="str">
        <f>IF(OR(NOT(ISNUMBER(AE75)),NOT(ISNUMBER(X75))),"",IF(AE75&lt;0,IF(E75="空",X75-G75,G75-X75),IF(NOT(ISNUMBER(H75)),"",IF(E75="空",X75-H75,H75-X75))))</f>
        <v/>
      </c>
      <c r="AJ75" s="32" t="n"/>
      <c r="AK75" s="32" t="n"/>
      <c r="AL75" s="31" t="n"/>
      <c r="AM75" s="45" t="str">
        <f>IF(A75="","",SUM(AG$5:AG75))</f>
        <v/>
      </c>
      <c r="AN75" s="37" t="str">
        <f>IF(A75="","",MAX(0,MAX(AM$5:AM75))-AM75)</f>
        <v/>
      </c>
    </row>
    <row r="76">
      <c r="A76" s="29" t="n"/>
      <c r="B76" s="30" t="n"/>
      <c r="C76" s="31" t="n"/>
      <c r="D76" s="32" t="n"/>
      <c r="E76" s="32" t="n"/>
      <c r="F76" s="33" t="n"/>
      <c r="G76" s="33" t="n"/>
      <c r="H76" s="33" t="n"/>
      <c r="I76" s="34" t="str">
        <f>IF(AND(ISNUMBER(F76),ISNUMBER(G76),ISNUMBER(H76)),IF(OR(AND(E76="多",F76&gt;G76),AND(E76="空",F76&lt;G76)),ABS(H76-F76)/ABS(F76-G76),"止损方向不对"),"")</f>
        <v/>
      </c>
      <c r="J76" s="35" t="str">
        <f>IF(AND(ISNUMBER(F76),ISNUMBER(G76)),IF(F76=G76,"",IF(INT(ROUND('参数'!$C$7/(ABS(F76-G76)*1+2*'参数'!$C$11+N('参数'!$C$14)*F76+N('参数'!$C$15))/1,6))*1&gt;0,INT(ROUND('参数'!$C$7/(ABS(F76-G76)*1+2*'参数'!$C$11+N('参数'!$C$14)*F76+N('参数'!$C$15))/1,6))*1,"预算不足，这笔不做")),"")</f>
        <v/>
      </c>
      <c r="K76" s="36" t="n"/>
      <c r="L76" s="20" t="str">
        <f>IF(AND(ISNUMBER(F76),ISNUMBER(G76),ISNUMBER(K76)),IF(AND(F76&lt;&gt;G76,K76&gt;0),ABS(F76-G76)*K76*1,""),"")</f>
        <v/>
      </c>
      <c r="M76" s="30" t="n"/>
      <c r="N76" s="37" t="str">
        <f>IF(AND(ISNUMBER(L76),ISNUMBER(M76)),IF(E76="空",(G76*(1+'参数'!$C$17)-F76),(F76-G76*(1-'参数'!$C$17)))*K76/L76,"")</f>
        <v/>
      </c>
      <c r="O76" s="38" t="n"/>
      <c r="P76" s="31" t="n"/>
      <c r="Q76" s="32" t="n"/>
      <c r="R76" s="39" t="str">
        <f>IF(N(U76)&gt;0,SUMPRODUCT(LARGE(('成交明细'!$A$5:$A$804=A76)*('成交明细'!$D$5:$D$804=IF(E76="空","卖","买"))*'成交明细'!$B$5:$B$804,COUNTIFS('成交明细'!$A$5:$A$804,A76,'成交明细'!$D$5:$D$804,IF(E76="空","卖","买")))),"")</f>
        <v/>
      </c>
      <c r="S76" s="39" t="str">
        <f>IF(AND(N(U76)&gt;0,N(W76)&gt;=N(U76)),SUMPRODUCT(MAX(('成交明细'!$A$5:$A$804=A76)*('成交明细'!$D$5:$D$804=IF(E76="空","买","卖"))*'成交明细'!$B$5:$B$804)),"")</f>
        <v/>
      </c>
      <c r="T76" s="32" t="n"/>
      <c r="U76" s="35" t="str">
        <f>IF(A76="","",SUMIFS('成交明细'!$F$5:$F$804,'成交明细'!$A$5:$A$804,A76,'成交明细'!$D$5:$D$804,IF(E76="空","卖","买")))</f>
        <v/>
      </c>
      <c r="V76" s="40" t="str">
        <f>IF(N(U76)&gt;0,SUMIFS('成交明细'!$H$5:$H$804,'成交明细'!$A$5:$A$804,A76,'成交明细'!$D$5:$D$804,IF(E76="空","卖","买"))/U76,"")</f>
        <v/>
      </c>
      <c r="W76" s="35" t="str">
        <f>IF(A76="","",SUMIFS('成交明细'!$F$5:$F$804,'成交明细'!$A$5:$A$804,A76,'成交明细'!$D$5:$D$804,IF(E76="空","买","卖")))</f>
        <v/>
      </c>
      <c r="X76" s="40" t="str">
        <f>IF(N(W76)&gt;0,SUMIFS('成交明细'!$H$5:$H$804,'成交明细'!$A$5:$A$804,A76,'成交明细'!$D$5:$D$804,IF(E76="空","买","卖"))/W76,"")</f>
        <v/>
      </c>
      <c r="Y76" s="41" t="str">
        <f>IF(A76="","",IF(Q76&lt;&gt;"已执行",IF(Q76="","未填执行情况",Q76),IF(N(U76)=0,"待录成交",IF(N(W76)&gt;N(U76),"平仓多于开仓",IF(N(W76)&lt;N(U76),"持仓中","已平仓")))))</f>
        <v/>
      </c>
      <c r="Z76" s="41" t="str">
        <f>IF(AND(ISNUMBER(R76),ISNUMBER(S76)),IF(R76=S76,"日内",""),"")</f>
        <v/>
      </c>
      <c r="AA76" s="42" t="str">
        <f>IF(Z76&lt;&gt;"日内","",COUNTIFS($Z$5:$Z$304,"日内",$S$5:$S$304,"&gt;"&amp;WORKDAY(S76,-5),$S$5:$S$304,"&lt;="&amp;S76))</f>
        <v/>
      </c>
      <c r="AB76" s="41" t="str">
        <f>IF(OR(NOT(ISNUMBER(M76)),NOT(ISNUMBER(R76))),"",IF(AND(M76&gt;=R76,OR(NOT(ISNUMBER(S76)),M76&lt;=S76)),"持仓跨财报",""))</f>
        <v/>
      </c>
      <c r="AC76" s="20">
        <f>IF(AND(E76="空",ISNUMBER(O76),ISNUMBER(S76)),ROUND(O76*(S76-R76)/360*V76*U76,2),0)</f>
        <v>0</v>
      </c>
      <c r="AD76" s="43" t="str">
        <f>IF(N(U76)=0,"",SUMIFS('成交明细'!$L$5:$L$804,'成交明细'!$A$5:$A$804,A76)+AC76)</f>
        <v/>
      </c>
      <c r="AE76" s="44" t="str">
        <f>IF(Y76&lt;&gt;"已平仓","",(SUMIFS('成交明细'!$H$5:$H$804,'成交明细'!$A$5:$A$804,A76,'成交明细'!$D$5:$D$804,"卖")-SUMIFS('成交明细'!$H$5:$H$804,'成交明细'!$A$5:$A$804,A76,'成交明细'!$D$5:$D$804,"买"))*1-AD76)</f>
        <v/>
      </c>
      <c r="AF76" s="45" t="str">
        <f>IF(AND(Y76="已平仓",ISNUMBER(L76)),(SUMIFS('成交明细'!$H$5:$H$804,'成交明细'!$A$5:$A$804,A76,'成交明细'!$D$5:$D$804,"卖")-SUMIFS('成交明细'!$H$5:$H$804,'成交明细'!$A$5:$A$804,A76,'成交明细'!$D$5:$D$804,"买"))*1/L76,"")</f>
        <v/>
      </c>
      <c r="AG76" s="45" t="str">
        <f>IF(AND(Y76="已平仓",ISNUMBER(L76)),AE76/L76,"")</f>
        <v/>
      </c>
      <c r="AH76" s="46" t="str">
        <f>IF(AND(ISNUMBER(V76),ISNUMBER(F76)),IF(E76="空",F76-V76,V76-F76),"")</f>
        <v/>
      </c>
      <c r="AI76" s="46" t="str">
        <f>IF(OR(NOT(ISNUMBER(AE76)),NOT(ISNUMBER(X76))),"",IF(AE76&lt;0,IF(E76="空",X76-G76,G76-X76),IF(NOT(ISNUMBER(H76)),"",IF(E76="空",X76-H76,H76-X76))))</f>
        <v/>
      </c>
      <c r="AJ76" s="32" t="n"/>
      <c r="AK76" s="32" t="n"/>
      <c r="AL76" s="31" t="n"/>
      <c r="AM76" s="45" t="str">
        <f>IF(A76="","",SUM(AG$5:AG76))</f>
        <v/>
      </c>
      <c r="AN76" s="37" t="str">
        <f>IF(A76="","",MAX(0,MAX(AM$5:AM76))-AM76)</f>
        <v/>
      </c>
    </row>
    <row r="77">
      <c r="A77" s="29" t="n"/>
      <c r="B77" s="30" t="n"/>
      <c r="C77" s="31" t="n"/>
      <c r="D77" s="32" t="n"/>
      <c r="E77" s="32" t="n"/>
      <c r="F77" s="33" t="n"/>
      <c r="G77" s="33" t="n"/>
      <c r="H77" s="33" t="n"/>
      <c r="I77" s="34" t="str">
        <f>IF(AND(ISNUMBER(F77),ISNUMBER(G77),ISNUMBER(H77)),IF(OR(AND(E77="多",F77&gt;G77),AND(E77="空",F77&lt;G77)),ABS(H77-F77)/ABS(F77-G77),"止损方向不对"),"")</f>
        <v/>
      </c>
      <c r="J77" s="35" t="str">
        <f>IF(AND(ISNUMBER(F77),ISNUMBER(G77)),IF(F77=G77,"",IF(INT(ROUND('参数'!$C$7/(ABS(F77-G77)*1+2*'参数'!$C$11+N('参数'!$C$14)*F77+N('参数'!$C$15))/1,6))*1&gt;0,INT(ROUND('参数'!$C$7/(ABS(F77-G77)*1+2*'参数'!$C$11+N('参数'!$C$14)*F77+N('参数'!$C$15))/1,6))*1,"预算不足，这笔不做")),"")</f>
        <v/>
      </c>
      <c r="K77" s="36" t="n"/>
      <c r="L77" s="20" t="str">
        <f>IF(AND(ISNUMBER(F77),ISNUMBER(G77),ISNUMBER(K77)),IF(AND(F77&lt;&gt;G77,K77&gt;0),ABS(F77-G77)*K77*1,""),"")</f>
        <v/>
      </c>
      <c r="M77" s="30" t="n"/>
      <c r="N77" s="37" t="str">
        <f>IF(AND(ISNUMBER(L77),ISNUMBER(M77)),IF(E77="空",(G77*(1+'参数'!$C$17)-F77),(F77-G77*(1-'参数'!$C$17)))*K77/L77,"")</f>
        <v/>
      </c>
      <c r="O77" s="38" t="n"/>
      <c r="P77" s="31" t="n"/>
      <c r="Q77" s="32" t="n"/>
      <c r="R77" s="39" t="str">
        <f>IF(N(U77)&gt;0,SUMPRODUCT(LARGE(('成交明细'!$A$5:$A$804=A77)*('成交明细'!$D$5:$D$804=IF(E77="空","卖","买"))*'成交明细'!$B$5:$B$804,COUNTIFS('成交明细'!$A$5:$A$804,A77,'成交明细'!$D$5:$D$804,IF(E77="空","卖","买")))),"")</f>
        <v/>
      </c>
      <c r="S77" s="39" t="str">
        <f>IF(AND(N(U77)&gt;0,N(W77)&gt;=N(U77)),SUMPRODUCT(MAX(('成交明细'!$A$5:$A$804=A77)*('成交明细'!$D$5:$D$804=IF(E77="空","买","卖"))*'成交明细'!$B$5:$B$804)),"")</f>
        <v/>
      </c>
      <c r="T77" s="32" t="n"/>
      <c r="U77" s="35" t="str">
        <f>IF(A77="","",SUMIFS('成交明细'!$F$5:$F$804,'成交明细'!$A$5:$A$804,A77,'成交明细'!$D$5:$D$804,IF(E77="空","卖","买")))</f>
        <v/>
      </c>
      <c r="V77" s="40" t="str">
        <f>IF(N(U77)&gt;0,SUMIFS('成交明细'!$H$5:$H$804,'成交明细'!$A$5:$A$804,A77,'成交明细'!$D$5:$D$804,IF(E77="空","卖","买"))/U77,"")</f>
        <v/>
      </c>
      <c r="W77" s="35" t="str">
        <f>IF(A77="","",SUMIFS('成交明细'!$F$5:$F$804,'成交明细'!$A$5:$A$804,A77,'成交明细'!$D$5:$D$804,IF(E77="空","买","卖")))</f>
        <v/>
      </c>
      <c r="X77" s="40" t="str">
        <f>IF(N(W77)&gt;0,SUMIFS('成交明细'!$H$5:$H$804,'成交明细'!$A$5:$A$804,A77,'成交明细'!$D$5:$D$804,IF(E77="空","买","卖"))/W77,"")</f>
        <v/>
      </c>
      <c r="Y77" s="41" t="str">
        <f>IF(A77="","",IF(Q77&lt;&gt;"已执行",IF(Q77="","未填执行情况",Q77),IF(N(U77)=0,"待录成交",IF(N(W77)&gt;N(U77),"平仓多于开仓",IF(N(W77)&lt;N(U77),"持仓中","已平仓")))))</f>
        <v/>
      </c>
      <c r="Z77" s="41" t="str">
        <f>IF(AND(ISNUMBER(R77),ISNUMBER(S77)),IF(R77=S77,"日内",""),"")</f>
        <v/>
      </c>
      <c r="AA77" s="42" t="str">
        <f>IF(Z77&lt;&gt;"日内","",COUNTIFS($Z$5:$Z$304,"日内",$S$5:$S$304,"&gt;"&amp;WORKDAY(S77,-5),$S$5:$S$304,"&lt;="&amp;S77))</f>
        <v/>
      </c>
      <c r="AB77" s="41" t="str">
        <f>IF(OR(NOT(ISNUMBER(M77)),NOT(ISNUMBER(R77))),"",IF(AND(M77&gt;=R77,OR(NOT(ISNUMBER(S77)),M77&lt;=S77)),"持仓跨财报",""))</f>
        <v/>
      </c>
      <c r="AC77" s="20">
        <f>IF(AND(E77="空",ISNUMBER(O77),ISNUMBER(S77)),ROUND(O77*(S77-R77)/360*V77*U77,2),0)</f>
        <v>0</v>
      </c>
      <c r="AD77" s="43" t="str">
        <f>IF(N(U77)=0,"",SUMIFS('成交明细'!$L$5:$L$804,'成交明细'!$A$5:$A$804,A77)+AC77)</f>
        <v/>
      </c>
      <c r="AE77" s="44" t="str">
        <f>IF(Y77&lt;&gt;"已平仓","",(SUMIFS('成交明细'!$H$5:$H$804,'成交明细'!$A$5:$A$804,A77,'成交明细'!$D$5:$D$804,"卖")-SUMIFS('成交明细'!$H$5:$H$804,'成交明细'!$A$5:$A$804,A77,'成交明细'!$D$5:$D$804,"买"))*1-AD77)</f>
        <v/>
      </c>
      <c r="AF77" s="45" t="str">
        <f>IF(AND(Y77="已平仓",ISNUMBER(L77)),(SUMIFS('成交明细'!$H$5:$H$804,'成交明细'!$A$5:$A$804,A77,'成交明细'!$D$5:$D$804,"卖")-SUMIFS('成交明细'!$H$5:$H$804,'成交明细'!$A$5:$A$804,A77,'成交明细'!$D$5:$D$804,"买"))*1/L77,"")</f>
        <v/>
      </c>
      <c r="AG77" s="45" t="str">
        <f>IF(AND(Y77="已平仓",ISNUMBER(L77)),AE77/L77,"")</f>
        <v/>
      </c>
      <c r="AH77" s="46" t="str">
        <f>IF(AND(ISNUMBER(V77),ISNUMBER(F77)),IF(E77="空",F77-V77,V77-F77),"")</f>
        <v/>
      </c>
      <c r="AI77" s="46" t="str">
        <f>IF(OR(NOT(ISNUMBER(AE77)),NOT(ISNUMBER(X77))),"",IF(AE77&lt;0,IF(E77="空",X77-G77,G77-X77),IF(NOT(ISNUMBER(H77)),"",IF(E77="空",X77-H77,H77-X77))))</f>
        <v/>
      </c>
      <c r="AJ77" s="32" t="n"/>
      <c r="AK77" s="32" t="n"/>
      <c r="AL77" s="31" t="n"/>
      <c r="AM77" s="45" t="str">
        <f>IF(A77="","",SUM(AG$5:AG77))</f>
        <v/>
      </c>
      <c r="AN77" s="37" t="str">
        <f>IF(A77="","",MAX(0,MAX(AM$5:AM77))-AM77)</f>
        <v/>
      </c>
    </row>
    <row r="78">
      <c r="A78" s="29" t="n"/>
      <c r="B78" s="30" t="n"/>
      <c r="C78" s="31" t="n"/>
      <c r="D78" s="32" t="n"/>
      <c r="E78" s="32" t="n"/>
      <c r="F78" s="33" t="n"/>
      <c r="G78" s="33" t="n"/>
      <c r="H78" s="33" t="n"/>
      <c r="I78" s="34" t="str">
        <f>IF(AND(ISNUMBER(F78),ISNUMBER(G78),ISNUMBER(H78)),IF(OR(AND(E78="多",F78&gt;G78),AND(E78="空",F78&lt;G78)),ABS(H78-F78)/ABS(F78-G78),"止损方向不对"),"")</f>
        <v/>
      </c>
      <c r="J78" s="35" t="str">
        <f>IF(AND(ISNUMBER(F78),ISNUMBER(G78)),IF(F78=G78,"",IF(INT(ROUND('参数'!$C$7/(ABS(F78-G78)*1+2*'参数'!$C$11+N('参数'!$C$14)*F78+N('参数'!$C$15))/1,6))*1&gt;0,INT(ROUND('参数'!$C$7/(ABS(F78-G78)*1+2*'参数'!$C$11+N('参数'!$C$14)*F78+N('参数'!$C$15))/1,6))*1,"预算不足，这笔不做")),"")</f>
        <v/>
      </c>
      <c r="K78" s="36" t="n"/>
      <c r="L78" s="20" t="str">
        <f>IF(AND(ISNUMBER(F78),ISNUMBER(G78),ISNUMBER(K78)),IF(AND(F78&lt;&gt;G78,K78&gt;0),ABS(F78-G78)*K78*1,""),"")</f>
        <v/>
      </c>
      <c r="M78" s="30" t="n"/>
      <c r="N78" s="37" t="str">
        <f>IF(AND(ISNUMBER(L78),ISNUMBER(M78)),IF(E78="空",(G78*(1+'参数'!$C$17)-F78),(F78-G78*(1-'参数'!$C$17)))*K78/L78,"")</f>
        <v/>
      </c>
      <c r="O78" s="38" t="n"/>
      <c r="P78" s="31" t="n"/>
      <c r="Q78" s="32" t="n"/>
      <c r="R78" s="39" t="str">
        <f>IF(N(U78)&gt;0,SUMPRODUCT(LARGE(('成交明细'!$A$5:$A$804=A78)*('成交明细'!$D$5:$D$804=IF(E78="空","卖","买"))*'成交明细'!$B$5:$B$804,COUNTIFS('成交明细'!$A$5:$A$804,A78,'成交明细'!$D$5:$D$804,IF(E78="空","卖","买")))),"")</f>
        <v/>
      </c>
      <c r="S78" s="39" t="str">
        <f>IF(AND(N(U78)&gt;0,N(W78)&gt;=N(U78)),SUMPRODUCT(MAX(('成交明细'!$A$5:$A$804=A78)*('成交明细'!$D$5:$D$804=IF(E78="空","买","卖"))*'成交明细'!$B$5:$B$804)),"")</f>
        <v/>
      </c>
      <c r="T78" s="32" t="n"/>
      <c r="U78" s="35" t="str">
        <f>IF(A78="","",SUMIFS('成交明细'!$F$5:$F$804,'成交明细'!$A$5:$A$804,A78,'成交明细'!$D$5:$D$804,IF(E78="空","卖","买")))</f>
        <v/>
      </c>
      <c r="V78" s="40" t="str">
        <f>IF(N(U78)&gt;0,SUMIFS('成交明细'!$H$5:$H$804,'成交明细'!$A$5:$A$804,A78,'成交明细'!$D$5:$D$804,IF(E78="空","卖","买"))/U78,"")</f>
        <v/>
      </c>
      <c r="W78" s="35" t="str">
        <f>IF(A78="","",SUMIFS('成交明细'!$F$5:$F$804,'成交明细'!$A$5:$A$804,A78,'成交明细'!$D$5:$D$804,IF(E78="空","买","卖")))</f>
        <v/>
      </c>
      <c r="X78" s="40" t="str">
        <f>IF(N(W78)&gt;0,SUMIFS('成交明细'!$H$5:$H$804,'成交明细'!$A$5:$A$804,A78,'成交明细'!$D$5:$D$804,IF(E78="空","买","卖"))/W78,"")</f>
        <v/>
      </c>
      <c r="Y78" s="41" t="str">
        <f>IF(A78="","",IF(Q78&lt;&gt;"已执行",IF(Q78="","未填执行情况",Q78),IF(N(U78)=0,"待录成交",IF(N(W78)&gt;N(U78),"平仓多于开仓",IF(N(W78)&lt;N(U78),"持仓中","已平仓")))))</f>
        <v/>
      </c>
      <c r="Z78" s="41" t="str">
        <f>IF(AND(ISNUMBER(R78),ISNUMBER(S78)),IF(R78=S78,"日内",""),"")</f>
        <v/>
      </c>
      <c r="AA78" s="42" t="str">
        <f>IF(Z78&lt;&gt;"日内","",COUNTIFS($Z$5:$Z$304,"日内",$S$5:$S$304,"&gt;"&amp;WORKDAY(S78,-5),$S$5:$S$304,"&lt;="&amp;S78))</f>
        <v/>
      </c>
      <c r="AB78" s="41" t="str">
        <f>IF(OR(NOT(ISNUMBER(M78)),NOT(ISNUMBER(R78))),"",IF(AND(M78&gt;=R78,OR(NOT(ISNUMBER(S78)),M78&lt;=S78)),"持仓跨财报",""))</f>
        <v/>
      </c>
      <c r="AC78" s="20">
        <f>IF(AND(E78="空",ISNUMBER(O78),ISNUMBER(S78)),ROUND(O78*(S78-R78)/360*V78*U78,2),0)</f>
        <v>0</v>
      </c>
      <c r="AD78" s="43" t="str">
        <f>IF(N(U78)=0,"",SUMIFS('成交明细'!$L$5:$L$804,'成交明细'!$A$5:$A$804,A78)+AC78)</f>
        <v/>
      </c>
      <c r="AE78" s="44" t="str">
        <f>IF(Y78&lt;&gt;"已平仓","",(SUMIFS('成交明细'!$H$5:$H$804,'成交明细'!$A$5:$A$804,A78,'成交明细'!$D$5:$D$804,"卖")-SUMIFS('成交明细'!$H$5:$H$804,'成交明细'!$A$5:$A$804,A78,'成交明细'!$D$5:$D$804,"买"))*1-AD78)</f>
        <v/>
      </c>
      <c r="AF78" s="45" t="str">
        <f>IF(AND(Y78="已平仓",ISNUMBER(L78)),(SUMIFS('成交明细'!$H$5:$H$804,'成交明细'!$A$5:$A$804,A78,'成交明细'!$D$5:$D$804,"卖")-SUMIFS('成交明细'!$H$5:$H$804,'成交明细'!$A$5:$A$804,A78,'成交明细'!$D$5:$D$804,"买"))*1/L78,"")</f>
        <v/>
      </c>
      <c r="AG78" s="45" t="str">
        <f>IF(AND(Y78="已平仓",ISNUMBER(L78)),AE78/L78,"")</f>
        <v/>
      </c>
      <c r="AH78" s="46" t="str">
        <f>IF(AND(ISNUMBER(V78),ISNUMBER(F78)),IF(E78="空",F78-V78,V78-F78),"")</f>
        <v/>
      </c>
      <c r="AI78" s="46" t="str">
        <f>IF(OR(NOT(ISNUMBER(AE78)),NOT(ISNUMBER(X78))),"",IF(AE78&lt;0,IF(E78="空",X78-G78,G78-X78),IF(NOT(ISNUMBER(H78)),"",IF(E78="空",X78-H78,H78-X78))))</f>
        <v/>
      </c>
      <c r="AJ78" s="32" t="n"/>
      <c r="AK78" s="32" t="n"/>
      <c r="AL78" s="31" t="n"/>
      <c r="AM78" s="45" t="str">
        <f>IF(A78="","",SUM(AG$5:AG78))</f>
        <v/>
      </c>
      <c r="AN78" s="37" t="str">
        <f>IF(A78="","",MAX(0,MAX(AM$5:AM78))-AM78)</f>
        <v/>
      </c>
    </row>
    <row r="79">
      <c r="A79" s="29" t="n"/>
      <c r="B79" s="30" t="n"/>
      <c r="C79" s="31" t="n"/>
      <c r="D79" s="32" t="n"/>
      <c r="E79" s="32" t="n"/>
      <c r="F79" s="33" t="n"/>
      <c r="G79" s="33" t="n"/>
      <c r="H79" s="33" t="n"/>
      <c r="I79" s="34" t="str">
        <f>IF(AND(ISNUMBER(F79),ISNUMBER(G79),ISNUMBER(H79)),IF(OR(AND(E79="多",F79&gt;G79),AND(E79="空",F79&lt;G79)),ABS(H79-F79)/ABS(F79-G79),"止损方向不对"),"")</f>
        <v/>
      </c>
      <c r="J79" s="35" t="str">
        <f>IF(AND(ISNUMBER(F79),ISNUMBER(G79)),IF(F79=G79,"",IF(INT(ROUND('参数'!$C$7/(ABS(F79-G79)*1+2*'参数'!$C$11+N('参数'!$C$14)*F79+N('参数'!$C$15))/1,6))*1&gt;0,INT(ROUND('参数'!$C$7/(ABS(F79-G79)*1+2*'参数'!$C$11+N('参数'!$C$14)*F79+N('参数'!$C$15))/1,6))*1,"预算不足，这笔不做")),"")</f>
        <v/>
      </c>
      <c r="K79" s="36" t="n"/>
      <c r="L79" s="20" t="str">
        <f>IF(AND(ISNUMBER(F79),ISNUMBER(G79),ISNUMBER(K79)),IF(AND(F79&lt;&gt;G79,K79&gt;0),ABS(F79-G79)*K79*1,""),"")</f>
        <v/>
      </c>
      <c r="M79" s="30" t="n"/>
      <c r="N79" s="37" t="str">
        <f>IF(AND(ISNUMBER(L79),ISNUMBER(M79)),IF(E79="空",(G79*(1+'参数'!$C$17)-F79),(F79-G79*(1-'参数'!$C$17)))*K79/L79,"")</f>
        <v/>
      </c>
      <c r="O79" s="38" t="n"/>
      <c r="P79" s="31" t="n"/>
      <c r="Q79" s="32" t="n"/>
      <c r="R79" s="39" t="str">
        <f>IF(N(U79)&gt;0,SUMPRODUCT(LARGE(('成交明细'!$A$5:$A$804=A79)*('成交明细'!$D$5:$D$804=IF(E79="空","卖","买"))*'成交明细'!$B$5:$B$804,COUNTIFS('成交明细'!$A$5:$A$804,A79,'成交明细'!$D$5:$D$804,IF(E79="空","卖","买")))),"")</f>
        <v/>
      </c>
      <c r="S79" s="39" t="str">
        <f>IF(AND(N(U79)&gt;0,N(W79)&gt;=N(U79)),SUMPRODUCT(MAX(('成交明细'!$A$5:$A$804=A79)*('成交明细'!$D$5:$D$804=IF(E79="空","买","卖"))*'成交明细'!$B$5:$B$804)),"")</f>
        <v/>
      </c>
      <c r="T79" s="32" t="n"/>
      <c r="U79" s="35" t="str">
        <f>IF(A79="","",SUMIFS('成交明细'!$F$5:$F$804,'成交明细'!$A$5:$A$804,A79,'成交明细'!$D$5:$D$804,IF(E79="空","卖","买")))</f>
        <v/>
      </c>
      <c r="V79" s="40" t="str">
        <f>IF(N(U79)&gt;0,SUMIFS('成交明细'!$H$5:$H$804,'成交明细'!$A$5:$A$804,A79,'成交明细'!$D$5:$D$804,IF(E79="空","卖","买"))/U79,"")</f>
        <v/>
      </c>
      <c r="W79" s="35" t="str">
        <f>IF(A79="","",SUMIFS('成交明细'!$F$5:$F$804,'成交明细'!$A$5:$A$804,A79,'成交明细'!$D$5:$D$804,IF(E79="空","买","卖")))</f>
        <v/>
      </c>
      <c r="X79" s="40" t="str">
        <f>IF(N(W79)&gt;0,SUMIFS('成交明细'!$H$5:$H$804,'成交明细'!$A$5:$A$804,A79,'成交明细'!$D$5:$D$804,IF(E79="空","买","卖"))/W79,"")</f>
        <v/>
      </c>
      <c r="Y79" s="41" t="str">
        <f>IF(A79="","",IF(Q79&lt;&gt;"已执行",IF(Q79="","未填执行情况",Q79),IF(N(U79)=0,"待录成交",IF(N(W79)&gt;N(U79),"平仓多于开仓",IF(N(W79)&lt;N(U79),"持仓中","已平仓")))))</f>
        <v/>
      </c>
      <c r="Z79" s="41" t="str">
        <f>IF(AND(ISNUMBER(R79),ISNUMBER(S79)),IF(R79=S79,"日内",""),"")</f>
        <v/>
      </c>
      <c r="AA79" s="42" t="str">
        <f>IF(Z79&lt;&gt;"日内","",COUNTIFS($Z$5:$Z$304,"日内",$S$5:$S$304,"&gt;"&amp;WORKDAY(S79,-5),$S$5:$S$304,"&lt;="&amp;S79))</f>
        <v/>
      </c>
      <c r="AB79" s="41" t="str">
        <f>IF(OR(NOT(ISNUMBER(M79)),NOT(ISNUMBER(R79))),"",IF(AND(M79&gt;=R79,OR(NOT(ISNUMBER(S79)),M79&lt;=S79)),"持仓跨财报",""))</f>
        <v/>
      </c>
      <c r="AC79" s="20">
        <f>IF(AND(E79="空",ISNUMBER(O79),ISNUMBER(S79)),ROUND(O79*(S79-R79)/360*V79*U79,2),0)</f>
        <v>0</v>
      </c>
      <c r="AD79" s="43" t="str">
        <f>IF(N(U79)=0,"",SUMIFS('成交明细'!$L$5:$L$804,'成交明细'!$A$5:$A$804,A79)+AC79)</f>
        <v/>
      </c>
      <c r="AE79" s="44" t="str">
        <f>IF(Y79&lt;&gt;"已平仓","",(SUMIFS('成交明细'!$H$5:$H$804,'成交明细'!$A$5:$A$804,A79,'成交明细'!$D$5:$D$804,"卖")-SUMIFS('成交明细'!$H$5:$H$804,'成交明细'!$A$5:$A$804,A79,'成交明细'!$D$5:$D$804,"买"))*1-AD79)</f>
        <v/>
      </c>
      <c r="AF79" s="45" t="str">
        <f>IF(AND(Y79="已平仓",ISNUMBER(L79)),(SUMIFS('成交明细'!$H$5:$H$804,'成交明细'!$A$5:$A$804,A79,'成交明细'!$D$5:$D$804,"卖")-SUMIFS('成交明细'!$H$5:$H$804,'成交明细'!$A$5:$A$804,A79,'成交明细'!$D$5:$D$804,"买"))*1/L79,"")</f>
        <v/>
      </c>
      <c r="AG79" s="45" t="str">
        <f>IF(AND(Y79="已平仓",ISNUMBER(L79)),AE79/L79,"")</f>
        <v/>
      </c>
      <c r="AH79" s="46" t="str">
        <f>IF(AND(ISNUMBER(V79),ISNUMBER(F79)),IF(E79="空",F79-V79,V79-F79),"")</f>
        <v/>
      </c>
      <c r="AI79" s="46" t="str">
        <f>IF(OR(NOT(ISNUMBER(AE79)),NOT(ISNUMBER(X79))),"",IF(AE79&lt;0,IF(E79="空",X79-G79,G79-X79),IF(NOT(ISNUMBER(H79)),"",IF(E79="空",X79-H79,H79-X79))))</f>
        <v/>
      </c>
      <c r="AJ79" s="32" t="n"/>
      <c r="AK79" s="32" t="n"/>
      <c r="AL79" s="31" t="n"/>
      <c r="AM79" s="45" t="str">
        <f>IF(A79="","",SUM(AG$5:AG79))</f>
        <v/>
      </c>
      <c r="AN79" s="37" t="str">
        <f>IF(A79="","",MAX(0,MAX(AM$5:AM79))-AM79)</f>
        <v/>
      </c>
    </row>
    <row r="80">
      <c r="A80" s="29" t="n"/>
      <c r="B80" s="30" t="n"/>
      <c r="C80" s="31" t="n"/>
      <c r="D80" s="32" t="n"/>
      <c r="E80" s="32" t="n"/>
      <c r="F80" s="33" t="n"/>
      <c r="G80" s="33" t="n"/>
      <c r="H80" s="33" t="n"/>
      <c r="I80" s="34" t="str">
        <f>IF(AND(ISNUMBER(F80),ISNUMBER(G80),ISNUMBER(H80)),IF(OR(AND(E80="多",F80&gt;G80),AND(E80="空",F80&lt;G80)),ABS(H80-F80)/ABS(F80-G80),"止损方向不对"),"")</f>
        <v/>
      </c>
      <c r="J80" s="35" t="str">
        <f>IF(AND(ISNUMBER(F80),ISNUMBER(G80)),IF(F80=G80,"",IF(INT(ROUND('参数'!$C$7/(ABS(F80-G80)*1+2*'参数'!$C$11+N('参数'!$C$14)*F80+N('参数'!$C$15))/1,6))*1&gt;0,INT(ROUND('参数'!$C$7/(ABS(F80-G80)*1+2*'参数'!$C$11+N('参数'!$C$14)*F80+N('参数'!$C$15))/1,6))*1,"预算不足，这笔不做")),"")</f>
        <v/>
      </c>
      <c r="K80" s="36" t="n"/>
      <c r="L80" s="20" t="str">
        <f>IF(AND(ISNUMBER(F80),ISNUMBER(G80),ISNUMBER(K80)),IF(AND(F80&lt;&gt;G80,K80&gt;0),ABS(F80-G80)*K80*1,""),"")</f>
        <v/>
      </c>
      <c r="M80" s="30" t="n"/>
      <c r="N80" s="37" t="str">
        <f>IF(AND(ISNUMBER(L80),ISNUMBER(M80)),IF(E80="空",(G80*(1+'参数'!$C$17)-F80),(F80-G80*(1-'参数'!$C$17)))*K80/L80,"")</f>
        <v/>
      </c>
      <c r="O80" s="38" t="n"/>
      <c r="P80" s="31" t="n"/>
      <c r="Q80" s="32" t="n"/>
      <c r="R80" s="39" t="str">
        <f>IF(N(U80)&gt;0,SUMPRODUCT(LARGE(('成交明细'!$A$5:$A$804=A80)*('成交明细'!$D$5:$D$804=IF(E80="空","卖","买"))*'成交明细'!$B$5:$B$804,COUNTIFS('成交明细'!$A$5:$A$804,A80,'成交明细'!$D$5:$D$804,IF(E80="空","卖","买")))),"")</f>
        <v/>
      </c>
      <c r="S80" s="39" t="str">
        <f>IF(AND(N(U80)&gt;0,N(W80)&gt;=N(U80)),SUMPRODUCT(MAX(('成交明细'!$A$5:$A$804=A80)*('成交明细'!$D$5:$D$804=IF(E80="空","买","卖"))*'成交明细'!$B$5:$B$804)),"")</f>
        <v/>
      </c>
      <c r="T80" s="32" t="n"/>
      <c r="U80" s="35" t="str">
        <f>IF(A80="","",SUMIFS('成交明细'!$F$5:$F$804,'成交明细'!$A$5:$A$804,A80,'成交明细'!$D$5:$D$804,IF(E80="空","卖","买")))</f>
        <v/>
      </c>
      <c r="V80" s="40" t="str">
        <f>IF(N(U80)&gt;0,SUMIFS('成交明细'!$H$5:$H$804,'成交明细'!$A$5:$A$804,A80,'成交明细'!$D$5:$D$804,IF(E80="空","卖","买"))/U80,"")</f>
        <v/>
      </c>
      <c r="W80" s="35" t="str">
        <f>IF(A80="","",SUMIFS('成交明细'!$F$5:$F$804,'成交明细'!$A$5:$A$804,A80,'成交明细'!$D$5:$D$804,IF(E80="空","买","卖")))</f>
        <v/>
      </c>
      <c r="X80" s="40" t="str">
        <f>IF(N(W80)&gt;0,SUMIFS('成交明细'!$H$5:$H$804,'成交明细'!$A$5:$A$804,A80,'成交明细'!$D$5:$D$804,IF(E80="空","买","卖"))/W80,"")</f>
        <v/>
      </c>
      <c r="Y80" s="41" t="str">
        <f>IF(A80="","",IF(Q80&lt;&gt;"已执行",IF(Q80="","未填执行情况",Q80),IF(N(U80)=0,"待录成交",IF(N(W80)&gt;N(U80),"平仓多于开仓",IF(N(W80)&lt;N(U80),"持仓中","已平仓")))))</f>
        <v/>
      </c>
      <c r="Z80" s="41" t="str">
        <f>IF(AND(ISNUMBER(R80),ISNUMBER(S80)),IF(R80=S80,"日内",""),"")</f>
        <v/>
      </c>
      <c r="AA80" s="42" t="str">
        <f>IF(Z80&lt;&gt;"日内","",COUNTIFS($Z$5:$Z$304,"日内",$S$5:$S$304,"&gt;"&amp;WORKDAY(S80,-5),$S$5:$S$304,"&lt;="&amp;S80))</f>
        <v/>
      </c>
      <c r="AB80" s="41" t="str">
        <f>IF(OR(NOT(ISNUMBER(M80)),NOT(ISNUMBER(R80))),"",IF(AND(M80&gt;=R80,OR(NOT(ISNUMBER(S80)),M80&lt;=S80)),"持仓跨财报",""))</f>
        <v/>
      </c>
      <c r="AC80" s="20">
        <f>IF(AND(E80="空",ISNUMBER(O80),ISNUMBER(S80)),ROUND(O80*(S80-R80)/360*V80*U80,2),0)</f>
        <v>0</v>
      </c>
      <c r="AD80" s="43" t="str">
        <f>IF(N(U80)=0,"",SUMIFS('成交明细'!$L$5:$L$804,'成交明细'!$A$5:$A$804,A80)+AC80)</f>
        <v/>
      </c>
      <c r="AE80" s="44" t="str">
        <f>IF(Y80&lt;&gt;"已平仓","",(SUMIFS('成交明细'!$H$5:$H$804,'成交明细'!$A$5:$A$804,A80,'成交明细'!$D$5:$D$804,"卖")-SUMIFS('成交明细'!$H$5:$H$804,'成交明细'!$A$5:$A$804,A80,'成交明细'!$D$5:$D$804,"买"))*1-AD80)</f>
        <v/>
      </c>
      <c r="AF80" s="45" t="str">
        <f>IF(AND(Y80="已平仓",ISNUMBER(L80)),(SUMIFS('成交明细'!$H$5:$H$804,'成交明细'!$A$5:$A$804,A80,'成交明细'!$D$5:$D$804,"卖")-SUMIFS('成交明细'!$H$5:$H$804,'成交明细'!$A$5:$A$804,A80,'成交明细'!$D$5:$D$804,"买"))*1/L80,"")</f>
        <v/>
      </c>
      <c r="AG80" s="45" t="str">
        <f>IF(AND(Y80="已平仓",ISNUMBER(L80)),AE80/L80,"")</f>
        <v/>
      </c>
      <c r="AH80" s="46" t="str">
        <f>IF(AND(ISNUMBER(V80),ISNUMBER(F80)),IF(E80="空",F80-V80,V80-F80),"")</f>
        <v/>
      </c>
      <c r="AI80" s="46" t="str">
        <f>IF(OR(NOT(ISNUMBER(AE80)),NOT(ISNUMBER(X80))),"",IF(AE80&lt;0,IF(E80="空",X80-G80,G80-X80),IF(NOT(ISNUMBER(H80)),"",IF(E80="空",X80-H80,H80-X80))))</f>
        <v/>
      </c>
      <c r="AJ80" s="32" t="n"/>
      <c r="AK80" s="32" t="n"/>
      <c r="AL80" s="31" t="n"/>
      <c r="AM80" s="45" t="str">
        <f>IF(A80="","",SUM(AG$5:AG80))</f>
        <v/>
      </c>
      <c r="AN80" s="37" t="str">
        <f>IF(A80="","",MAX(0,MAX(AM$5:AM80))-AM80)</f>
        <v/>
      </c>
    </row>
    <row r="81">
      <c r="A81" s="29" t="n"/>
      <c r="B81" s="30" t="n"/>
      <c r="C81" s="31" t="n"/>
      <c r="D81" s="32" t="n"/>
      <c r="E81" s="32" t="n"/>
      <c r="F81" s="33" t="n"/>
      <c r="G81" s="33" t="n"/>
      <c r="H81" s="33" t="n"/>
      <c r="I81" s="34" t="str">
        <f>IF(AND(ISNUMBER(F81),ISNUMBER(G81),ISNUMBER(H81)),IF(OR(AND(E81="多",F81&gt;G81),AND(E81="空",F81&lt;G81)),ABS(H81-F81)/ABS(F81-G81),"止损方向不对"),"")</f>
        <v/>
      </c>
      <c r="J81" s="35" t="str">
        <f>IF(AND(ISNUMBER(F81),ISNUMBER(G81)),IF(F81=G81,"",IF(INT(ROUND('参数'!$C$7/(ABS(F81-G81)*1+2*'参数'!$C$11+N('参数'!$C$14)*F81+N('参数'!$C$15))/1,6))*1&gt;0,INT(ROUND('参数'!$C$7/(ABS(F81-G81)*1+2*'参数'!$C$11+N('参数'!$C$14)*F81+N('参数'!$C$15))/1,6))*1,"预算不足，这笔不做")),"")</f>
        <v/>
      </c>
      <c r="K81" s="36" t="n"/>
      <c r="L81" s="20" t="str">
        <f>IF(AND(ISNUMBER(F81),ISNUMBER(G81),ISNUMBER(K81)),IF(AND(F81&lt;&gt;G81,K81&gt;0),ABS(F81-G81)*K81*1,""),"")</f>
        <v/>
      </c>
      <c r="M81" s="30" t="n"/>
      <c r="N81" s="37" t="str">
        <f>IF(AND(ISNUMBER(L81),ISNUMBER(M81)),IF(E81="空",(G81*(1+'参数'!$C$17)-F81),(F81-G81*(1-'参数'!$C$17)))*K81/L81,"")</f>
        <v/>
      </c>
      <c r="O81" s="38" t="n"/>
      <c r="P81" s="31" t="n"/>
      <c r="Q81" s="32" t="n"/>
      <c r="R81" s="39" t="str">
        <f>IF(N(U81)&gt;0,SUMPRODUCT(LARGE(('成交明细'!$A$5:$A$804=A81)*('成交明细'!$D$5:$D$804=IF(E81="空","卖","买"))*'成交明细'!$B$5:$B$804,COUNTIFS('成交明细'!$A$5:$A$804,A81,'成交明细'!$D$5:$D$804,IF(E81="空","卖","买")))),"")</f>
        <v/>
      </c>
      <c r="S81" s="39" t="str">
        <f>IF(AND(N(U81)&gt;0,N(W81)&gt;=N(U81)),SUMPRODUCT(MAX(('成交明细'!$A$5:$A$804=A81)*('成交明细'!$D$5:$D$804=IF(E81="空","买","卖"))*'成交明细'!$B$5:$B$804)),"")</f>
        <v/>
      </c>
      <c r="T81" s="32" t="n"/>
      <c r="U81" s="35" t="str">
        <f>IF(A81="","",SUMIFS('成交明细'!$F$5:$F$804,'成交明细'!$A$5:$A$804,A81,'成交明细'!$D$5:$D$804,IF(E81="空","卖","买")))</f>
        <v/>
      </c>
      <c r="V81" s="40" t="str">
        <f>IF(N(U81)&gt;0,SUMIFS('成交明细'!$H$5:$H$804,'成交明细'!$A$5:$A$804,A81,'成交明细'!$D$5:$D$804,IF(E81="空","卖","买"))/U81,"")</f>
        <v/>
      </c>
      <c r="W81" s="35" t="str">
        <f>IF(A81="","",SUMIFS('成交明细'!$F$5:$F$804,'成交明细'!$A$5:$A$804,A81,'成交明细'!$D$5:$D$804,IF(E81="空","买","卖")))</f>
        <v/>
      </c>
      <c r="X81" s="40" t="str">
        <f>IF(N(W81)&gt;0,SUMIFS('成交明细'!$H$5:$H$804,'成交明细'!$A$5:$A$804,A81,'成交明细'!$D$5:$D$804,IF(E81="空","买","卖"))/W81,"")</f>
        <v/>
      </c>
      <c r="Y81" s="41" t="str">
        <f>IF(A81="","",IF(Q81&lt;&gt;"已执行",IF(Q81="","未填执行情况",Q81),IF(N(U81)=0,"待录成交",IF(N(W81)&gt;N(U81),"平仓多于开仓",IF(N(W81)&lt;N(U81),"持仓中","已平仓")))))</f>
        <v/>
      </c>
      <c r="Z81" s="41" t="str">
        <f>IF(AND(ISNUMBER(R81),ISNUMBER(S81)),IF(R81=S81,"日内",""),"")</f>
        <v/>
      </c>
      <c r="AA81" s="42" t="str">
        <f>IF(Z81&lt;&gt;"日内","",COUNTIFS($Z$5:$Z$304,"日内",$S$5:$S$304,"&gt;"&amp;WORKDAY(S81,-5),$S$5:$S$304,"&lt;="&amp;S81))</f>
        <v/>
      </c>
      <c r="AB81" s="41" t="str">
        <f>IF(OR(NOT(ISNUMBER(M81)),NOT(ISNUMBER(R81))),"",IF(AND(M81&gt;=R81,OR(NOT(ISNUMBER(S81)),M81&lt;=S81)),"持仓跨财报",""))</f>
        <v/>
      </c>
      <c r="AC81" s="20">
        <f>IF(AND(E81="空",ISNUMBER(O81),ISNUMBER(S81)),ROUND(O81*(S81-R81)/360*V81*U81,2),0)</f>
        <v>0</v>
      </c>
      <c r="AD81" s="43" t="str">
        <f>IF(N(U81)=0,"",SUMIFS('成交明细'!$L$5:$L$804,'成交明细'!$A$5:$A$804,A81)+AC81)</f>
        <v/>
      </c>
      <c r="AE81" s="44" t="str">
        <f>IF(Y81&lt;&gt;"已平仓","",(SUMIFS('成交明细'!$H$5:$H$804,'成交明细'!$A$5:$A$804,A81,'成交明细'!$D$5:$D$804,"卖")-SUMIFS('成交明细'!$H$5:$H$804,'成交明细'!$A$5:$A$804,A81,'成交明细'!$D$5:$D$804,"买"))*1-AD81)</f>
        <v/>
      </c>
      <c r="AF81" s="45" t="str">
        <f>IF(AND(Y81="已平仓",ISNUMBER(L81)),(SUMIFS('成交明细'!$H$5:$H$804,'成交明细'!$A$5:$A$804,A81,'成交明细'!$D$5:$D$804,"卖")-SUMIFS('成交明细'!$H$5:$H$804,'成交明细'!$A$5:$A$804,A81,'成交明细'!$D$5:$D$804,"买"))*1/L81,"")</f>
        <v/>
      </c>
      <c r="AG81" s="45" t="str">
        <f>IF(AND(Y81="已平仓",ISNUMBER(L81)),AE81/L81,"")</f>
        <v/>
      </c>
      <c r="AH81" s="46" t="str">
        <f>IF(AND(ISNUMBER(V81),ISNUMBER(F81)),IF(E81="空",F81-V81,V81-F81),"")</f>
        <v/>
      </c>
      <c r="AI81" s="46" t="str">
        <f>IF(OR(NOT(ISNUMBER(AE81)),NOT(ISNUMBER(X81))),"",IF(AE81&lt;0,IF(E81="空",X81-G81,G81-X81),IF(NOT(ISNUMBER(H81)),"",IF(E81="空",X81-H81,H81-X81))))</f>
        <v/>
      </c>
      <c r="AJ81" s="32" t="n"/>
      <c r="AK81" s="32" t="n"/>
      <c r="AL81" s="31" t="n"/>
      <c r="AM81" s="45" t="str">
        <f>IF(A81="","",SUM(AG$5:AG81))</f>
        <v/>
      </c>
      <c r="AN81" s="37" t="str">
        <f>IF(A81="","",MAX(0,MAX(AM$5:AM81))-AM81)</f>
        <v/>
      </c>
    </row>
    <row r="82">
      <c r="A82" s="29" t="n"/>
      <c r="B82" s="30" t="n"/>
      <c r="C82" s="31" t="n"/>
      <c r="D82" s="32" t="n"/>
      <c r="E82" s="32" t="n"/>
      <c r="F82" s="33" t="n"/>
      <c r="G82" s="33" t="n"/>
      <c r="H82" s="33" t="n"/>
      <c r="I82" s="34" t="str">
        <f>IF(AND(ISNUMBER(F82),ISNUMBER(G82),ISNUMBER(H82)),IF(OR(AND(E82="多",F82&gt;G82),AND(E82="空",F82&lt;G82)),ABS(H82-F82)/ABS(F82-G82),"止损方向不对"),"")</f>
        <v/>
      </c>
      <c r="J82" s="35" t="str">
        <f>IF(AND(ISNUMBER(F82),ISNUMBER(G82)),IF(F82=G82,"",IF(INT(ROUND('参数'!$C$7/(ABS(F82-G82)*1+2*'参数'!$C$11+N('参数'!$C$14)*F82+N('参数'!$C$15))/1,6))*1&gt;0,INT(ROUND('参数'!$C$7/(ABS(F82-G82)*1+2*'参数'!$C$11+N('参数'!$C$14)*F82+N('参数'!$C$15))/1,6))*1,"预算不足，这笔不做")),"")</f>
        <v/>
      </c>
      <c r="K82" s="36" t="n"/>
      <c r="L82" s="20" t="str">
        <f>IF(AND(ISNUMBER(F82),ISNUMBER(G82),ISNUMBER(K82)),IF(AND(F82&lt;&gt;G82,K82&gt;0),ABS(F82-G82)*K82*1,""),"")</f>
        <v/>
      </c>
      <c r="M82" s="30" t="n"/>
      <c r="N82" s="37" t="str">
        <f>IF(AND(ISNUMBER(L82),ISNUMBER(M82)),IF(E82="空",(G82*(1+'参数'!$C$17)-F82),(F82-G82*(1-'参数'!$C$17)))*K82/L82,"")</f>
        <v/>
      </c>
      <c r="O82" s="38" t="n"/>
      <c r="P82" s="31" t="n"/>
      <c r="Q82" s="32" t="n"/>
      <c r="R82" s="39" t="str">
        <f>IF(N(U82)&gt;0,SUMPRODUCT(LARGE(('成交明细'!$A$5:$A$804=A82)*('成交明细'!$D$5:$D$804=IF(E82="空","卖","买"))*'成交明细'!$B$5:$B$804,COUNTIFS('成交明细'!$A$5:$A$804,A82,'成交明细'!$D$5:$D$804,IF(E82="空","卖","买")))),"")</f>
        <v/>
      </c>
      <c r="S82" s="39" t="str">
        <f>IF(AND(N(U82)&gt;0,N(W82)&gt;=N(U82)),SUMPRODUCT(MAX(('成交明细'!$A$5:$A$804=A82)*('成交明细'!$D$5:$D$804=IF(E82="空","买","卖"))*'成交明细'!$B$5:$B$804)),"")</f>
        <v/>
      </c>
      <c r="T82" s="32" t="n"/>
      <c r="U82" s="35" t="str">
        <f>IF(A82="","",SUMIFS('成交明细'!$F$5:$F$804,'成交明细'!$A$5:$A$804,A82,'成交明细'!$D$5:$D$804,IF(E82="空","卖","买")))</f>
        <v/>
      </c>
      <c r="V82" s="40" t="str">
        <f>IF(N(U82)&gt;0,SUMIFS('成交明细'!$H$5:$H$804,'成交明细'!$A$5:$A$804,A82,'成交明细'!$D$5:$D$804,IF(E82="空","卖","买"))/U82,"")</f>
        <v/>
      </c>
      <c r="W82" s="35" t="str">
        <f>IF(A82="","",SUMIFS('成交明细'!$F$5:$F$804,'成交明细'!$A$5:$A$804,A82,'成交明细'!$D$5:$D$804,IF(E82="空","买","卖")))</f>
        <v/>
      </c>
      <c r="X82" s="40" t="str">
        <f>IF(N(W82)&gt;0,SUMIFS('成交明细'!$H$5:$H$804,'成交明细'!$A$5:$A$804,A82,'成交明细'!$D$5:$D$804,IF(E82="空","买","卖"))/W82,"")</f>
        <v/>
      </c>
      <c r="Y82" s="41" t="str">
        <f>IF(A82="","",IF(Q82&lt;&gt;"已执行",IF(Q82="","未填执行情况",Q82),IF(N(U82)=0,"待录成交",IF(N(W82)&gt;N(U82),"平仓多于开仓",IF(N(W82)&lt;N(U82),"持仓中","已平仓")))))</f>
        <v/>
      </c>
      <c r="Z82" s="41" t="str">
        <f>IF(AND(ISNUMBER(R82),ISNUMBER(S82)),IF(R82=S82,"日内",""),"")</f>
        <v/>
      </c>
      <c r="AA82" s="42" t="str">
        <f>IF(Z82&lt;&gt;"日内","",COUNTIFS($Z$5:$Z$304,"日内",$S$5:$S$304,"&gt;"&amp;WORKDAY(S82,-5),$S$5:$S$304,"&lt;="&amp;S82))</f>
        <v/>
      </c>
      <c r="AB82" s="41" t="str">
        <f>IF(OR(NOT(ISNUMBER(M82)),NOT(ISNUMBER(R82))),"",IF(AND(M82&gt;=R82,OR(NOT(ISNUMBER(S82)),M82&lt;=S82)),"持仓跨财报",""))</f>
        <v/>
      </c>
      <c r="AC82" s="20">
        <f>IF(AND(E82="空",ISNUMBER(O82),ISNUMBER(S82)),ROUND(O82*(S82-R82)/360*V82*U82,2),0)</f>
        <v>0</v>
      </c>
      <c r="AD82" s="43" t="str">
        <f>IF(N(U82)=0,"",SUMIFS('成交明细'!$L$5:$L$804,'成交明细'!$A$5:$A$804,A82)+AC82)</f>
        <v/>
      </c>
      <c r="AE82" s="44" t="str">
        <f>IF(Y82&lt;&gt;"已平仓","",(SUMIFS('成交明细'!$H$5:$H$804,'成交明细'!$A$5:$A$804,A82,'成交明细'!$D$5:$D$804,"卖")-SUMIFS('成交明细'!$H$5:$H$804,'成交明细'!$A$5:$A$804,A82,'成交明细'!$D$5:$D$804,"买"))*1-AD82)</f>
        <v/>
      </c>
      <c r="AF82" s="45" t="str">
        <f>IF(AND(Y82="已平仓",ISNUMBER(L82)),(SUMIFS('成交明细'!$H$5:$H$804,'成交明细'!$A$5:$A$804,A82,'成交明细'!$D$5:$D$804,"卖")-SUMIFS('成交明细'!$H$5:$H$804,'成交明细'!$A$5:$A$804,A82,'成交明细'!$D$5:$D$804,"买"))*1/L82,"")</f>
        <v/>
      </c>
      <c r="AG82" s="45" t="str">
        <f>IF(AND(Y82="已平仓",ISNUMBER(L82)),AE82/L82,"")</f>
        <v/>
      </c>
      <c r="AH82" s="46" t="str">
        <f>IF(AND(ISNUMBER(V82),ISNUMBER(F82)),IF(E82="空",F82-V82,V82-F82),"")</f>
        <v/>
      </c>
      <c r="AI82" s="46" t="str">
        <f>IF(OR(NOT(ISNUMBER(AE82)),NOT(ISNUMBER(X82))),"",IF(AE82&lt;0,IF(E82="空",X82-G82,G82-X82),IF(NOT(ISNUMBER(H82)),"",IF(E82="空",X82-H82,H82-X82))))</f>
        <v/>
      </c>
      <c r="AJ82" s="32" t="n"/>
      <c r="AK82" s="32" t="n"/>
      <c r="AL82" s="31" t="n"/>
      <c r="AM82" s="45" t="str">
        <f>IF(A82="","",SUM(AG$5:AG82))</f>
        <v/>
      </c>
      <c r="AN82" s="37" t="str">
        <f>IF(A82="","",MAX(0,MAX(AM$5:AM82))-AM82)</f>
        <v/>
      </c>
    </row>
    <row r="83">
      <c r="A83" s="29" t="n"/>
      <c r="B83" s="30" t="n"/>
      <c r="C83" s="31" t="n"/>
      <c r="D83" s="32" t="n"/>
      <c r="E83" s="32" t="n"/>
      <c r="F83" s="33" t="n"/>
      <c r="G83" s="33" t="n"/>
      <c r="H83" s="33" t="n"/>
      <c r="I83" s="34" t="str">
        <f>IF(AND(ISNUMBER(F83),ISNUMBER(G83),ISNUMBER(H83)),IF(OR(AND(E83="多",F83&gt;G83),AND(E83="空",F83&lt;G83)),ABS(H83-F83)/ABS(F83-G83),"止损方向不对"),"")</f>
        <v/>
      </c>
      <c r="J83" s="35" t="str">
        <f>IF(AND(ISNUMBER(F83),ISNUMBER(G83)),IF(F83=G83,"",IF(INT(ROUND('参数'!$C$7/(ABS(F83-G83)*1+2*'参数'!$C$11+N('参数'!$C$14)*F83+N('参数'!$C$15))/1,6))*1&gt;0,INT(ROUND('参数'!$C$7/(ABS(F83-G83)*1+2*'参数'!$C$11+N('参数'!$C$14)*F83+N('参数'!$C$15))/1,6))*1,"预算不足，这笔不做")),"")</f>
        <v/>
      </c>
      <c r="K83" s="36" t="n"/>
      <c r="L83" s="20" t="str">
        <f>IF(AND(ISNUMBER(F83),ISNUMBER(G83),ISNUMBER(K83)),IF(AND(F83&lt;&gt;G83,K83&gt;0),ABS(F83-G83)*K83*1,""),"")</f>
        <v/>
      </c>
      <c r="M83" s="30" t="n"/>
      <c r="N83" s="37" t="str">
        <f>IF(AND(ISNUMBER(L83),ISNUMBER(M83)),IF(E83="空",(G83*(1+'参数'!$C$17)-F83),(F83-G83*(1-'参数'!$C$17)))*K83/L83,"")</f>
        <v/>
      </c>
      <c r="O83" s="38" t="n"/>
      <c r="P83" s="31" t="n"/>
      <c r="Q83" s="32" t="n"/>
      <c r="R83" s="39" t="str">
        <f>IF(N(U83)&gt;0,SUMPRODUCT(LARGE(('成交明细'!$A$5:$A$804=A83)*('成交明细'!$D$5:$D$804=IF(E83="空","卖","买"))*'成交明细'!$B$5:$B$804,COUNTIFS('成交明细'!$A$5:$A$804,A83,'成交明细'!$D$5:$D$804,IF(E83="空","卖","买")))),"")</f>
        <v/>
      </c>
      <c r="S83" s="39" t="str">
        <f>IF(AND(N(U83)&gt;0,N(W83)&gt;=N(U83)),SUMPRODUCT(MAX(('成交明细'!$A$5:$A$804=A83)*('成交明细'!$D$5:$D$804=IF(E83="空","买","卖"))*'成交明细'!$B$5:$B$804)),"")</f>
        <v/>
      </c>
      <c r="T83" s="32" t="n"/>
      <c r="U83" s="35" t="str">
        <f>IF(A83="","",SUMIFS('成交明细'!$F$5:$F$804,'成交明细'!$A$5:$A$804,A83,'成交明细'!$D$5:$D$804,IF(E83="空","卖","买")))</f>
        <v/>
      </c>
      <c r="V83" s="40" t="str">
        <f>IF(N(U83)&gt;0,SUMIFS('成交明细'!$H$5:$H$804,'成交明细'!$A$5:$A$804,A83,'成交明细'!$D$5:$D$804,IF(E83="空","卖","买"))/U83,"")</f>
        <v/>
      </c>
      <c r="W83" s="35" t="str">
        <f>IF(A83="","",SUMIFS('成交明细'!$F$5:$F$804,'成交明细'!$A$5:$A$804,A83,'成交明细'!$D$5:$D$804,IF(E83="空","买","卖")))</f>
        <v/>
      </c>
      <c r="X83" s="40" t="str">
        <f>IF(N(W83)&gt;0,SUMIFS('成交明细'!$H$5:$H$804,'成交明细'!$A$5:$A$804,A83,'成交明细'!$D$5:$D$804,IF(E83="空","买","卖"))/W83,"")</f>
        <v/>
      </c>
      <c r="Y83" s="41" t="str">
        <f>IF(A83="","",IF(Q83&lt;&gt;"已执行",IF(Q83="","未填执行情况",Q83),IF(N(U83)=0,"待录成交",IF(N(W83)&gt;N(U83),"平仓多于开仓",IF(N(W83)&lt;N(U83),"持仓中","已平仓")))))</f>
        <v/>
      </c>
      <c r="Z83" s="41" t="str">
        <f>IF(AND(ISNUMBER(R83),ISNUMBER(S83)),IF(R83=S83,"日内",""),"")</f>
        <v/>
      </c>
      <c r="AA83" s="42" t="str">
        <f>IF(Z83&lt;&gt;"日内","",COUNTIFS($Z$5:$Z$304,"日内",$S$5:$S$304,"&gt;"&amp;WORKDAY(S83,-5),$S$5:$S$304,"&lt;="&amp;S83))</f>
        <v/>
      </c>
      <c r="AB83" s="41" t="str">
        <f>IF(OR(NOT(ISNUMBER(M83)),NOT(ISNUMBER(R83))),"",IF(AND(M83&gt;=R83,OR(NOT(ISNUMBER(S83)),M83&lt;=S83)),"持仓跨财报",""))</f>
        <v/>
      </c>
      <c r="AC83" s="20">
        <f>IF(AND(E83="空",ISNUMBER(O83),ISNUMBER(S83)),ROUND(O83*(S83-R83)/360*V83*U83,2),0)</f>
        <v>0</v>
      </c>
      <c r="AD83" s="43" t="str">
        <f>IF(N(U83)=0,"",SUMIFS('成交明细'!$L$5:$L$804,'成交明细'!$A$5:$A$804,A83)+AC83)</f>
        <v/>
      </c>
      <c r="AE83" s="44" t="str">
        <f>IF(Y83&lt;&gt;"已平仓","",(SUMIFS('成交明细'!$H$5:$H$804,'成交明细'!$A$5:$A$804,A83,'成交明细'!$D$5:$D$804,"卖")-SUMIFS('成交明细'!$H$5:$H$804,'成交明细'!$A$5:$A$804,A83,'成交明细'!$D$5:$D$804,"买"))*1-AD83)</f>
        <v/>
      </c>
      <c r="AF83" s="45" t="str">
        <f>IF(AND(Y83="已平仓",ISNUMBER(L83)),(SUMIFS('成交明细'!$H$5:$H$804,'成交明细'!$A$5:$A$804,A83,'成交明细'!$D$5:$D$804,"卖")-SUMIFS('成交明细'!$H$5:$H$804,'成交明细'!$A$5:$A$804,A83,'成交明细'!$D$5:$D$804,"买"))*1/L83,"")</f>
        <v/>
      </c>
      <c r="AG83" s="45" t="str">
        <f>IF(AND(Y83="已平仓",ISNUMBER(L83)),AE83/L83,"")</f>
        <v/>
      </c>
      <c r="AH83" s="46" t="str">
        <f>IF(AND(ISNUMBER(V83),ISNUMBER(F83)),IF(E83="空",F83-V83,V83-F83),"")</f>
        <v/>
      </c>
      <c r="AI83" s="46" t="str">
        <f>IF(OR(NOT(ISNUMBER(AE83)),NOT(ISNUMBER(X83))),"",IF(AE83&lt;0,IF(E83="空",X83-G83,G83-X83),IF(NOT(ISNUMBER(H83)),"",IF(E83="空",X83-H83,H83-X83))))</f>
        <v/>
      </c>
      <c r="AJ83" s="32" t="n"/>
      <c r="AK83" s="32" t="n"/>
      <c r="AL83" s="31" t="n"/>
      <c r="AM83" s="45" t="str">
        <f>IF(A83="","",SUM(AG$5:AG83))</f>
        <v/>
      </c>
      <c r="AN83" s="37" t="str">
        <f>IF(A83="","",MAX(0,MAX(AM$5:AM83))-AM83)</f>
        <v/>
      </c>
    </row>
    <row r="84">
      <c r="A84" s="29" t="n"/>
      <c r="B84" s="30" t="n"/>
      <c r="C84" s="31" t="n"/>
      <c r="D84" s="32" t="n"/>
      <c r="E84" s="32" t="n"/>
      <c r="F84" s="33" t="n"/>
      <c r="G84" s="33" t="n"/>
      <c r="H84" s="33" t="n"/>
      <c r="I84" s="34" t="str">
        <f>IF(AND(ISNUMBER(F84),ISNUMBER(G84),ISNUMBER(H84)),IF(OR(AND(E84="多",F84&gt;G84),AND(E84="空",F84&lt;G84)),ABS(H84-F84)/ABS(F84-G84),"止损方向不对"),"")</f>
        <v/>
      </c>
      <c r="J84" s="35" t="str">
        <f>IF(AND(ISNUMBER(F84),ISNUMBER(G84)),IF(F84=G84,"",IF(INT(ROUND('参数'!$C$7/(ABS(F84-G84)*1+2*'参数'!$C$11+N('参数'!$C$14)*F84+N('参数'!$C$15))/1,6))*1&gt;0,INT(ROUND('参数'!$C$7/(ABS(F84-G84)*1+2*'参数'!$C$11+N('参数'!$C$14)*F84+N('参数'!$C$15))/1,6))*1,"预算不足，这笔不做")),"")</f>
        <v/>
      </c>
      <c r="K84" s="36" t="n"/>
      <c r="L84" s="20" t="str">
        <f>IF(AND(ISNUMBER(F84),ISNUMBER(G84),ISNUMBER(K84)),IF(AND(F84&lt;&gt;G84,K84&gt;0),ABS(F84-G84)*K84*1,""),"")</f>
        <v/>
      </c>
      <c r="M84" s="30" t="n"/>
      <c r="N84" s="37" t="str">
        <f>IF(AND(ISNUMBER(L84),ISNUMBER(M84)),IF(E84="空",(G84*(1+'参数'!$C$17)-F84),(F84-G84*(1-'参数'!$C$17)))*K84/L84,"")</f>
        <v/>
      </c>
      <c r="O84" s="38" t="n"/>
      <c r="P84" s="31" t="n"/>
      <c r="Q84" s="32" t="n"/>
      <c r="R84" s="39" t="str">
        <f>IF(N(U84)&gt;0,SUMPRODUCT(LARGE(('成交明细'!$A$5:$A$804=A84)*('成交明细'!$D$5:$D$804=IF(E84="空","卖","买"))*'成交明细'!$B$5:$B$804,COUNTIFS('成交明细'!$A$5:$A$804,A84,'成交明细'!$D$5:$D$804,IF(E84="空","卖","买")))),"")</f>
        <v/>
      </c>
      <c r="S84" s="39" t="str">
        <f>IF(AND(N(U84)&gt;0,N(W84)&gt;=N(U84)),SUMPRODUCT(MAX(('成交明细'!$A$5:$A$804=A84)*('成交明细'!$D$5:$D$804=IF(E84="空","买","卖"))*'成交明细'!$B$5:$B$804)),"")</f>
        <v/>
      </c>
      <c r="T84" s="32" t="n"/>
      <c r="U84" s="35" t="str">
        <f>IF(A84="","",SUMIFS('成交明细'!$F$5:$F$804,'成交明细'!$A$5:$A$804,A84,'成交明细'!$D$5:$D$804,IF(E84="空","卖","买")))</f>
        <v/>
      </c>
      <c r="V84" s="40" t="str">
        <f>IF(N(U84)&gt;0,SUMIFS('成交明细'!$H$5:$H$804,'成交明细'!$A$5:$A$804,A84,'成交明细'!$D$5:$D$804,IF(E84="空","卖","买"))/U84,"")</f>
        <v/>
      </c>
      <c r="W84" s="35" t="str">
        <f>IF(A84="","",SUMIFS('成交明细'!$F$5:$F$804,'成交明细'!$A$5:$A$804,A84,'成交明细'!$D$5:$D$804,IF(E84="空","买","卖")))</f>
        <v/>
      </c>
      <c r="X84" s="40" t="str">
        <f>IF(N(W84)&gt;0,SUMIFS('成交明细'!$H$5:$H$804,'成交明细'!$A$5:$A$804,A84,'成交明细'!$D$5:$D$804,IF(E84="空","买","卖"))/W84,"")</f>
        <v/>
      </c>
      <c r="Y84" s="41" t="str">
        <f>IF(A84="","",IF(Q84&lt;&gt;"已执行",IF(Q84="","未填执行情况",Q84),IF(N(U84)=0,"待录成交",IF(N(W84)&gt;N(U84),"平仓多于开仓",IF(N(W84)&lt;N(U84),"持仓中","已平仓")))))</f>
        <v/>
      </c>
      <c r="Z84" s="41" t="str">
        <f>IF(AND(ISNUMBER(R84),ISNUMBER(S84)),IF(R84=S84,"日内",""),"")</f>
        <v/>
      </c>
      <c r="AA84" s="42" t="str">
        <f>IF(Z84&lt;&gt;"日内","",COUNTIFS($Z$5:$Z$304,"日内",$S$5:$S$304,"&gt;"&amp;WORKDAY(S84,-5),$S$5:$S$304,"&lt;="&amp;S84))</f>
        <v/>
      </c>
      <c r="AB84" s="41" t="str">
        <f>IF(OR(NOT(ISNUMBER(M84)),NOT(ISNUMBER(R84))),"",IF(AND(M84&gt;=R84,OR(NOT(ISNUMBER(S84)),M84&lt;=S84)),"持仓跨财报",""))</f>
        <v/>
      </c>
      <c r="AC84" s="20">
        <f>IF(AND(E84="空",ISNUMBER(O84),ISNUMBER(S84)),ROUND(O84*(S84-R84)/360*V84*U84,2),0)</f>
        <v>0</v>
      </c>
      <c r="AD84" s="43" t="str">
        <f>IF(N(U84)=0,"",SUMIFS('成交明细'!$L$5:$L$804,'成交明细'!$A$5:$A$804,A84)+AC84)</f>
        <v/>
      </c>
      <c r="AE84" s="44" t="str">
        <f>IF(Y84&lt;&gt;"已平仓","",(SUMIFS('成交明细'!$H$5:$H$804,'成交明细'!$A$5:$A$804,A84,'成交明细'!$D$5:$D$804,"卖")-SUMIFS('成交明细'!$H$5:$H$804,'成交明细'!$A$5:$A$804,A84,'成交明细'!$D$5:$D$804,"买"))*1-AD84)</f>
        <v/>
      </c>
      <c r="AF84" s="45" t="str">
        <f>IF(AND(Y84="已平仓",ISNUMBER(L84)),(SUMIFS('成交明细'!$H$5:$H$804,'成交明细'!$A$5:$A$804,A84,'成交明细'!$D$5:$D$804,"卖")-SUMIFS('成交明细'!$H$5:$H$804,'成交明细'!$A$5:$A$804,A84,'成交明细'!$D$5:$D$804,"买"))*1/L84,"")</f>
        <v/>
      </c>
      <c r="AG84" s="45" t="str">
        <f>IF(AND(Y84="已平仓",ISNUMBER(L84)),AE84/L84,"")</f>
        <v/>
      </c>
      <c r="AH84" s="46" t="str">
        <f>IF(AND(ISNUMBER(V84),ISNUMBER(F84)),IF(E84="空",F84-V84,V84-F84),"")</f>
        <v/>
      </c>
      <c r="AI84" s="46" t="str">
        <f>IF(OR(NOT(ISNUMBER(AE84)),NOT(ISNUMBER(X84))),"",IF(AE84&lt;0,IF(E84="空",X84-G84,G84-X84),IF(NOT(ISNUMBER(H84)),"",IF(E84="空",X84-H84,H84-X84))))</f>
        <v/>
      </c>
      <c r="AJ84" s="32" t="n"/>
      <c r="AK84" s="32" t="n"/>
      <c r="AL84" s="31" t="n"/>
      <c r="AM84" s="45" t="str">
        <f>IF(A84="","",SUM(AG$5:AG84))</f>
        <v/>
      </c>
      <c r="AN84" s="37" t="str">
        <f>IF(A84="","",MAX(0,MAX(AM$5:AM84))-AM84)</f>
        <v/>
      </c>
    </row>
    <row r="85">
      <c r="A85" s="29" t="n"/>
      <c r="B85" s="30" t="n"/>
      <c r="C85" s="31" t="n"/>
      <c r="D85" s="32" t="n"/>
      <c r="E85" s="32" t="n"/>
      <c r="F85" s="33" t="n"/>
      <c r="G85" s="33" t="n"/>
      <c r="H85" s="33" t="n"/>
      <c r="I85" s="34" t="str">
        <f>IF(AND(ISNUMBER(F85),ISNUMBER(G85),ISNUMBER(H85)),IF(OR(AND(E85="多",F85&gt;G85),AND(E85="空",F85&lt;G85)),ABS(H85-F85)/ABS(F85-G85),"止损方向不对"),"")</f>
        <v/>
      </c>
      <c r="J85" s="35" t="str">
        <f>IF(AND(ISNUMBER(F85),ISNUMBER(G85)),IF(F85=G85,"",IF(INT(ROUND('参数'!$C$7/(ABS(F85-G85)*1+2*'参数'!$C$11+N('参数'!$C$14)*F85+N('参数'!$C$15))/1,6))*1&gt;0,INT(ROUND('参数'!$C$7/(ABS(F85-G85)*1+2*'参数'!$C$11+N('参数'!$C$14)*F85+N('参数'!$C$15))/1,6))*1,"预算不足，这笔不做")),"")</f>
        <v/>
      </c>
      <c r="K85" s="36" t="n"/>
      <c r="L85" s="20" t="str">
        <f>IF(AND(ISNUMBER(F85),ISNUMBER(G85),ISNUMBER(K85)),IF(AND(F85&lt;&gt;G85,K85&gt;0),ABS(F85-G85)*K85*1,""),"")</f>
        <v/>
      </c>
      <c r="M85" s="30" t="n"/>
      <c r="N85" s="37" t="str">
        <f>IF(AND(ISNUMBER(L85),ISNUMBER(M85)),IF(E85="空",(G85*(1+'参数'!$C$17)-F85),(F85-G85*(1-'参数'!$C$17)))*K85/L85,"")</f>
        <v/>
      </c>
      <c r="O85" s="38" t="n"/>
      <c r="P85" s="31" t="n"/>
      <c r="Q85" s="32" t="n"/>
      <c r="R85" s="39" t="str">
        <f>IF(N(U85)&gt;0,SUMPRODUCT(LARGE(('成交明细'!$A$5:$A$804=A85)*('成交明细'!$D$5:$D$804=IF(E85="空","卖","买"))*'成交明细'!$B$5:$B$804,COUNTIFS('成交明细'!$A$5:$A$804,A85,'成交明细'!$D$5:$D$804,IF(E85="空","卖","买")))),"")</f>
        <v/>
      </c>
      <c r="S85" s="39" t="str">
        <f>IF(AND(N(U85)&gt;0,N(W85)&gt;=N(U85)),SUMPRODUCT(MAX(('成交明细'!$A$5:$A$804=A85)*('成交明细'!$D$5:$D$804=IF(E85="空","买","卖"))*'成交明细'!$B$5:$B$804)),"")</f>
        <v/>
      </c>
      <c r="T85" s="32" t="n"/>
      <c r="U85" s="35" t="str">
        <f>IF(A85="","",SUMIFS('成交明细'!$F$5:$F$804,'成交明细'!$A$5:$A$804,A85,'成交明细'!$D$5:$D$804,IF(E85="空","卖","买")))</f>
        <v/>
      </c>
      <c r="V85" s="40" t="str">
        <f>IF(N(U85)&gt;0,SUMIFS('成交明细'!$H$5:$H$804,'成交明细'!$A$5:$A$804,A85,'成交明细'!$D$5:$D$804,IF(E85="空","卖","买"))/U85,"")</f>
        <v/>
      </c>
      <c r="W85" s="35" t="str">
        <f>IF(A85="","",SUMIFS('成交明细'!$F$5:$F$804,'成交明细'!$A$5:$A$804,A85,'成交明细'!$D$5:$D$804,IF(E85="空","买","卖")))</f>
        <v/>
      </c>
      <c r="X85" s="40" t="str">
        <f>IF(N(W85)&gt;0,SUMIFS('成交明细'!$H$5:$H$804,'成交明细'!$A$5:$A$804,A85,'成交明细'!$D$5:$D$804,IF(E85="空","买","卖"))/W85,"")</f>
        <v/>
      </c>
      <c r="Y85" s="41" t="str">
        <f>IF(A85="","",IF(Q85&lt;&gt;"已执行",IF(Q85="","未填执行情况",Q85),IF(N(U85)=0,"待录成交",IF(N(W85)&gt;N(U85),"平仓多于开仓",IF(N(W85)&lt;N(U85),"持仓中","已平仓")))))</f>
        <v/>
      </c>
      <c r="Z85" s="41" t="str">
        <f>IF(AND(ISNUMBER(R85),ISNUMBER(S85)),IF(R85=S85,"日内",""),"")</f>
        <v/>
      </c>
      <c r="AA85" s="42" t="str">
        <f>IF(Z85&lt;&gt;"日内","",COUNTIFS($Z$5:$Z$304,"日内",$S$5:$S$304,"&gt;"&amp;WORKDAY(S85,-5),$S$5:$S$304,"&lt;="&amp;S85))</f>
        <v/>
      </c>
      <c r="AB85" s="41" t="str">
        <f>IF(OR(NOT(ISNUMBER(M85)),NOT(ISNUMBER(R85))),"",IF(AND(M85&gt;=R85,OR(NOT(ISNUMBER(S85)),M85&lt;=S85)),"持仓跨财报",""))</f>
        <v/>
      </c>
      <c r="AC85" s="20">
        <f>IF(AND(E85="空",ISNUMBER(O85),ISNUMBER(S85)),ROUND(O85*(S85-R85)/360*V85*U85,2),0)</f>
        <v>0</v>
      </c>
      <c r="AD85" s="43" t="str">
        <f>IF(N(U85)=0,"",SUMIFS('成交明细'!$L$5:$L$804,'成交明细'!$A$5:$A$804,A85)+AC85)</f>
        <v/>
      </c>
      <c r="AE85" s="44" t="str">
        <f>IF(Y85&lt;&gt;"已平仓","",(SUMIFS('成交明细'!$H$5:$H$804,'成交明细'!$A$5:$A$804,A85,'成交明细'!$D$5:$D$804,"卖")-SUMIFS('成交明细'!$H$5:$H$804,'成交明细'!$A$5:$A$804,A85,'成交明细'!$D$5:$D$804,"买"))*1-AD85)</f>
        <v/>
      </c>
      <c r="AF85" s="45" t="str">
        <f>IF(AND(Y85="已平仓",ISNUMBER(L85)),(SUMIFS('成交明细'!$H$5:$H$804,'成交明细'!$A$5:$A$804,A85,'成交明细'!$D$5:$D$804,"卖")-SUMIFS('成交明细'!$H$5:$H$804,'成交明细'!$A$5:$A$804,A85,'成交明细'!$D$5:$D$804,"买"))*1/L85,"")</f>
        <v/>
      </c>
      <c r="AG85" s="45" t="str">
        <f>IF(AND(Y85="已平仓",ISNUMBER(L85)),AE85/L85,"")</f>
        <v/>
      </c>
      <c r="AH85" s="46" t="str">
        <f>IF(AND(ISNUMBER(V85),ISNUMBER(F85)),IF(E85="空",F85-V85,V85-F85),"")</f>
        <v/>
      </c>
      <c r="AI85" s="46" t="str">
        <f>IF(OR(NOT(ISNUMBER(AE85)),NOT(ISNUMBER(X85))),"",IF(AE85&lt;0,IF(E85="空",X85-G85,G85-X85),IF(NOT(ISNUMBER(H85)),"",IF(E85="空",X85-H85,H85-X85))))</f>
        <v/>
      </c>
      <c r="AJ85" s="32" t="n"/>
      <c r="AK85" s="32" t="n"/>
      <c r="AL85" s="31" t="n"/>
      <c r="AM85" s="45" t="str">
        <f>IF(A85="","",SUM(AG$5:AG85))</f>
        <v/>
      </c>
      <c r="AN85" s="37" t="str">
        <f>IF(A85="","",MAX(0,MAX(AM$5:AM85))-AM85)</f>
        <v/>
      </c>
    </row>
    <row r="86">
      <c r="A86" s="29" t="n"/>
      <c r="B86" s="30" t="n"/>
      <c r="C86" s="31" t="n"/>
      <c r="D86" s="32" t="n"/>
      <c r="E86" s="32" t="n"/>
      <c r="F86" s="33" t="n"/>
      <c r="G86" s="33" t="n"/>
      <c r="H86" s="33" t="n"/>
      <c r="I86" s="34" t="str">
        <f>IF(AND(ISNUMBER(F86),ISNUMBER(G86),ISNUMBER(H86)),IF(OR(AND(E86="多",F86&gt;G86),AND(E86="空",F86&lt;G86)),ABS(H86-F86)/ABS(F86-G86),"止损方向不对"),"")</f>
        <v/>
      </c>
      <c r="J86" s="35" t="str">
        <f>IF(AND(ISNUMBER(F86),ISNUMBER(G86)),IF(F86=G86,"",IF(INT(ROUND('参数'!$C$7/(ABS(F86-G86)*1+2*'参数'!$C$11+N('参数'!$C$14)*F86+N('参数'!$C$15))/1,6))*1&gt;0,INT(ROUND('参数'!$C$7/(ABS(F86-G86)*1+2*'参数'!$C$11+N('参数'!$C$14)*F86+N('参数'!$C$15))/1,6))*1,"预算不足，这笔不做")),"")</f>
        <v/>
      </c>
      <c r="K86" s="36" t="n"/>
      <c r="L86" s="20" t="str">
        <f>IF(AND(ISNUMBER(F86),ISNUMBER(G86),ISNUMBER(K86)),IF(AND(F86&lt;&gt;G86,K86&gt;0),ABS(F86-G86)*K86*1,""),"")</f>
        <v/>
      </c>
      <c r="M86" s="30" t="n"/>
      <c r="N86" s="37" t="str">
        <f>IF(AND(ISNUMBER(L86),ISNUMBER(M86)),IF(E86="空",(G86*(1+'参数'!$C$17)-F86),(F86-G86*(1-'参数'!$C$17)))*K86/L86,"")</f>
        <v/>
      </c>
      <c r="O86" s="38" t="n"/>
      <c r="P86" s="31" t="n"/>
      <c r="Q86" s="32" t="n"/>
      <c r="R86" s="39" t="str">
        <f>IF(N(U86)&gt;0,SUMPRODUCT(LARGE(('成交明细'!$A$5:$A$804=A86)*('成交明细'!$D$5:$D$804=IF(E86="空","卖","买"))*'成交明细'!$B$5:$B$804,COUNTIFS('成交明细'!$A$5:$A$804,A86,'成交明细'!$D$5:$D$804,IF(E86="空","卖","买")))),"")</f>
        <v/>
      </c>
      <c r="S86" s="39" t="str">
        <f>IF(AND(N(U86)&gt;0,N(W86)&gt;=N(U86)),SUMPRODUCT(MAX(('成交明细'!$A$5:$A$804=A86)*('成交明细'!$D$5:$D$804=IF(E86="空","买","卖"))*'成交明细'!$B$5:$B$804)),"")</f>
        <v/>
      </c>
      <c r="T86" s="32" t="n"/>
      <c r="U86" s="35" t="str">
        <f>IF(A86="","",SUMIFS('成交明细'!$F$5:$F$804,'成交明细'!$A$5:$A$804,A86,'成交明细'!$D$5:$D$804,IF(E86="空","卖","买")))</f>
        <v/>
      </c>
      <c r="V86" s="40" t="str">
        <f>IF(N(U86)&gt;0,SUMIFS('成交明细'!$H$5:$H$804,'成交明细'!$A$5:$A$804,A86,'成交明细'!$D$5:$D$804,IF(E86="空","卖","买"))/U86,"")</f>
        <v/>
      </c>
      <c r="W86" s="35" t="str">
        <f>IF(A86="","",SUMIFS('成交明细'!$F$5:$F$804,'成交明细'!$A$5:$A$804,A86,'成交明细'!$D$5:$D$804,IF(E86="空","买","卖")))</f>
        <v/>
      </c>
      <c r="X86" s="40" t="str">
        <f>IF(N(W86)&gt;0,SUMIFS('成交明细'!$H$5:$H$804,'成交明细'!$A$5:$A$804,A86,'成交明细'!$D$5:$D$804,IF(E86="空","买","卖"))/W86,"")</f>
        <v/>
      </c>
      <c r="Y86" s="41" t="str">
        <f>IF(A86="","",IF(Q86&lt;&gt;"已执行",IF(Q86="","未填执行情况",Q86),IF(N(U86)=0,"待录成交",IF(N(W86)&gt;N(U86),"平仓多于开仓",IF(N(W86)&lt;N(U86),"持仓中","已平仓")))))</f>
        <v/>
      </c>
      <c r="Z86" s="41" t="str">
        <f>IF(AND(ISNUMBER(R86),ISNUMBER(S86)),IF(R86=S86,"日内",""),"")</f>
        <v/>
      </c>
      <c r="AA86" s="42" t="str">
        <f>IF(Z86&lt;&gt;"日内","",COUNTIFS($Z$5:$Z$304,"日内",$S$5:$S$304,"&gt;"&amp;WORKDAY(S86,-5),$S$5:$S$304,"&lt;="&amp;S86))</f>
        <v/>
      </c>
      <c r="AB86" s="41" t="str">
        <f>IF(OR(NOT(ISNUMBER(M86)),NOT(ISNUMBER(R86))),"",IF(AND(M86&gt;=R86,OR(NOT(ISNUMBER(S86)),M86&lt;=S86)),"持仓跨财报",""))</f>
        <v/>
      </c>
      <c r="AC86" s="20">
        <f>IF(AND(E86="空",ISNUMBER(O86),ISNUMBER(S86)),ROUND(O86*(S86-R86)/360*V86*U86,2),0)</f>
        <v>0</v>
      </c>
      <c r="AD86" s="43" t="str">
        <f>IF(N(U86)=0,"",SUMIFS('成交明细'!$L$5:$L$804,'成交明细'!$A$5:$A$804,A86)+AC86)</f>
        <v/>
      </c>
      <c r="AE86" s="44" t="str">
        <f>IF(Y86&lt;&gt;"已平仓","",(SUMIFS('成交明细'!$H$5:$H$804,'成交明细'!$A$5:$A$804,A86,'成交明细'!$D$5:$D$804,"卖")-SUMIFS('成交明细'!$H$5:$H$804,'成交明细'!$A$5:$A$804,A86,'成交明细'!$D$5:$D$804,"买"))*1-AD86)</f>
        <v/>
      </c>
      <c r="AF86" s="45" t="str">
        <f>IF(AND(Y86="已平仓",ISNUMBER(L86)),(SUMIFS('成交明细'!$H$5:$H$804,'成交明细'!$A$5:$A$804,A86,'成交明细'!$D$5:$D$804,"卖")-SUMIFS('成交明细'!$H$5:$H$804,'成交明细'!$A$5:$A$804,A86,'成交明细'!$D$5:$D$804,"买"))*1/L86,"")</f>
        <v/>
      </c>
      <c r="AG86" s="45" t="str">
        <f>IF(AND(Y86="已平仓",ISNUMBER(L86)),AE86/L86,"")</f>
        <v/>
      </c>
      <c r="AH86" s="46" t="str">
        <f>IF(AND(ISNUMBER(V86),ISNUMBER(F86)),IF(E86="空",F86-V86,V86-F86),"")</f>
        <v/>
      </c>
      <c r="AI86" s="46" t="str">
        <f>IF(OR(NOT(ISNUMBER(AE86)),NOT(ISNUMBER(X86))),"",IF(AE86&lt;0,IF(E86="空",X86-G86,G86-X86),IF(NOT(ISNUMBER(H86)),"",IF(E86="空",X86-H86,H86-X86))))</f>
        <v/>
      </c>
      <c r="AJ86" s="32" t="n"/>
      <c r="AK86" s="32" t="n"/>
      <c r="AL86" s="31" t="n"/>
      <c r="AM86" s="45" t="str">
        <f>IF(A86="","",SUM(AG$5:AG86))</f>
        <v/>
      </c>
      <c r="AN86" s="37" t="str">
        <f>IF(A86="","",MAX(0,MAX(AM$5:AM86))-AM86)</f>
        <v/>
      </c>
    </row>
    <row r="87">
      <c r="A87" s="29" t="n"/>
      <c r="B87" s="30" t="n"/>
      <c r="C87" s="31" t="n"/>
      <c r="D87" s="32" t="n"/>
      <c r="E87" s="32" t="n"/>
      <c r="F87" s="33" t="n"/>
      <c r="G87" s="33" t="n"/>
      <c r="H87" s="33" t="n"/>
      <c r="I87" s="34" t="str">
        <f>IF(AND(ISNUMBER(F87),ISNUMBER(G87),ISNUMBER(H87)),IF(OR(AND(E87="多",F87&gt;G87),AND(E87="空",F87&lt;G87)),ABS(H87-F87)/ABS(F87-G87),"止损方向不对"),"")</f>
        <v/>
      </c>
      <c r="J87" s="35" t="str">
        <f>IF(AND(ISNUMBER(F87),ISNUMBER(G87)),IF(F87=G87,"",IF(INT(ROUND('参数'!$C$7/(ABS(F87-G87)*1+2*'参数'!$C$11+N('参数'!$C$14)*F87+N('参数'!$C$15))/1,6))*1&gt;0,INT(ROUND('参数'!$C$7/(ABS(F87-G87)*1+2*'参数'!$C$11+N('参数'!$C$14)*F87+N('参数'!$C$15))/1,6))*1,"预算不足，这笔不做")),"")</f>
        <v/>
      </c>
      <c r="K87" s="36" t="n"/>
      <c r="L87" s="20" t="str">
        <f>IF(AND(ISNUMBER(F87),ISNUMBER(G87),ISNUMBER(K87)),IF(AND(F87&lt;&gt;G87,K87&gt;0),ABS(F87-G87)*K87*1,""),"")</f>
        <v/>
      </c>
      <c r="M87" s="30" t="n"/>
      <c r="N87" s="37" t="str">
        <f>IF(AND(ISNUMBER(L87),ISNUMBER(M87)),IF(E87="空",(G87*(1+'参数'!$C$17)-F87),(F87-G87*(1-'参数'!$C$17)))*K87/L87,"")</f>
        <v/>
      </c>
      <c r="O87" s="38" t="n"/>
      <c r="P87" s="31" t="n"/>
      <c r="Q87" s="32" t="n"/>
      <c r="R87" s="39" t="str">
        <f>IF(N(U87)&gt;0,SUMPRODUCT(LARGE(('成交明细'!$A$5:$A$804=A87)*('成交明细'!$D$5:$D$804=IF(E87="空","卖","买"))*'成交明细'!$B$5:$B$804,COUNTIFS('成交明细'!$A$5:$A$804,A87,'成交明细'!$D$5:$D$804,IF(E87="空","卖","买")))),"")</f>
        <v/>
      </c>
      <c r="S87" s="39" t="str">
        <f>IF(AND(N(U87)&gt;0,N(W87)&gt;=N(U87)),SUMPRODUCT(MAX(('成交明细'!$A$5:$A$804=A87)*('成交明细'!$D$5:$D$804=IF(E87="空","买","卖"))*'成交明细'!$B$5:$B$804)),"")</f>
        <v/>
      </c>
      <c r="T87" s="32" t="n"/>
      <c r="U87" s="35" t="str">
        <f>IF(A87="","",SUMIFS('成交明细'!$F$5:$F$804,'成交明细'!$A$5:$A$804,A87,'成交明细'!$D$5:$D$804,IF(E87="空","卖","买")))</f>
        <v/>
      </c>
      <c r="V87" s="40" t="str">
        <f>IF(N(U87)&gt;0,SUMIFS('成交明细'!$H$5:$H$804,'成交明细'!$A$5:$A$804,A87,'成交明细'!$D$5:$D$804,IF(E87="空","卖","买"))/U87,"")</f>
        <v/>
      </c>
      <c r="W87" s="35" t="str">
        <f>IF(A87="","",SUMIFS('成交明细'!$F$5:$F$804,'成交明细'!$A$5:$A$804,A87,'成交明细'!$D$5:$D$804,IF(E87="空","买","卖")))</f>
        <v/>
      </c>
      <c r="X87" s="40" t="str">
        <f>IF(N(W87)&gt;0,SUMIFS('成交明细'!$H$5:$H$804,'成交明细'!$A$5:$A$804,A87,'成交明细'!$D$5:$D$804,IF(E87="空","买","卖"))/W87,"")</f>
        <v/>
      </c>
      <c r="Y87" s="41" t="str">
        <f>IF(A87="","",IF(Q87&lt;&gt;"已执行",IF(Q87="","未填执行情况",Q87),IF(N(U87)=0,"待录成交",IF(N(W87)&gt;N(U87),"平仓多于开仓",IF(N(W87)&lt;N(U87),"持仓中","已平仓")))))</f>
        <v/>
      </c>
      <c r="Z87" s="41" t="str">
        <f>IF(AND(ISNUMBER(R87),ISNUMBER(S87)),IF(R87=S87,"日内",""),"")</f>
        <v/>
      </c>
      <c r="AA87" s="42" t="str">
        <f>IF(Z87&lt;&gt;"日内","",COUNTIFS($Z$5:$Z$304,"日内",$S$5:$S$304,"&gt;"&amp;WORKDAY(S87,-5),$S$5:$S$304,"&lt;="&amp;S87))</f>
        <v/>
      </c>
      <c r="AB87" s="41" t="str">
        <f>IF(OR(NOT(ISNUMBER(M87)),NOT(ISNUMBER(R87))),"",IF(AND(M87&gt;=R87,OR(NOT(ISNUMBER(S87)),M87&lt;=S87)),"持仓跨财报",""))</f>
        <v/>
      </c>
      <c r="AC87" s="20">
        <f>IF(AND(E87="空",ISNUMBER(O87),ISNUMBER(S87)),ROUND(O87*(S87-R87)/360*V87*U87,2),0)</f>
        <v>0</v>
      </c>
      <c r="AD87" s="43" t="str">
        <f>IF(N(U87)=0,"",SUMIFS('成交明细'!$L$5:$L$804,'成交明细'!$A$5:$A$804,A87)+AC87)</f>
        <v/>
      </c>
      <c r="AE87" s="44" t="str">
        <f>IF(Y87&lt;&gt;"已平仓","",(SUMIFS('成交明细'!$H$5:$H$804,'成交明细'!$A$5:$A$804,A87,'成交明细'!$D$5:$D$804,"卖")-SUMIFS('成交明细'!$H$5:$H$804,'成交明细'!$A$5:$A$804,A87,'成交明细'!$D$5:$D$804,"买"))*1-AD87)</f>
        <v/>
      </c>
      <c r="AF87" s="45" t="str">
        <f>IF(AND(Y87="已平仓",ISNUMBER(L87)),(SUMIFS('成交明细'!$H$5:$H$804,'成交明细'!$A$5:$A$804,A87,'成交明细'!$D$5:$D$804,"卖")-SUMIFS('成交明细'!$H$5:$H$804,'成交明细'!$A$5:$A$804,A87,'成交明细'!$D$5:$D$804,"买"))*1/L87,"")</f>
        <v/>
      </c>
      <c r="AG87" s="45" t="str">
        <f>IF(AND(Y87="已平仓",ISNUMBER(L87)),AE87/L87,"")</f>
        <v/>
      </c>
      <c r="AH87" s="46" t="str">
        <f>IF(AND(ISNUMBER(V87),ISNUMBER(F87)),IF(E87="空",F87-V87,V87-F87),"")</f>
        <v/>
      </c>
      <c r="AI87" s="46" t="str">
        <f>IF(OR(NOT(ISNUMBER(AE87)),NOT(ISNUMBER(X87))),"",IF(AE87&lt;0,IF(E87="空",X87-G87,G87-X87),IF(NOT(ISNUMBER(H87)),"",IF(E87="空",X87-H87,H87-X87))))</f>
        <v/>
      </c>
      <c r="AJ87" s="32" t="n"/>
      <c r="AK87" s="32" t="n"/>
      <c r="AL87" s="31" t="n"/>
      <c r="AM87" s="45" t="str">
        <f>IF(A87="","",SUM(AG$5:AG87))</f>
        <v/>
      </c>
      <c r="AN87" s="37" t="str">
        <f>IF(A87="","",MAX(0,MAX(AM$5:AM87))-AM87)</f>
        <v/>
      </c>
    </row>
    <row r="88">
      <c r="A88" s="29" t="n"/>
      <c r="B88" s="30" t="n"/>
      <c r="C88" s="31" t="n"/>
      <c r="D88" s="32" t="n"/>
      <c r="E88" s="32" t="n"/>
      <c r="F88" s="33" t="n"/>
      <c r="G88" s="33" t="n"/>
      <c r="H88" s="33" t="n"/>
      <c r="I88" s="34" t="str">
        <f>IF(AND(ISNUMBER(F88),ISNUMBER(G88),ISNUMBER(H88)),IF(OR(AND(E88="多",F88&gt;G88),AND(E88="空",F88&lt;G88)),ABS(H88-F88)/ABS(F88-G88),"止损方向不对"),"")</f>
        <v/>
      </c>
      <c r="J88" s="35" t="str">
        <f>IF(AND(ISNUMBER(F88),ISNUMBER(G88)),IF(F88=G88,"",IF(INT(ROUND('参数'!$C$7/(ABS(F88-G88)*1+2*'参数'!$C$11+N('参数'!$C$14)*F88+N('参数'!$C$15))/1,6))*1&gt;0,INT(ROUND('参数'!$C$7/(ABS(F88-G88)*1+2*'参数'!$C$11+N('参数'!$C$14)*F88+N('参数'!$C$15))/1,6))*1,"预算不足，这笔不做")),"")</f>
        <v/>
      </c>
      <c r="K88" s="36" t="n"/>
      <c r="L88" s="20" t="str">
        <f>IF(AND(ISNUMBER(F88),ISNUMBER(G88),ISNUMBER(K88)),IF(AND(F88&lt;&gt;G88,K88&gt;0),ABS(F88-G88)*K88*1,""),"")</f>
        <v/>
      </c>
      <c r="M88" s="30" t="n"/>
      <c r="N88" s="37" t="str">
        <f>IF(AND(ISNUMBER(L88),ISNUMBER(M88)),IF(E88="空",(G88*(1+'参数'!$C$17)-F88),(F88-G88*(1-'参数'!$C$17)))*K88/L88,"")</f>
        <v/>
      </c>
      <c r="O88" s="38" t="n"/>
      <c r="P88" s="31" t="n"/>
      <c r="Q88" s="32" t="n"/>
      <c r="R88" s="39" t="str">
        <f>IF(N(U88)&gt;0,SUMPRODUCT(LARGE(('成交明细'!$A$5:$A$804=A88)*('成交明细'!$D$5:$D$804=IF(E88="空","卖","买"))*'成交明细'!$B$5:$B$804,COUNTIFS('成交明细'!$A$5:$A$804,A88,'成交明细'!$D$5:$D$804,IF(E88="空","卖","买")))),"")</f>
        <v/>
      </c>
      <c r="S88" s="39" t="str">
        <f>IF(AND(N(U88)&gt;0,N(W88)&gt;=N(U88)),SUMPRODUCT(MAX(('成交明细'!$A$5:$A$804=A88)*('成交明细'!$D$5:$D$804=IF(E88="空","买","卖"))*'成交明细'!$B$5:$B$804)),"")</f>
        <v/>
      </c>
      <c r="T88" s="32" t="n"/>
      <c r="U88" s="35" t="str">
        <f>IF(A88="","",SUMIFS('成交明细'!$F$5:$F$804,'成交明细'!$A$5:$A$804,A88,'成交明细'!$D$5:$D$804,IF(E88="空","卖","买")))</f>
        <v/>
      </c>
      <c r="V88" s="40" t="str">
        <f>IF(N(U88)&gt;0,SUMIFS('成交明细'!$H$5:$H$804,'成交明细'!$A$5:$A$804,A88,'成交明细'!$D$5:$D$804,IF(E88="空","卖","买"))/U88,"")</f>
        <v/>
      </c>
      <c r="W88" s="35" t="str">
        <f>IF(A88="","",SUMIFS('成交明细'!$F$5:$F$804,'成交明细'!$A$5:$A$804,A88,'成交明细'!$D$5:$D$804,IF(E88="空","买","卖")))</f>
        <v/>
      </c>
      <c r="X88" s="40" t="str">
        <f>IF(N(W88)&gt;0,SUMIFS('成交明细'!$H$5:$H$804,'成交明细'!$A$5:$A$804,A88,'成交明细'!$D$5:$D$804,IF(E88="空","买","卖"))/W88,"")</f>
        <v/>
      </c>
      <c r="Y88" s="41" t="str">
        <f>IF(A88="","",IF(Q88&lt;&gt;"已执行",IF(Q88="","未填执行情况",Q88),IF(N(U88)=0,"待录成交",IF(N(W88)&gt;N(U88),"平仓多于开仓",IF(N(W88)&lt;N(U88),"持仓中","已平仓")))))</f>
        <v/>
      </c>
      <c r="Z88" s="41" t="str">
        <f>IF(AND(ISNUMBER(R88),ISNUMBER(S88)),IF(R88=S88,"日内",""),"")</f>
        <v/>
      </c>
      <c r="AA88" s="42" t="str">
        <f>IF(Z88&lt;&gt;"日内","",COUNTIFS($Z$5:$Z$304,"日内",$S$5:$S$304,"&gt;"&amp;WORKDAY(S88,-5),$S$5:$S$304,"&lt;="&amp;S88))</f>
        <v/>
      </c>
      <c r="AB88" s="41" t="str">
        <f>IF(OR(NOT(ISNUMBER(M88)),NOT(ISNUMBER(R88))),"",IF(AND(M88&gt;=R88,OR(NOT(ISNUMBER(S88)),M88&lt;=S88)),"持仓跨财报",""))</f>
        <v/>
      </c>
      <c r="AC88" s="20">
        <f>IF(AND(E88="空",ISNUMBER(O88),ISNUMBER(S88)),ROUND(O88*(S88-R88)/360*V88*U88,2),0)</f>
        <v>0</v>
      </c>
      <c r="AD88" s="43" t="str">
        <f>IF(N(U88)=0,"",SUMIFS('成交明细'!$L$5:$L$804,'成交明细'!$A$5:$A$804,A88)+AC88)</f>
        <v/>
      </c>
      <c r="AE88" s="44" t="str">
        <f>IF(Y88&lt;&gt;"已平仓","",(SUMIFS('成交明细'!$H$5:$H$804,'成交明细'!$A$5:$A$804,A88,'成交明细'!$D$5:$D$804,"卖")-SUMIFS('成交明细'!$H$5:$H$804,'成交明细'!$A$5:$A$804,A88,'成交明细'!$D$5:$D$804,"买"))*1-AD88)</f>
        <v/>
      </c>
      <c r="AF88" s="45" t="str">
        <f>IF(AND(Y88="已平仓",ISNUMBER(L88)),(SUMIFS('成交明细'!$H$5:$H$804,'成交明细'!$A$5:$A$804,A88,'成交明细'!$D$5:$D$804,"卖")-SUMIFS('成交明细'!$H$5:$H$804,'成交明细'!$A$5:$A$804,A88,'成交明细'!$D$5:$D$804,"买"))*1/L88,"")</f>
        <v/>
      </c>
      <c r="AG88" s="45" t="str">
        <f>IF(AND(Y88="已平仓",ISNUMBER(L88)),AE88/L88,"")</f>
        <v/>
      </c>
      <c r="AH88" s="46" t="str">
        <f>IF(AND(ISNUMBER(V88),ISNUMBER(F88)),IF(E88="空",F88-V88,V88-F88),"")</f>
        <v/>
      </c>
      <c r="AI88" s="46" t="str">
        <f>IF(OR(NOT(ISNUMBER(AE88)),NOT(ISNUMBER(X88))),"",IF(AE88&lt;0,IF(E88="空",X88-G88,G88-X88),IF(NOT(ISNUMBER(H88)),"",IF(E88="空",X88-H88,H88-X88))))</f>
        <v/>
      </c>
      <c r="AJ88" s="32" t="n"/>
      <c r="AK88" s="32" t="n"/>
      <c r="AL88" s="31" t="n"/>
      <c r="AM88" s="45" t="str">
        <f>IF(A88="","",SUM(AG$5:AG88))</f>
        <v/>
      </c>
      <c r="AN88" s="37" t="str">
        <f>IF(A88="","",MAX(0,MAX(AM$5:AM88))-AM88)</f>
        <v/>
      </c>
    </row>
    <row r="89">
      <c r="A89" s="29" t="n"/>
      <c r="B89" s="30" t="n"/>
      <c r="C89" s="31" t="n"/>
      <c r="D89" s="32" t="n"/>
      <c r="E89" s="32" t="n"/>
      <c r="F89" s="33" t="n"/>
      <c r="G89" s="33" t="n"/>
      <c r="H89" s="33" t="n"/>
      <c r="I89" s="34" t="str">
        <f>IF(AND(ISNUMBER(F89),ISNUMBER(G89),ISNUMBER(H89)),IF(OR(AND(E89="多",F89&gt;G89),AND(E89="空",F89&lt;G89)),ABS(H89-F89)/ABS(F89-G89),"止损方向不对"),"")</f>
        <v/>
      </c>
      <c r="J89" s="35" t="str">
        <f>IF(AND(ISNUMBER(F89),ISNUMBER(G89)),IF(F89=G89,"",IF(INT(ROUND('参数'!$C$7/(ABS(F89-G89)*1+2*'参数'!$C$11+N('参数'!$C$14)*F89+N('参数'!$C$15))/1,6))*1&gt;0,INT(ROUND('参数'!$C$7/(ABS(F89-G89)*1+2*'参数'!$C$11+N('参数'!$C$14)*F89+N('参数'!$C$15))/1,6))*1,"预算不足，这笔不做")),"")</f>
        <v/>
      </c>
      <c r="K89" s="36" t="n"/>
      <c r="L89" s="20" t="str">
        <f>IF(AND(ISNUMBER(F89),ISNUMBER(G89),ISNUMBER(K89)),IF(AND(F89&lt;&gt;G89,K89&gt;0),ABS(F89-G89)*K89*1,""),"")</f>
        <v/>
      </c>
      <c r="M89" s="30" t="n"/>
      <c r="N89" s="37" t="str">
        <f>IF(AND(ISNUMBER(L89),ISNUMBER(M89)),IF(E89="空",(G89*(1+'参数'!$C$17)-F89),(F89-G89*(1-'参数'!$C$17)))*K89/L89,"")</f>
        <v/>
      </c>
      <c r="O89" s="38" t="n"/>
      <c r="P89" s="31" t="n"/>
      <c r="Q89" s="32" t="n"/>
      <c r="R89" s="39" t="str">
        <f>IF(N(U89)&gt;0,SUMPRODUCT(LARGE(('成交明细'!$A$5:$A$804=A89)*('成交明细'!$D$5:$D$804=IF(E89="空","卖","买"))*'成交明细'!$B$5:$B$804,COUNTIFS('成交明细'!$A$5:$A$804,A89,'成交明细'!$D$5:$D$804,IF(E89="空","卖","买")))),"")</f>
        <v/>
      </c>
      <c r="S89" s="39" t="str">
        <f>IF(AND(N(U89)&gt;0,N(W89)&gt;=N(U89)),SUMPRODUCT(MAX(('成交明细'!$A$5:$A$804=A89)*('成交明细'!$D$5:$D$804=IF(E89="空","买","卖"))*'成交明细'!$B$5:$B$804)),"")</f>
        <v/>
      </c>
      <c r="T89" s="32" t="n"/>
      <c r="U89" s="35" t="str">
        <f>IF(A89="","",SUMIFS('成交明细'!$F$5:$F$804,'成交明细'!$A$5:$A$804,A89,'成交明细'!$D$5:$D$804,IF(E89="空","卖","买")))</f>
        <v/>
      </c>
      <c r="V89" s="40" t="str">
        <f>IF(N(U89)&gt;0,SUMIFS('成交明细'!$H$5:$H$804,'成交明细'!$A$5:$A$804,A89,'成交明细'!$D$5:$D$804,IF(E89="空","卖","买"))/U89,"")</f>
        <v/>
      </c>
      <c r="W89" s="35" t="str">
        <f>IF(A89="","",SUMIFS('成交明细'!$F$5:$F$804,'成交明细'!$A$5:$A$804,A89,'成交明细'!$D$5:$D$804,IF(E89="空","买","卖")))</f>
        <v/>
      </c>
      <c r="X89" s="40" t="str">
        <f>IF(N(W89)&gt;0,SUMIFS('成交明细'!$H$5:$H$804,'成交明细'!$A$5:$A$804,A89,'成交明细'!$D$5:$D$804,IF(E89="空","买","卖"))/W89,"")</f>
        <v/>
      </c>
      <c r="Y89" s="41" t="str">
        <f>IF(A89="","",IF(Q89&lt;&gt;"已执行",IF(Q89="","未填执行情况",Q89),IF(N(U89)=0,"待录成交",IF(N(W89)&gt;N(U89),"平仓多于开仓",IF(N(W89)&lt;N(U89),"持仓中","已平仓")))))</f>
        <v/>
      </c>
      <c r="Z89" s="41" t="str">
        <f>IF(AND(ISNUMBER(R89),ISNUMBER(S89)),IF(R89=S89,"日内",""),"")</f>
        <v/>
      </c>
      <c r="AA89" s="42" t="str">
        <f>IF(Z89&lt;&gt;"日内","",COUNTIFS($Z$5:$Z$304,"日内",$S$5:$S$304,"&gt;"&amp;WORKDAY(S89,-5),$S$5:$S$304,"&lt;="&amp;S89))</f>
        <v/>
      </c>
      <c r="AB89" s="41" t="str">
        <f>IF(OR(NOT(ISNUMBER(M89)),NOT(ISNUMBER(R89))),"",IF(AND(M89&gt;=R89,OR(NOT(ISNUMBER(S89)),M89&lt;=S89)),"持仓跨财报",""))</f>
        <v/>
      </c>
      <c r="AC89" s="20">
        <f>IF(AND(E89="空",ISNUMBER(O89),ISNUMBER(S89)),ROUND(O89*(S89-R89)/360*V89*U89,2),0)</f>
        <v>0</v>
      </c>
      <c r="AD89" s="43" t="str">
        <f>IF(N(U89)=0,"",SUMIFS('成交明细'!$L$5:$L$804,'成交明细'!$A$5:$A$804,A89)+AC89)</f>
        <v/>
      </c>
      <c r="AE89" s="44" t="str">
        <f>IF(Y89&lt;&gt;"已平仓","",(SUMIFS('成交明细'!$H$5:$H$804,'成交明细'!$A$5:$A$804,A89,'成交明细'!$D$5:$D$804,"卖")-SUMIFS('成交明细'!$H$5:$H$804,'成交明细'!$A$5:$A$804,A89,'成交明细'!$D$5:$D$804,"买"))*1-AD89)</f>
        <v/>
      </c>
      <c r="AF89" s="45" t="str">
        <f>IF(AND(Y89="已平仓",ISNUMBER(L89)),(SUMIFS('成交明细'!$H$5:$H$804,'成交明细'!$A$5:$A$804,A89,'成交明细'!$D$5:$D$804,"卖")-SUMIFS('成交明细'!$H$5:$H$804,'成交明细'!$A$5:$A$804,A89,'成交明细'!$D$5:$D$804,"买"))*1/L89,"")</f>
        <v/>
      </c>
      <c r="AG89" s="45" t="str">
        <f>IF(AND(Y89="已平仓",ISNUMBER(L89)),AE89/L89,"")</f>
        <v/>
      </c>
      <c r="AH89" s="46" t="str">
        <f>IF(AND(ISNUMBER(V89),ISNUMBER(F89)),IF(E89="空",F89-V89,V89-F89),"")</f>
        <v/>
      </c>
      <c r="AI89" s="46" t="str">
        <f>IF(OR(NOT(ISNUMBER(AE89)),NOT(ISNUMBER(X89))),"",IF(AE89&lt;0,IF(E89="空",X89-G89,G89-X89),IF(NOT(ISNUMBER(H89)),"",IF(E89="空",X89-H89,H89-X89))))</f>
        <v/>
      </c>
      <c r="AJ89" s="32" t="n"/>
      <c r="AK89" s="32" t="n"/>
      <c r="AL89" s="31" t="n"/>
      <c r="AM89" s="45" t="str">
        <f>IF(A89="","",SUM(AG$5:AG89))</f>
        <v/>
      </c>
      <c r="AN89" s="37" t="str">
        <f>IF(A89="","",MAX(0,MAX(AM$5:AM89))-AM89)</f>
        <v/>
      </c>
    </row>
    <row r="90">
      <c r="A90" s="29" t="n"/>
      <c r="B90" s="30" t="n"/>
      <c r="C90" s="31" t="n"/>
      <c r="D90" s="32" t="n"/>
      <c r="E90" s="32" t="n"/>
      <c r="F90" s="33" t="n"/>
      <c r="G90" s="33" t="n"/>
      <c r="H90" s="33" t="n"/>
      <c r="I90" s="34" t="str">
        <f>IF(AND(ISNUMBER(F90),ISNUMBER(G90),ISNUMBER(H90)),IF(OR(AND(E90="多",F90&gt;G90),AND(E90="空",F90&lt;G90)),ABS(H90-F90)/ABS(F90-G90),"止损方向不对"),"")</f>
        <v/>
      </c>
      <c r="J90" s="35" t="str">
        <f>IF(AND(ISNUMBER(F90),ISNUMBER(G90)),IF(F90=G90,"",IF(INT(ROUND('参数'!$C$7/(ABS(F90-G90)*1+2*'参数'!$C$11+N('参数'!$C$14)*F90+N('参数'!$C$15))/1,6))*1&gt;0,INT(ROUND('参数'!$C$7/(ABS(F90-G90)*1+2*'参数'!$C$11+N('参数'!$C$14)*F90+N('参数'!$C$15))/1,6))*1,"预算不足，这笔不做")),"")</f>
        <v/>
      </c>
      <c r="K90" s="36" t="n"/>
      <c r="L90" s="20" t="str">
        <f>IF(AND(ISNUMBER(F90),ISNUMBER(G90),ISNUMBER(K90)),IF(AND(F90&lt;&gt;G90,K90&gt;0),ABS(F90-G90)*K90*1,""),"")</f>
        <v/>
      </c>
      <c r="M90" s="30" t="n"/>
      <c r="N90" s="37" t="str">
        <f>IF(AND(ISNUMBER(L90),ISNUMBER(M90)),IF(E90="空",(G90*(1+'参数'!$C$17)-F90),(F90-G90*(1-'参数'!$C$17)))*K90/L90,"")</f>
        <v/>
      </c>
      <c r="O90" s="38" t="n"/>
      <c r="P90" s="31" t="n"/>
      <c r="Q90" s="32" t="n"/>
      <c r="R90" s="39" t="str">
        <f>IF(N(U90)&gt;0,SUMPRODUCT(LARGE(('成交明细'!$A$5:$A$804=A90)*('成交明细'!$D$5:$D$804=IF(E90="空","卖","买"))*'成交明细'!$B$5:$B$804,COUNTIFS('成交明细'!$A$5:$A$804,A90,'成交明细'!$D$5:$D$804,IF(E90="空","卖","买")))),"")</f>
        <v/>
      </c>
      <c r="S90" s="39" t="str">
        <f>IF(AND(N(U90)&gt;0,N(W90)&gt;=N(U90)),SUMPRODUCT(MAX(('成交明细'!$A$5:$A$804=A90)*('成交明细'!$D$5:$D$804=IF(E90="空","买","卖"))*'成交明细'!$B$5:$B$804)),"")</f>
        <v/>
      </c>
      <c r="T90" s="32" t="n"/>
      <c r="U90" s="35" t="str">
        <f>IF(A90="","",SUMIFS('成交明细'!$F$5:$F$804,'成交明细'!$A$5:$A$804,A90,'成交明细'!$D$5:$D$804,IF(E90="空","卖","买")))</f>
        <v/>
      </c>
      <c r="V90" s="40" t="str">
        <f>IF(N(U90)&gt;0,SUMIFS('成交明细'!$H$5:$H$804,'成交明细'!$A$5:$A$804,A90,'成交明细'!$D$5:$D$804,IF(E90="空","卖","买"))/U90,"")</f>
        <v/>
      </c>
      <c r="W90" s="35" t="str">
        <f>IF(A90="","",SUMIFS('成交明细'!$F$5:$F$804,'成交明细'!$A$5:$A$804,A90,'成交明细'!$D$5:$D$804,IF(E90="空","买","卖")))</f>
        <v/>
      </c>
      <c r="X90" s="40" t="str">
        <f>IF(N(W90)&gt;0,SUMIFS('成交明细'!$H$5:$H$804,'成交明细'!$A$5:$A$804,A90,'成交明细'!$D$5:$D$804,IF(E90="空","买","卖"))/W90,"")</f>
        <v/>
      </c>
      <c r="Y90" s="41" t="str">
        <f>IF(A90="","",IF(Q90&lt;&gt;"已执行",IF(Q90="","未填执行情况",Q90),IF(N(U90)=0,"待录成交",IF(N(W90)&gt;N(U90),"平仓多于开仓",IF(N(W90)&lt;N(U90),"持仓中","已平仓")))))</f>
        <v/>
      </c>
      <c r="Z90" s="41" t="str">
        <f>IF(AND(ISNUMBER(R90),ISNUMBER(S90)),IF(R90=S90,"日内",""),"")</f>
        <v/>
      </c>
      <c r="AA90" s="42" t="str">
        <f>IF(Z90&lt;&gt;"日内","",COUNTIFS($Z$5:$Z$304,"日内",$S$5:$S$304,"&gt;"&amp;WORKDAY(S90,-5),$S$5:$S$304,"&lt;="&amp;S90))</f>
        <v/>
      </c>
      <c r="AB90" s="41" t="str">
        <f>IF(OR(NOT(ISNUMBER(M90)),NOT(ISNUMBER(R90))),"",IF(AND(M90&gt;=R90,OR(NOT(ISNUMBER(S90)),M90&lt;=S90)),"持仓跨财报",""))</f>
        <v/>
      </c>
      <c r="AC90" s="20">
        <f>IF(AND(E90="空",ISNUMBER(O90),ISNUMBER(S90)),ROUND(O90*(S90-R90)/360*V90*U90,2),0)</f>
        <v>0</v>
      </c>
      <c r="AD90" s="43" t="str">
        <f>IF(N(U90)=0,"",SUMIFS('成交明细'!$L$5:$L$804,'成交明细'!$A$5:$A$804,A90)+AC90)</f>
        <v/>
      </c>
      <c r="AE90" s="44" t="str">
        <f>IF(Y90&lt;&gt;"已平仓","",(SUMIFS('成交明细'!$H$5:$H$804,'成交明细'!$A$5:$A$804,A90,'成交明细'!$D$5:$D$804,"卖")-SUMIFS('成交明细'!$H$5:$H$804,'成交明细'!$A$5:$A$804,A90,'成交明细'!$D$5:$D$804,"买"))*1-AD90)</f>
        <v/>
      </c>
      <c r="AF90" s="45" t="str">
        <f>IF(AND(Y90="已平仓",ISNUMBER(L90)),(SUMIFS('成交明细'!$H$5:$H$804,'成交明细'!$A$5:$A$804,A90,'成交明细'!$D$5:$D$804,"卖")-SUMIFS('成交明细'!$H$5:$H$804,'成交明细'!$A$5:$A$804,A90,'成交明细'!$D$5:$D$804,"买"))*1/L90,"")</f>
        <v/>
      </c>
      <c r="AG90" s="45" t="str">
        <f>IF(AND(Y90="已平仓",ISNUMBER(L90)),AE90/L90,"")</f>
        <v/>
      </c>
      <c r="AH90" s="46" t="str">
        <f>IF(AND(ISNUMBER(V90),ISNUMBER(F90)),IF(E90="空",F90-V90,V90-F90),"")</f>
        <v/>
      </c>
      <c r="AI90" s="46" t="str">
        <f>IF(OR(NOT(ISNUMBER(AE90)),NOT(ISNUMBER(X90))),"",IF(AE90&lt;0,IF(E90="空",X90-G90,G90-X90),IF(NOT(ISNUMBER(H90)),"",IF(E90="空",X90-H90,H90-X90))))</f>
        <v/>
      </c>
      <c r="AJ90" s="32" t="n"/>
      <c r="AK90" s="32" t="n"/>
      <c r="AL90" s="31" t="n"/>
      <c r="AM90" s="45" t="str">
        <f>IF(A90="","",SUM(AG$5:AG90))</f>
        <v/>
      </c>
      <c r="AN90" s="37" t="str">
        <f>IF(A90="","",MAX(0,MAX(AM$5:AM90))-AM90)</f>
        <v/>
      </c>
    </row>
    <row r="91">
      <c r="A91" s="29" t="n"/>
      <c r="B91" s="30" t="n"/>
      <c r="C91" s="31" t="n"/>
      <c r="D91" s="32" t="n"/>
      <c r="E91" s="32" t="n"/>
      <c r="F91" s="33" t="n"/>
      <c r="G91" s="33" t="n"/>
      <c r="H91" s="33" t="n"/>
      <c r="I91" s="34" t="str">
        <f>IF(AND(ISNUMBER(F91),ISNUMBER(G91),ISNUMBER(H91)),IF(OR(AND(E91="多",F91&gt;G91),AND(E91="空",F91&lt;G91)),ABS(H91-F91)/ABS(F91-G91),"止损方向不对"),"")</f>
        <v/>
      </c>
      <c r="J91" s="35" t="str">
        <f>IF(AND(ISNUMBER(F91),ISNUMBER(G91)),IF(F91=G91,"",IF(INT(ROUND('参数'!$C$7/(ABS(F91-G91)*1+2*'参数'!$C$11+N('参数'!$C$14)*F91+N('参数'!$C$15))/1,6))*1&gt;0,INT(ROUND('参数'!$C$7/(ABS(F91-G91)*1+2*'参数'!$C$11+N('参数'!$C$14)*F91+N('参数'!$C$15))/1,6))*1,"预算不足，这笔不做")),"")</f>
        <v/>
      </c>
      <c r="K91" s="36" t="n"/>
      <c r="L91" s="20" t="str">
        <f>IF(AND(ISNUMBER(F91),ISNUMBER(G91),ISNUMBER(K91)),IF(AND(F91&lt;&gt;G91,K91&gt;0),ABS(F91-G91)*K91*1,""),"")</f>
        <v/>
      </c>
      <c r="M91" s="30" t="n"/>
      <c r="N91" s="37" t="str">
        <f>IF(AND(ISNUMBER(L91),ISNUMBER(M91)),IF(E91="空",(G91*(1+'参数'!$C$17)-F91),(F91-G91*(1-'参数'!$C$17)))*K91/L91,"")</f>
        <v/>
      </c>
      <c r="O91" s="38" t="n"/>
      <c r="P91" s="31" t="n"/>
      <c r="Q91" s="32" t="n"/>
      <c r="R91" s="39" t="str">
        <f>IF(N(U91)&gt;0,SUMPRODUCT(LARGE(('成交明细'!$A$5:$A$804=A91)*('成交明细'!$D$5:$D$804=IF(E91="空","卖","买"))*'成交明细'!$B$5:$B$804,COUNTIFS('成交明细'!$A$5:$A$804,A91,'成交明细'!$D$5:$D$804,IF(E91="空","卖","买")))),"")</f>
        <v/>
      </c>
      <c r="S91" s="39" t="str">
        <f>IF(AND(N(U91)&gt;0,N(W91)&gt;=N(U91)),SUMPRODUCT(MAX(('成交明细'!$A$5:$A$804=A91)*('成交明细'!$D$5:$D$804=IF(E91="空","买","卖"))*'成交明细'!$B$5:$B$804)),"")</f>
        <v/>
      </c>
      <c r="T91" s="32" t="n"/>
      <c r="U91" s="35" t="str">
        <f>IF(A91="","",SUMIFS('成交明细'!$F$5:$F$804,'成交明细'!$A$5:$A$804,A91,'成交明细'!$D$5:$D$804,IF(E91="空","卖","买")))</f>
        <v/>
      </c>
      <c r="V91" s="40" t="str">
        <f>IF(N(U91)&gt;0,SUMIFS('成交明细'!$H$5:$H$804,'成交明细'!$A$5:$A$804,A91,'成交明细'!$D$5:$D$804,IF(E91="空","卖","买"))/U91,"")</f>
        <v/>
      </c>
      <c r="W91" s="35" t="str">
        <f>IF(A91="","",SUMIFS('成交明细'!$F$5:$F$804,'成交明细'!$A$5:$A$804,A91,'成交明细'!$D$5:$D$804,IF(E91="空","买","卖")))</f>
        <v/>
      </c>
      <c r="X91" s="40" t="str">
        <f>IF(N(W91)&gt;0,SUMIFS('成交明细'!$H$5:$H$804,'成交明细'!$A$5:$A$804,A91,'成交明细'!$D$5:$D$804,IF(E91="空","买","卖"))/W91,"")</f>
        <v/>
      </c>
      <c r="Y91" s="41" t="str">
        <f>IF(A91="","",IF(Q91&lt;&gt;"已执行",IF(Q91="","未填执行情况",Q91),IF(N(U91)=0,"待录成交",IF(N(W91)&gt;N(U91),"平仓多于开仓",IF(N(W91)&lt;N(U91),"持仓中","已平仓")))))</f>
        <v/>
      </c>
      <c r="Z91" s="41" t="str">
        <f>IF(AND(ISNUMBER(R91),ISNUMBER(S91)),IF(R91=S91,"日内",""),"")</f>
        <v/>
      </c>
      <c r="AA91" s="42" t="str">
        <f>IF(Z91&lt;&gt;"日内","",COUNTIFS($Z$5:$Z$304,"日内",$S$5:$S$304,"&gt;"&amp;WORKDAY(S91,-5),$S$5:$S$304,"&lt;="&amp;S91))</f>
        <v/>
      </c>
      <c r="AB91" s="41" t="str">
        <f>IF(OR(NOT(ISNUMBER(M91)),NOT(ISNUMBER(R91))),"",IF(AND(M91&gt;=R91,OR(NOT(ISNUMBER(S91)),M91&lt;=S91)),"持仓跨财报",""))</f>
        <v/>
      </c>
      <c r="AC91" s="20">
        <f>IF(AND(E91="空",ISNUMBER(O91),ISNUMBER(S91)),ROUND(O91*(S91-R91)/360*V91*U91,2),0)</f>
        <v>0</v>
      </c>
      <c r="AD91" s="43" t="str">
        <f>IF(N(U91)=0,"",SUMIFS('成交明细'!$L$5:$L$804,'成交明细'!$A$5:$A$804,A91)+AC91)</f>
        <v/>
      </c>
      <c r="AE91" s="44" t="str">
        <f>IF(Y91&lt;&gt;"已平仓","",(SUMIFS('成交明细'!$H$5:$H$804,'成交明细'!$A$5:$A$804,A91,'成交明细'!$D$5:$D$804,"卖")-SUMIFS('成交明细'!$H$5:$H$804,'成交明细'!$A$5:$A$804,A91,'成交明细'!$D$5:$D$804,"买"))*1-AD91)</f>
        <v/>
      </c>
      <c r="AF91" s="45" t="str">
        <f>IF(AND(Y91="已平仓",ISNUMBER(L91)),(SUMIFS('成交明细'!$H$5:$H$804,'成交明细'!$A$5:$A$804,A91,'成交明细'!$D$5:$D$804,"卖")-SUMIFS('成交明细'!$H$5:$H$804,'成交明细'!$A$5:$A$804,A91,'成交明细'!$D$5:$D$804,"买"))*1/L91,"")</f>
        <v/>
      </c>
      <c r="AG91" s="45" t="str">
        <f>IF(AND(Y91="已平仓",ISNUMBER(L91)),AE91/L91,"")</f>
        <v/>
      </c>
      <c r="AH91" s="46" t="str">
        <f>IF(AND(ISNUMBER(V91),ISNUMBER(F91)),IF(E91="空",F91-V91,V91-F91),"")</f>
        <v/>
      </c>
      <c r="AI91" s="46" t="str">
        <f>IF(OR(NOT(ISNUMBER(AE91)),NOT(ISNUMBER(X91))),"",IF(AE91&lt;0,IF(E91="空",X91-G91,G91-X91),IF(NOT(ISNUMBER(H91)),"",IF(E91="空",X91-H91,H91-X91))))</f>
        <v/>
      </c>
      <c r="AJ91" s="32" t="n"/>
      <c r="AK91" s="32" t="n"/>
      <c r="AL91" s="31" t="n"/>
      <c r="AM91" s="45" t="str">
        <f>IF(A91="","",SUM(AG$5:AG91))</f>
        <v/>
      </c>
      <c r="AN91" s="37" t="str">
        <f>IF(A91="","",MAX(0,MAX(AM$5:AM91))-AM91)</f>
        <v/>
      </c>
    </row>
    <row r="92">
      <c r="A92" s="29" t="n"/>
      <c r="B92" s="30" t="n"/>
      <c r="C92" s="31" t="n"/>
      <c r="D92" s="32" t="n"/>
      <c r="E92" s="32" t="n"/>
      <c r="F92" s="33" t="n"/>
      <c r="G92" s="33" t="n"/>
      <c r="H92" s="33" t="n"/>
      <c r="I92" s="34" t="str">
        <f>IF(AND(ISNUMBER(F92),ISNUMBER(G92),ISNUMBER(H92)),IF(OR(AND(E92="多",F92&gt;G92),AND(E92="空",F92&lt;G92)),ABS(H92-F92)/ABS(F92-G92),"止损方向不对"),"")</f>
        <v/>
      </c>
      <c r="J92" s="35" t="str">
        <f>IF(AND(ISNUMBER(F92),ISNUMBER(G92)),IF(F92=G92,"",IF(INT(ROUND('参数'!$C$7/(ABS(F92-G92)*1+2*'参数'!$C$11+N('参数'!$C$14)*F92+N('参数'!$C$15))/1,6))*1&gt;0,INT(ROUND('参数'!$C$7/(ABS(F92-G92)*1+2*'参数'!$C$11+N('参数'!$C$14)*F92+N('参数'!$C$15))/1,6))*1,"预算不足，这笔不做")),"")</f>
        <v/>
      </c>
      <c r="K92" s="36" t="n"/>
      <c r="L92" s="20" t="str">
        <f>IF(AND(ISNUMBER(F92),ISNUMBER(G92),ISNUMBER(K92)),IF(AND(F92&lt;&gt;G92,K92&gt;0),ABS(F92-G92)*K92*1,""),"")</f>
        <v/>
      </c>
      <c r="M92" s="30" t="n"/>
      <c r="N92" s="37" t="str">
        <f>IF(AND(ISNUMBER(L92),ISNUMBER(M92)),IF(E92="空",(G92*(1+'参数'!$C$17)-F92),(F92-G92*(1-'参数'!$C$17)))*K92/L92,"")</f>
        <v/>
      </c>
      <c r="O92" s="38" t="n"/>
      <c r="P92" s="31" t="n"/>
      <c r="Q92" s="32" t="n"/>
      <c r="R92" s="39" t="str">
        <f>IF(N(U92)&gt;0,SUMPRODUCT(LARGE(('成交明细'!$A$5:$A$804=A92)*('成交明细'!$D$5:$D$804=IF(E92="空","卖","买"))*'成交明细'!$B$5:$B$804,COUNTIFS('成交明细'!$A$5:$A$804,A92,'成交明细'!$D$5:$D$804,IF(E92="空","卖","买")))),"")</f>
        <v/>
      </c>
      <c r="S92" s="39" t="str">
        <f>IF(AND(N(U92)&gt;0,N(W92)&gt;=N(U92)),SUMPRODUCT(MAX(('成交明细'!$A$5:$A$804=A92)*('成交明细'!$D$5:$D$804=IF(E92="空","买","卖"))*'成交明细'!$B$5:$B$804)),"")</f>
        <v/>
      </c>
      <c r="T92" s="32" t="n"/>
      <c r="U92" s="35" t="str">
        <f>IF(A92="","",SUMIFS('成交明细'!$F$5:$F$804,'成交明细'!$A$5:$A$804,A92,'成交明细'!$D$5:$D$804,IF(E92="空","卖","买")))</f>
        <v/>
      </c>
      <c r="V92" s="40" t="str">
        <f>IF(N(U92)&gt;0,SUMIFS('成交明细'!$H$5:$H$804,'成交明细'!$A$5:$A$804,A92,'成交明细'!$D$5:$D$804,IF(E92="空","卖","买"))/U92,"")</f>
        <v/>
      </c>
      <c r="W92" s="35" t="str">
        <f>IF(A92="","",SUMIFS('成交明细'!$F$5:$F$804,'成交明细'!$A$5:$A$804,A92,'成交明细'!$D$5:$D$804,IF(E92="空","买","卖")))</f>
        <v/>
      </c>
      <c r="X92" s="40" t="str">
        <f>IF(N(W92)&gt;0,SUMIFS('成交明细'!$H$5:$H$804,'成交明细'!$A$5:$A$804,A92,'成交明细'!$D$5:$D$804,IF(E92="空","买","卖"))/W92,"")</f>
        <v/>
      </c>
      <c r="Y92" s="41" t="str">
        <f>IF(A92="","",IF(Q92&lt;&gt;"已执行",IF(Q92="","未填执行情况",Q92),IF(N(U92)=0,"待录成交",IF(N(W92)&gt;N(U92),"平仓多于开仓",IF(N(W92)&lt;N(U92),"持仓中","已平仓")))))</f>
        <v/>
      </c>
      <c r="Z92" s="41" t="str">
        <f>IF(AND(ISNUMBER(R92),ISNUMBER(S92)),IF(R92=S92,"日内",""),"")</f>
        <v/>
      </c>
      <c r="AA92" s="42" t="str">
        <f>IF(Z92&lt;&gt;"日内","",COUNTIFS($Z$5:$Z$304,"日内",$S$5:$S$304,"&gt;"&amp;WORKDAY(S92,-5),$S$5:$S$304,"&lt;="&amp;S92))</f>
        <v/>
      </c>
      <c r="AB92" s="41" t="str">
        <f>IF(OR(NOT(ISNUMBER(M92)),NOT(ISNUMBER(R92))),"",IF(AND(M92&gt;=R92,OR(NOT(ISNUMBER(S92)),M92&lt;=S92)),"持仓跨财报",""))</f>
        <v/>
      </c>
      <c r="AC92" s="20">
        <f>IF(AND(E92="空",ISNUMBER(O92),ISNUMBER(S92)),ROUND(O92*(S92-R92)/360*V92*U92,2),0)</f>
        <v>0</v>
      </c>
      <c r="AD92" s="43" t="str">
        <f>IF(N(U92)=0,"",SUMIFS('成交明细'!$L$5:$L$804,'成交明细'!$A$5:$A$804,A92)+AC92)</f>
        <v/>
      </c>
      <c r="AE92" s="44" t="str">
        <f>IF(Y92&lt;&gt;"已平仓","",(SUMIFS('成交明细'!$H$5:$H$804,'成交明细'!$A$5:$A$804,A92,'成交明细'!$D$5:$D$804,"卖")-SUMIFS('成交明细'!$H$5:$H$804,'成交明细'!$A$5:$A$804,A92,'成交明细'!$D$5:$D$804,"买"))*1-AD92)</f>
        <v/>
      </c>
      <c r="AF92" s="45" t="str">
        <f>IF(AND(Y92="已平仓",ISNUMBER(L92)),(SUMIFS('成交明细'!$H$5:$H$804,'成交明细'!$A$5:$A$804,A92,'成交明细'!$D$5:$D$804,"卖")-SUMIFS('成交明细'!$H$5:$H$804,'成交明细'!$A$5:$A$804,A92,'成交明细'!$D$5:$D$804,"买"))*1/L92,"")</f>
        <v/>
      </c>
      <c r="AG92" s="45" t="str">
        <f>IF(AND(Y92="已平仓",ISNUMBER(L92)),AE92/L92,"")</f>
        <v/>
      </c>
      <c r="AH92" s="46" t="str">
        <f>IF(AND(ISNUMBER(V92),ISNUMBER(F92)),IF(E92="空",F92-V92,V92-F92),"")</f>
        <v/>
      </c>
      <c r="AI92" s="46" t="str">
        <f>IF(OR(NOT(ISNUMBER(AE92)),NOT(ISNUMBER(X92))),"",IF(AE92&lt;0,IF(E92="空",X92-G92,G92-X92),IF(NOT(ISNUMBER(H92)),"",IF(E92="空",X92-H92,H92-X92))))</f>
        <v/>
      </c>
      <c r="AJ92" s="32" t="n"/>
      <c r="AK92" s="32" t="n"/>
      <c r="AL92" s="31" t="n"/>
      <c r="AM92" s="45" t="str">
        <f>IF(A92="","",SUM(AG$5:AG92))</f>
        <v/>
      </c>
      <c r="AN92" s="37" t="str">
        <f>IF(A92="","",MAX(0,MAX(AM$5:AM92))-AM92)</f>
        <v/>
      </c>
    </row>
    <row r="93">
      <c r="A93" s="29" t="n"/>
      <c r="B93" s="30" t="n"/>
      <c r="C93" s="31" t="n"/>
      <c r="D93" s="32" t="n"/>
      <c r="E93" s="32" t="n"/>
      <c r="F93" s="33" t="n"/>
      <c r="G93" s="33" t="n"/>
      <c r="H93" s="33" t="n"/>
      <c r="I93" s="34" t="str">
        <f>IF(AND(ISNUMBER(F93),ISNUMBER(G93),ISNUMBER(H93)),IF(OR(AND(E93="多",F93&gt;G93),AND(E93="空",F93&lt;G93)),ABS(H93-F93)/ABS(F93-G93),"止损方向不对"),"")</f>
        <v/>
      </c>
      <c r="J93" s="35" t="str">
        <f>IF(AND(ISNUMBER(F93),ISNUMBER(G93)),IF(F93=G93,"",IF(INT(ROUND('参数'!$C$7/(ABS(F93-G93)*1+2*'参数'!$C$11+N('参数'!$C$14)*F93+N('参数'!$C$15))/1,6))*1&gt;0,INT(ROUND('参数'!$C$7/(ABS(F93-G93)*1+2*'参数'!$C$11+N('参数'!$C$14)*F93+N('参数'!$C$15))/1,6))*1,"预算不足，这笔不做")),"")</f>
        <v/>
      </c>
      <c r="K93" s="36" t="n"/>
      <c r="L93" s="20" t="str">
        <f>IF(AND(ISNUMBER(F93),ISNUMBER(G93),ISNUMBER(K93)),IF(AND(F93&lt;&gt;G93,K93&gt;0),ABS(F93-G93)*K93*1,""),"")</f>
        <v/>
      </c>
      <c r="M93" s="30" t="n"/>
      <c r="N93" s="37" t="str">
        <f>IF(AND(ISNUMBER(L93),ISNUMBER(M93)),IF(E93="空",(G93*(1+'参数'!$C$17)-F93),(F93-G93*(1-'参数'!$C$17)))*K93/L93,"")</f>
        <v/>
      </c>
      <c r="O93" s="38" t="n"/>
      <c r="P93" s="31" t="n"/>
      <c r="Q93" s="32" t="n"/>
      <c r="R93" s="39" t="str">
        <f>IF(N(U93)&gt;0,SUMPRODUCT(LARGE(('成交明细'!$A$5:$A$804=A93)*('成交明细'!$D$5:$D$804=IF(E93="空","卖","买"))*'成交明细'!$B$5:$B$804,COUNTIFS('成交明细'!$A$5:$A$804,A93,'成交明细'!$D$5:$D$804,IF(E93="空","卖","买")))),"")</f>
        <v/>
      </c>
      <c r="S93" s="39" t="str">
        <f>IF(AND(N(U93)&gt;0,N(W93)&gt;=N(U93)),SUMPRODUCT(MAX(('成交明细'!$A$5:$A$804=A93)*('成交明细'!$D$5:$D$804=IF(E93="空","买","卖"))*'成交明细'!$B$5:$B$804)),"")</f>
        <v/>
      </c>
      <c r="T93" s="32" t="n"/>
      <c r="U93" s="35" t="str">
        <f>IF(A93="","",SUMIFS('成交明细'!$F$5:$F$804,'成交明细'!$A$5:$A$804,A93,'成交明细'!$D$5:$D$804,IF(E93="空","卖","买")))</f>
        <v/>
      </c>
      <c r="V93" s="40" t="str">
        <f>IF(N(U93)&gt;0,SUMIFS('成交明细'!$H$5:$H$804,'成交明细'!$A$5:$A$804,A93,'成交明细'!$D$5:$D$804,IF(E93="空","卖","买"))/U93,"")</f>
        <v/>
      </c>
      <c r="W93" s="35" t="str">
        <f>IF(A93="","",SUMIFS('成交明细'!$F$5:$F$804,'成交明细'!$A$5:$A$804,A93,'成交明细'!$D$5:$D$804,IF(E93="空","买","卖")))</f>
        <v/>
      </c>
      <c r="X93" s="40" t="str">
        <f>IF(N(W93)&gt;0,SUMIFS('成交明细'!$H$5:$H$804,'成交明细'!$A$5:$A$804,A93,'成交明细'!$D$5:$D$804,IF(E93="空","买","卖"))/W93,"")</f>
        <v/>
      </c>
      <c r="Y93" s="41" t="str">
        <f>IF(A93="","",IF(Q93&lt;&gt;"已执行",IF(Q93="","未填执行情况",Q93),IF(N(U93)=0,"待录成交",IF(N(W93)&gt;N(U93),"平仓多于开仓",IF(N(W93)&lt;N(U93),"持仓中","已平仓")))))</f>
        <v/>
      </c>
      <c r="Z93" s="41" t="str">
        <f>IF(AND(ISNUMBER(R93),ISNUMBER(S93)),IF(R93=S93,"日内",""),"")</f>
        <v/>
      </c>
      <c r="AA93" s="42" t="str">
        <f>IF(Z93&lt;&gt;"日内","",COUNTIFS($Z$5:$Z$304,"日内",$S$5:$S$304,"&gt;"&amp;WORKDAY(S93,-5),$S$5:$S$304,"&lt;="&amp;S93))</f>
        <v/>
      </c>
      <c r="AB93" s="41" t="str">
        <f>IF(OR(NOT(ISNUMBER(M93)),NOT(ISNUMBER(R93))),"",IF(AND(M93&gt;=R93,OR(NOT(ISNUMBER(S93)),M93&lt;=S93)),"持仓跨财报",""))</f>
        <v/>
      </c>
      <c r="AC93" s="20">
        <f>IF(AND(E93="空",ISNUMBER(O93),ISNUMBER(S93)),ROUND(O93*(S93-R93)/360*V93*U93,2),0)</f>
        <v>0</v>
      </c>
      <c r="AD93" s="43" t="str">
        <f>IF(N(U93)=0,"",SUMIFS('成交明细'!$L$5:$L$804,'成交明细'!$A$5:$A$804,A93)+AC93)</f>
        <v/>
      </c>
      <c r="AE93" s="44" t="str">
        <f>IF(Y93&lt;&gt;"已平仓","",(SUMIFS('成交明细'!$H$5:$H$804,'成交明细'!$A$5:$A$804,A93,'成交明细'!$D$5:$D$804,"卖")-SUMIFS('成交明细'!$H$5:$H$804,'成交明细'!$A$5:$A$804,A93,'成交明细'!$D$5:$D$804,"买"))*1-AD93)</f>
        <v/>
      </c>
      <c r="AF93" s="45" t="str">
        <f>IF(AND(Y93="已平仓",ISNUMBER(L93)),(SUMIFS('成交明细'!$H$5:$H$804,'成交明细'!$A$5:$A$804,A93,'成交明细'!$D$5:$D$804,"卖")-SUMIFS('成交明细'!$H$5:$H$804,'成交明细'!$A$5:$A$804,A93,'成交明细'!$D$5:$D$804,"买"))*1/L93,"")</f>
        <v/>
      </c>
      <c r="AG93" s="45" t="str">
        <f>IF(AND(Y93="已平仓",ISNUMBER(L93)),AE93/L93,"")</f>
        <v/>
      </c>
      <c r="AH93" s="46" t="str">
        <f>IF(AND(ISNUMBER(V93),ISNUMBER(F93)),IF(E93="空",F93-V93,V93-F93),"")</f>
        <v/>
      </c>
      <c r="AI93" s="46" t="str">
        <f>IF(OR(NOT(ISNUMBER(AE93)),NOT(ISNUMBER(X93))),"",IF(AE93&lt;0,IF(E93="空",X93-G93,G93-X93),IF(NOT(ISNUMBER(H93)),"",IF(E93="空",X93-H93,H93-X93))))</f>
        <v/>
      </c>
      <c r="AJ93" s="32" t="n"/>
      <c r="AK93" s="32" t="n"/>
      <c r="AL93" s="31" t="n"/>
      <c r="AM93" s="45" t="str">
        <f>IF(A93="","",SUM(AG$5:AG93))</f>
        <v/>
      </c>
      <c r="AN93" s="37" t="str">
        <f>IF(A93="","",MAX(0,MAX(AM$5:AM93))-AM93)</f>
        <v/>
      </c>
    </row>
    <row r="94">
      <c r="A94" s="29" t="n"/>
      <c r="B94" s="30" t="n"/>
      <c r="C94" s="31" t="n"/>
      <c r="D94" s="32" t="n"/>
      <c r="E94" s="32" t="n"/>
      <c r="F94" s="33" t="n"/>
      <c r="G94" s="33" t="n"/>
      <c r="H94" s="33" t="n"/>
      <c r="I94" s="34" t="str">
        <f>IF(AND(ISNUMBER(F94),ISNUMBER(G94),ISNUMBER(H94)),IF(OR(AND(E94="多",F94&gt;G94),AND(E94="空",F94&lt;G94)),ABS(H94-F94)/ABS(F94-G94),"止损方向不对"),"")</f>
        <v/>
      </c>
      <c r="J94" s="35" t="str">
        <f>IF(AND(ISNUMBER(F94),ISNUMBER(G94)),IF(F94=G94,"",IF(INT(ROUND('参数'!$C$7/(ABS(F94-G94)*1+2*'参数'!$C$11+N('参数'!$C$14)*F94+N('参数'!$C$15))/1,6))*1&gt;0,INT(ROUND('参数'!$C$7/(ABS(F94-G94)*1+2*'参数'!$C$11+N('参数'!$C$14)*F94+N('参数'!$C$15))/1,6))*1,"预算不足，这笔不做")),"")</f>
        <v/>
      </c>
      <c r="K94" s="36" t="n"/>
      <c r="L94" s="20" t="str">
        <f>IF(AND(ISNUMBER(F94),ISNUMBER(G94),ISNUMBER(K94)),IF(AND(F94&lt;&gt;G94,K94&gt;0),ABS(F94-G94)*K94*1,""),"")</f>
        <v/>
      </c>
      <c r="M94" s="30" t="n"/>
      <c r="N94" s="37" t="str">
        <f>IF(AND(ISNUMBER(L94),ISNUMBER(M94)),IF(E94="空",(G94*(1+'参数'!$C$17)-F94),(F94-G94*(1-'参数'!$C$17)))*K94/L94,"")</f>
        <v/>
      </c>
      <c r="O94" s="38" t="n"/>
      <c r="P94" s="31" t="n"/>
      <c r="Q94" s="32" t="n"/>
      <c r="R94" s="39" t="str">
        <f>IF(N(U94)&gt;0,SUMPRODUCT(LARGE(('成交明细'!$A$5:$A$804=A94)*('成交明细'!$D$5:$D$804=IF(E94="空","卖","买"))*'成交明细'!$B$5:$B$804,COUNTIFS('成交明细'!$A$5:$A$804,A94,'成交明细'!$D$5:$D$804,IF(E94="空","卖","买")))),"")</f>
        <v/>
      </c>
      <c r="S94" s="39" t="str">
        <f>IF(AND(N(U94)&gt;0,N(W94)&gt;=N(U94)),SUMPRODUCT(MAX(('成交明细'!$A$5:$A$804=A94)*('成交明细'!$D$5:$D$804=IF(E94="空","买","卖"))*'成交明细'!$B$5:$B$804)),"")</f>
        <v/>
      </c>
      <c r="T94" s="32" t="n"/>
      <c r="U94" s="35" t="str">
        <f>IF(A94="","",SUMIFS('成交明细'!$F$5:$F$804,'成交明细'!$A$5:$A$804,A94,'成交明细'!$D$5:$D$804,IF(E94="空","卖","买")))</f>
        <v/>
      </c>
      <c r="V94" s="40" t="str">
        <f>IF(N(U94)&gt;0,SUMIFS('成交明细'!$H$5:$H$804,'成交明细'!$A$5:$A$804,A94,'成交明细'!$D$5:$D$804,IF(E94="空","卖","买"))/U94,"")</f>
        <v/>
      </c>
      <c r="W94" s="35" t="str">
        <f>IF(A94="","",SUMIFS('成交明细'!$F$5:$F$804,'成交明细'!$A$5:$A$804,A94,'成交明细'!$D$5:$D$804,IF(E94="空","买","卖")))</f>
        <v/>
      </c>
      <c r="X94" s="40" t="str">
        <f>IF(N(W94)&gt;0,SUMIFS('成交明细'!$H$5:$H$804,'成交明细'!$A$5:$A$804,A94,'成交明细'!$D$5:$D$804,IF(E94="空","买","卖"))/W94,"")</f>
        <v/>
      </c>
      <c r="Y94" s="41" t="str">
        <f>IF(A94="","",IF(Q94&lt;&gt;"已执行",IF(Q94="","未填执行情况",Q94),IF(N(U94)=0,"待录成交",IF(N(W94)&gt;N(U94),"平仓多于开仓",IF(N(W94)&lt;N(U94),"持仓中","已平仓")))))</f>
        <v/>
      </c>
      <c r="Z94" s="41" t="str">
        <f>IF(AND(ISNUMBER(R94),ISNUMBER(S94)),IF(R94=S94,"日内",""),"")</f>
        <v/>
      </c>
      <c r="AA94" s="42" t="str">
        <f>IF(Z94&lt;&gt;"日内","",COUNTIFS($Z$5:$Z$304,"日内",$S$5:$S$304,"&gt;"&amp;WORKDAY(S94,-5),$S$5:$S$304,"&lt;="&amp;S94))</f>
        <v/>
      </c>
      <c r="AB94" s="41" t="str">
        <f>IF(OR(NOT(ISNUMBER(M94)),NOT(ISNUMBER(R94))),"",IF(AND(M94&gt;=R94,OR(NOT(ISNUMBER(S94)),M94&lt;=S94)),"持仓跨财报",""))</f>
        <v/>
      </c>
      <c r="AC94" s="20">
        <f>IF(AND(E94="空",ISNUMBER(O94),ISNUMBER(S94)),ROUND(O94*(S94-R94)/360*V94*U94,2),0)</f>
        <v>0</v>
      </c>
      <c r="AD94" s="43" t="str">
        <f>IF(N(U94)=0,"",SUMIFS('成交明细'!$L$5:$L$804,'成交明细'!$A$5:$A$804,A94)+AC94)</f>
        <v/>
      </c>
      <c r="AE94" s="44" t="str">
        <f>IF(Y94&lt;&gt;"已平仓","",(SUMIFS('成交明细'!$H$5:$H$804,'成交明细'!$A$5:$A$804,A94,'成交明细'!$D$5:$D$804,"卖")-SUMIFS('成交明细'!$H$5:$H$804,'成交明细'!$A$5:$A$804,A94,'成交明细'!$D$5:$D$804,"买"))*1-AD94)</f>
        <v/>
      </c>
      <c r="AF94" s="45" t="str">
        <f>IF(AND(Y94="已平仓",ISNUMBER(L94)),(SUMIFS('成交明细'!$H$5:$H$804,'成交明细'!$A$5:$A$804,A94,'成交明细'!$D$5:$D$804,"卖")-SUMIFS('成交明细'!$H$5:$H$804,'成交明细'!$A$5:$A$804,A94,'成交明细'!$D$5:$D$804,"买"))*1/L94,"")</f>
        <v/>
      </c>
      <c r="AG94" s="45" t="str">
        <f>IF(AND(Y94="已平仓",ISNUMBER(L94)),AE94/L94,"")</f>
        <v/>
      </c>
      <c r="AH94" s="46" t="str">
        <f>IF(AND(ISNUMBER(V94),ISNUMBER(F94)),IF(E94="空",F94-V94,V94-F94),"")</f>
        <v/>
      </c>
      <c r="AI94" s="46" t="str">
        <f>IF(OR(NOT(ISNUMBER(AE94)),NOT(ISNUMBER(X94))),"",IF(AE94&lt;0,IF(E94="空",X94-G94,G94-X94),IF(NOT(ISNUMBER(H94)),"",IF(E94="空",X94-H94,H94-X94))))</f>
        <v/>
      </c>
      <c r="AJ94" s="32" t="n"/>
      <c r="AK94" s="32" t="n"/>
      <c r="AL94" s="31" t="n"/>
      <c r="AM94" s="45" t="str">
        <f>IF(A94="","",SUM(AG$5:AG94))</f>
        <v/>
      </c>
      <c r="AN94" s="37" t="str">
        <f>IF(A94="","",MAX(0,MAX(AM$5:AM94))-AM94)</f>
        <v/>
      </c>
    </row>
    <row r="95">
      <c r="A95" s="29" t="n"/>
      <c r="B95" s="30" t="n"/>
      <c r="C95" s="31" t="n"/>
      <c r="D95" s="32" t="n"/>
      <c r="E95" s="32" t="n"/>
      <c r="F95" s="33" t="n"/>
      <c r="G95" s="33" t="n"/>
      <c r="H95" s="33" t="n"/>
      <c r="I95" s="34" t="str">
        <f>IF(AND(ISNUMBER(F95),ISNUMBER(G95),ISNUMBER(H95)),IF(OR(AND(E95="多",F95&gt;G95),AND(E95="空",F95&lt;G95)),ABS(H95-F95)/ABS(F95-G95),"止损方向不对"),"")</f>
        <v/>
      </c>
      <c r="J95" s="35" t="str">
        <f>IF(AND(ISNUMBER(F95),ISNUMBER(G95)),IF(F95=G95,"",IF(INT(ROUND('参数'!$C$7/(ABS(F95-G95)*1+2*'参数'!$C$11+N('参数'!$C$14)*F95+N('参数'!$C$15))/1,6))*1&gt;0,INT(ROUND('参数'!$C$7/(ABS(F95-G95)*1+2*'参数'!$C$11+N('参数'!$C$14)*F95+N('参数'!$C$15))/1,6))*1,"预算不足，这笔不做")),"")</f>
        <v/>
      </c>
      <c r="K95" s="36" t="n"/>
      <c r="L95" s="20" t="str">
        <f>IF(AND(ISNUMBER(F95),ISNUMBER(G95),ISNUMBER(K95)),IF(AND(F95&lt;&gt;G95,K95&gt;0),ABS(F95-G95)*K95*1,""),"")</f>
        <v/>
      </c>
      <c r="M95" s="30" t="n"/>
      <c r="N95" s="37" t="str">
        <f>IF(AND(ISNUMBER(L95),ISNUMBER(M95)),IF(E95="空",(G95*(1+'参数'!$C$17)-F95),(F95-G95*(1-'参数'!$C$17)))*K95/L95,"")</f>
        <v/>
      </c>
      <c r="O95" s="38" t="n"/>
      <c r="P95" s="31" t="n"/>
      <c r="Q95" s="32" t="n"/>
      <c r="R95" s="39" t="str">
        <f>IF(N(U95)&gt;0,SUMPRODUCT(LARGE(('成交明细'!$A$5:$A$804=A95)*('成交明细'!$D$5:$D$804=IF(E95="空","卖","买"))*'成交明细'!$B$5:$B$804,COUNTIFS('成交明细'!$A$5:$A$804,A95,'成交明细'!$D$5:$D$804,IF(E95="空","卖","买")))),"")</f>
        <v/>
      </c>
      <c r="S95" s="39" t="str">
        <f>IF(AND(N(U95)&gt;0,N(W95)&gt;=N(U95)),SUMPRODUCT(MAX(('成交明细'!$A$5:$A$804=A95)*('成交明细'!$D$5:$D$804=IF(E95="空","买","卖"))*'成交明细'!$B$5:$B$804)),"")</f>
        <v/>
      </c>
      <c r="T95" s="32" t="n"/>
      <c r="U95" s="35" t="str">
        <f>IF(A95="","",SUMIFS('成交明细'!$F$5:$F$804,'成交明细'!$A$5:$A$804,A95,'成交明细'!$D$5:$D$804,IF(E95="空","卖","买")))</f>
        <v/>
      </c>
      <c r="V95" s="40" t="str">
        <f>IF(N(U95)&gt;0,SUMIFS('成交明细'!$H$5:$H$804,'成交明细'!$A$5:$A$804,A95,'成交明细'!$D$5:$D$804,IF(E95="空","卖","买"))/U95,"")</f>
        <v/>
      </c>
      <c r="W95" s="35" t="str">
        <f>IF(A95="","",SUMIFS('成交明细'!$F$5:$F$804,'成交明细'!$A$5:$A$804,A95,'成交明细'!$D$5:$D$804,IF(E95="空","买","卖")))</f>
        <v/>
      </c>
      <c r="X95" s="40" t="str">
        <f>IF(N(W95)&gt;0,SUMIFS('成交明细'!$H$5:$H$804,'成交明细'!$A$5:$A$804,A95,'成交明细'!$D$5:$D$804,IF(E95="空","买","卖"))/W95,"")</f>
        <v/>
      </c>
      <c r="Y95" s="41" t="str">
        <f>IF(A95="","",IF(Q95&lt;&gt;"已执行",IF(Q95="","未填执行情况",Q95),IF(N(U95)=0,"待录成交",IF(N(W95)&gt;N(U95),"平仓多于开仓",IF(N(W95)&lt;N(U95),"持仓中","已平仓")))))</f>
        <v/>
      </c>
      <c r="Z95" s="41" t="str">
        <f>IF(AND(ISNUMBER(R95),ISNUMBER(S95)),IF(R95=S95,"日内",""),"")</f>
        <v/>
      </c>
      <c r="AA95" s="42" t="str">
        <f>IF(Z95&lt;&gt;"日内","",COUNTIFS($Z$5:$Z$304,"日内",$S$5:$S$304,"&gt;"&amp;WORKDAY(S95,-5),$S$5:$S$304,"&lt;="&amp;S95))</f>
        <v/>
      </c>
      <c r="AB95" s="41" t="str">
        <f>IF(OR(NOT(ISNUMBER(M95)),NOT(ISNUMBER(R95))),"",IF(AND(M95&gt;=R95,OR(NOT(ISNUMBER(S95)),M95&lt;=S95)),"持仓跨财报",""))</f>
        <v/>
      </c>
      <c r="AC95" s="20">
        <f>IF(AND(E95="空",ISNUMBER(O95),ISNUMBER(S95)),ROUND(O95*(S95-R95)/360*V95*U95,2),0)</f>
        <v>0</v>
      </c>
      <c r="AD95" s="43" t="str">
        <f>IF(N(U95)=0,"",SUMIFS('成交明细'!$L$5:$L$804,'成交明细'!$A$5:$A$804,A95)+AC95)</f>
        <v/>
      </c>
      <c r="AE95" s="44" t="str">
        <f>IF(Y95&lt;&gt;"已平仓","",(SUMIFS('成交明细'!$H$5:$H$804,'成交明细'!$A$5:$A$804,A95,'成交明细'!$D$5:$D$804,"卖")-SUMIFS('成交明细'!$H$5:$H$804,'成交明细'!$A$5:$A$804,A95,'成交明细'!$D$5:$D$804,"买"))*1-AD95)</f>
        <v/>
      </c>
      <c r="AF95" s="45" t="str">
        <f>IF(AND(Y95="已平仓",ISNUMBER(L95)),(SUMIFS('成交明细'!$H$5:$H$804,'成交明细'!$A$5:$A$804,A95,'成交明细'!$D$5:$D$804,"卖")-SUMIFS('成交明细'!$H$5:$H$804,'成交明细'!$A$5:$A$804,A95,'成交明细'!$D$5:$D$804,"买"))*1/L95,"")</f>
        <v/>
      </c>
      <c r="AG95" s="45" t="str">
        <f>IF(AND(Y95="已平仓",ISNUMBER(L95)),AE95/L95,"")</f>
        <v/>
      </c>
      <c r="AH95" s="46" t="str">
        <f>IF(AND(ISNUMBER(V95),ISNUMBER(F95)),IF(E95="空",F95-V95,V95-F95),"")</f>
        <v/>
      </c>
      <c r="AI95" s="46" t="str">
        <f>IF(OR(NOT(ISNUMBER(AE95)),NOT(ISNUMBER(X95))),"",IF(AE95&lt;0,IF(E95="空",X95-G95,G95-X95),IF(NOT(ISNUMBER(H95)),"",IF(E95="空",X95-H95,H95-X95))))</f>
        <v/>
      </c>
      <c r="AJ95" s="32" t="n"/>
      <c r="AK95" s="32" t="n"/>
      <c r="AL95" s="31" t="n"/>
      <c r="AM95" s="45" t="str">
        <f>IF(A95="","",SUM(AG$5:AG95))</f>
        <v/>
      </c>
      <c r="AN95" s="37" t="str">
        <f>IF(A95="","",MAX(0,MAX(AM$5:AM95))-AM95)</f>
        <v/>
      </c>
    </row>
    <row r="96">
      <c r="A96" s="29" t="n"/>
      <c r="B96" s="30" t="n"/>
      <c r="C96" s="31" t="n"/>
      <c r="D96" s="32" t="n"/>
      <c r="E96" s="32" t="n"/>
      <c r="F96" s="33" t="n"/>
      <c r="G96" s="33" t="n"/>
      <c r="H96" s="33" t="n"/>
      <c r="I96" s="34" t="str">
        <f>IF(AND(ISNUMBER(F96),ISNUMBER(G96),ISNUMBER(H96)),IF(OR(AND(E96="多",F96&gt;G96),AND(E96="空",F96&lt;G96)),ABS(H96-F96)/ABS(F96-G96),"止损方向不对"),"")</f>
        <v/>
      </c>
      <c r="J96" s="35" t="str">
        <f>IF(AND(ISNUMBER(F96),ISNUMBER(G96)),IF(F96=G96,"",IF(INT(ROUND('参数'!$C$7/(ABS(F96-G96)*1+2*'参数'!$C$11+N('参数'!$C$14)*F96+N('参数'!$C$15))/1,6))*1&gt;0,INT(ROUND('参数'!$C$7/(ABS(F96-G96)*1+2*'参数'!$C$11+N('参数'!$C$14)*F96+N('参数'!$C$15))/1,6))*1,"预算不足，这笔不做")),"")</f>
        <v/>
      </c>
      <c r="K96" s="36" t="n"/>
      <c r="L96" s="20" t="str">
        <f>IF(AND(ISNUMBER(F96),ISNUMBER(G96),ISNUMBER(K96)),IF(AND(F96&lt;&gt;G96,K96&gt;0),ABS(F96-G96)*K96*1,""),"")</f>
        <v/>
      </c>
      <c r="M96" s="30" t="n"/>
      <c r="N96" s="37" t="str">
        <f>IF(AND(ISNUMBER(L96),ISNUMBER(M96)),IF(E96="空",(G96*(1+'参数'!$C$17)-F96),(F96-G96*(1-'参数'!$C$17)))*K96/L96,"")</f>
        <v/>
      </c>
      <c r="O96" s="38" t="n"/>
      <c r="P96" s="31" t="n"/>
      <c r="Q96" s="32" t="n"/>
      <c r="R96" s="39" t="str">
        <f>IF(N(U96)&gt;0,SUMPRODUCT(LARGE(('成交明细'!$A$5:$A$804=A96)*('成交明细'!$D$5:$D$804=IF(E96="空","卖","买"))*'成交明细'!$B$5:$B$804,COUNTIFS('成交明细'!$A$5:$A$804,A96,'成交明细'!$D$5:$D$804,IF(E96="空","卖","买")))),"")</f>
        <v/>
      </c>
      <c r="S96" s="39" t="str">
        <f>IF(AND(N(U96)&gt;0,N(W96)&gt;=N(U96)),SUMPRODUCT(MAX(('成交明细'!$A$5:$A$804=A96)*('成交明细'!$D$5:$D$804=IF(E96="空","买","卖"))*'成交明细'!$B$5:$B$804)),"")</f>
        <v/>
      </c>
      <c r="T96" s="32" t="n"/>
      <c r="U96" s="35" t="str">
        <f>IF(A96="","",SUMIFS('成交明细'!$F$5:$F$804,'成交明细'!$A$5:$A$804,A96,'成交明细'!$D$5:$D$804,IF(E96="空","卖","买")))</f>
        <v/>
      </c>
      <c r="V96" s="40" t="str">
        <f>IF(N(U96)&gt;0,SUMIFS('成交明细'!$H$5:$H$804,'成交明细'!$A$5:$A$804,A96,'成交明细'!$D$5:$D$804,IF(E96="空","卖","买"))/U96,"")</f>
        <v/>
      </c>
      <c r="W96" s="35" t="str">
        <f>IF(A96="","",SUMIFS('成交明细'!$F$5:$F$804,'成交明细'!$A$5:$A$804,A96,'成交明细'!$D$5:$D$804,IF(E96="空","买","卖")))</f>
        <v/>
      </c>
      <c r="X96" s="40" t="str">
        <f>IF(N(W96)&gt;0,SUMIFS('成交明细'!$H$5:$H$804,'成交明细'!$A$5:$A$804,A96,'成交明细'!$D$5:$D$804,IF(E96="空","买","卖"))/W96,"")</f>
        <v/>
      </c>
      <c r="Y96" s="41" t="str">
        <f>IF(A96="","",IF(Q96&lt;&gt;"已执行",IF(Q96="","未填执行情况",Q96),IF(N(U96)=0,"待录成交",IF(N(W96)&gt;N(U96),"平仓多于开仓",IF(N(W96)&lt;N(U96),"持仓中","已平仓")))))</f>
        <v/>
      </c>
      <c r="Z96" s="41" t="str">
        <f>IF(AND(ISNUMBER(R96),ISNUMBER(S96)),IF(R96=S96,"日内",""),"")</f>
        <v/>
      </c>
      <c r="AA96" s="42" t="str">
        <f>IF(Z96&lt;&gt;"日内","",COUNTIFS($Z$5:$Z$304,"日内",$S$5:$S$304,"&gt;"&amp;WORKDAY(S96,-5),$S$5:$S$304,"&lt;="&amp;S96))</f>
        <v/>
      </c>
      <c r="AB96" s="41" t="str">
        <f>IF(OR(NOT(ISNUMBER(M96)),NOT(ISNUMBER(R96))),"",IF(AND(M96&gt;=R96,OR(NOT(ISNUMBER(S96)),M96&lt;=S96)),"持仓跨财报",""))</f>
        <v/>
      </c>
      <c r="AC96" s="20">
        <f>IF(AND(E96="空",ISNUMBER(O96),ISNUMBER(S96)),ROUND(O96*(S96-R96)/360*V96*U96,2),0)</f>
        <v>0</v>
      </c>
      <c r="AD96" s="43" t="str">
        <f>IF(N(U96)=0,"",SUMIFS('成交明细'!$L$5:$L$804,'成交明细'!$A$5:$A$804,A96)+AC96)</f>
        <v/>
      </c>
      <c r="AE96" s="44" t="str">
        <f>IF(Y96&lt;&gt;"已平仓","",(SUMIFS('成交明细'!$H$5:$H$804,'成交明细'!$A$5:$A$804,A96,'成交明细'!$D$5:$D$804,"卖")-SUMIFS('成交明细'!$H$5:$H$804,'成交明细'!$A$5:$A$804,A96,'成交明细'!$D$5:$D$804,"买"))*1-AD96)</f>
        <v/>
      </c>
      <c r="AF96" s="45" t="str">
        <f>IF(AND(Y96="已平仓",ISNUMBER(L96)),(SUMIFS('成交明细'!$H$5:$H$804,'成交明细'!$A$5:$A$804,A96,'成交明细'!$D$5:$D$804,"卖")-SUMIFS('成交明细'!$H$5:$H$804,'成交明细'!$A$5:$A$804,A96,'成交明细'!$D$5:$D$804,"买"))*1/L96,"")</f>
        <v/>
      </c>
      <c r="AG96" s="45" t="str">
        <f>IF(AND(Y96="已平仓",ISNUMBER(L96)),AE96/L96,"")</f>
        <v/>
      </c>
      <c r="AH96" s="46" t="str">
        <f>IF(AND(ISNUMBER(V96),ISNUMBER(F96)),IF(E96="空",F96-V96,V96-F96),"")</f>
        <v/>
      </c>
      <c r="AI96" s="46" t="str">
        <f>IF(OR(NOT(ISNUMBER(AE96)),NOT(ISNUMBER(X96))),"",IF(AE96&lt;0,IF(E96="空",X96-G96,G96-X96),IF(NOT(ISNUMBER(H96)),"",IF(E96="空",X96-H96,H96-X96))))</f>
        <v/>
      </c>
      <c r="AJ96" s="32" t="n"/>
      <c r="AK96" s="32" t="n"/>
      <c r="AL96" s="31" t="n"/>
      <c r="AM96" s="45" t="str">
        <f>IF(A96="","",SUM(AG$5:AG96))</f>
        <v/>
      </c>
      <c r="AN96" s="37" t="str">
        <f>IF(A96="","",MAX(0,MAX(AM$5:AM96))-AM96)</f>
        <v/>
      </c>
    </row>
    <row r="97">
      <c r="A97" s="29" t="n"/>
      <c r="B97" s="30" t="n"/>
      <c r="C97" s="31" t="n"/>
      <c r="D97" s="32" t="n"/>
      <c r="E97" s="32" t="n"/>
      <c r="F97" s="33" t="n"/>
      <c r="G97" s="33" t="n"/>
      <c r="H97" s="33" t="n"/>
      <c r="I97" s="34" t="str">
        <f>IF(AND(ISNUMBER(F97),ISNUMBER(G97),ISNUMBER(H97)),IF(OR(AND(E97="多",F97&gt;G97),AND(E97="空",F97&lt;G97)),ABS(H97-F97)/ABS(F97-G97),"止损方向不对"),"")</f>
        <v/>
      </c>
      <c r="J97" s="35" t="str">
        <f>IF(AND(ISNUMBER(F97),ISNUMBER(G97)),IF(F97=G97,"",IF(INT(ROUND('参数'!$C$7/(ABS(F97-G97)*1+2*'参数'!$C$11+N('参数'!$C$14)*F97+N('参数'!$C$15))/1,6))*1&gt;0,INT(ROUND('参数'!$C$7/(ABS(F97-G97)*1+2*'参数'!$C$11+N('参数'!$C$14)*F97+N('参数'!$C$15))/1,6))*1,"预算不足，这笔不做")),"")</f>
        <v/>
      </c>
      <c r="K97" s="36" t="n"/>
      <c r="L97" s="20" t="str">
        <f>IF(AND(ISNUMBER(F97),ISNUMBER(G97),ISNUMBER(K97)),IF(AND(F97&lt;&gt;G97,K97&gt;0),ABS(F97-G97)*K97*1,""),"")</f>
        <v/>
      </c>
      <c r="M97" s="30" t="n"/>
      <c r="N97" s="37" t="str">
        <f>IF(AND(ISNUMBER(L97),ISNUMBER(M97)),IF(E97="空",(G97*(1+'参数'!$C$17)-F97),(F97-G97*(1-'参数'!$C$17)))*K97/L97,"")</f>
        <v/>
      </c>
      <c r="O97" s="38" t="n"/>
      <c r="P97" s="31" t="n"/>
      <c r="Q97" s="32" t="n"/>
      <c r="R97" s="39" t="str">
        <f>IF(N(U97)&gt;0,SUMPRODUCT(LARGE(('成交明细'!$A$5:$A$804=A97)*('成交明细'!$D$5:$D$804=IF(E97="空","卖","买"))*'成交明细'!$B$5:$B$804,COUNTIFS('成交明细'!$A$5:$A$804,A97,'成交明细'!$D$5:$D$804,IF(E97="空","卖","买")))),"")</f>
        <v/>
      </c>
      <c r="S97" s="39" t="str">
        <f>IF(AND(N(U97)&gt;0,N(W97)&gt;=N(U97)),SUMPRODUCT(MAX(('成交明细'!$A$5:$A$804=A97)*('成交明细'!$D$5:$D$804=IF(E97="空","买","卖"))*'成交明细'!$B$5:$B$804)),"")</f>
        <v/>
      </c>
      <c r="T97" s="32" t="n"/>
      <c r="U97" s="35" t="str">
        <f>IF(A97="","",SUMIFS('成交明细'!$F$5:$F$804,'成交明细'!$A$5:$A$804,A97,'成交明细'!$D$5:$D$804,IF(E97="空","卖","买")))</f>
        <v/>
      </c>
      <c r="V97" s="40" t="str">
        <f>IF(N(U97)&gt;0,SUMIFS('成交明细'!$H$5:$H$804,'成交明细'!$A$5:$A$804,A97,'成交明细'!$D$5:$D$804,IF(E97="空","卖","买"))/U97,"")</f>
        <v/>
      </c>
      <c r="W97" s="35" t="str">
        <f>IF(A97="","",SUMIFS('成交明细'!$F$5:$F$804,'成交明细'!$A$5:$A$804,A97,'成交明细'!$D$5:$D$804,IF(E97="空","买","卖")))</f>
        <v/>
      </c>
      <c r="X97" s="40" t="str">
        <f>IF(N(W97)&gt;0,SUMIFS('成交明细'!$H$5:$H$804,'成交明细'!$A$5:$A$804,A97,'成交明细'!$D$5:$D$804,IF(E97="空","买","卖"))/W97,"")</f>
        <v/>
      </c>
      <c r="Y97" s="41" t="str">
        <f>IF(A97="","",IF(Q97&lt;&gt;"已执行",IF(Q97="","未填执行情况",Q97),IF(N(U97)=0,"待录成交",IF(N(W97)&gt;N(U97),"平仓多于开仓",IF(N(W97)&lt;N(U97),"持仓中","已平仓")))))</f>
        <v/>
      </c>
      <c r="Z97" s="41" t="str">
        <f>IF(AND(ISNUMBER(R97),ISNUMBER(S97)),IF(R97=S97,"日内",""),"")</f>
        <v/>
      </c>
      <c r="AA97" s="42" t="str">
        <f>IF(Z97&lt;&gt;"日内","",COUNTIFS($Z$5:$Z$304,"日内",$S$5:$S$304,"&gt;"&amp;WORKDAY(S97,-5),$S$5:$S$304,"&lt;="&amp;S97))</f>
        <v/>
      </c>
      <c r="AB97" s="41" t="str">
        <f>IF(OR(NOT(ISNUMBER(M97)),NOT(ISNUMBER(R97))),"",IF(AND(M97&gt;=R97,OR(NOT(ISNUMBER(S97)),M97&lt;=S97)),"持仓跨财报",""))</f>
        <v/>
      </c>
      <c r="AC97" s="20">
        <f>IF(AND(E97="空",ISNUMBER(O97),ISNUMBER(S97)),ROUND(O97*(S97-R97)/360*V97*U97,2),0)</f>
        <v>0</v>
      </c>
      <c r="AD97" s="43" t="str">
        <f>IF(N(U97)=0,"",SUMIFS('成交明细'!$L$5:$L$804,'成交明细'!$A$5:$A$804,A97)+AC97)</f>
        <v/>
      </c>
      <c r="AE97" s="44" t="str">
        <f>IF(Y97&lt;&gt;"已平仓","",(SUMIFS('成交明细'!$H$5:$H$804,'成交明细'!$A$5:$A$804,A97,'成交明细'!$D$5:$D$804,"卖")-SUMIFS('成交明细'!$H$5:$H$804,'成交明细'!$A$5:$A$804,A97,'成交明细'!$D$5:$D$804,"买"))*1-AD97)</f>
        <v/>
      </c>
      <c r="AF97" s="45" t="str">
        <f>IF(AND(Y97="已平仓",ISNUMBER(L97)),(SUMIFS('成交明细'!$H$5:$H$804,'成交明细'!$A$5:$A$804,A97,'成交明细'!$D$5:$D$804,"卖")-SUMIFS('成交明细'!$H$5:$H$804,'成交明细'!$A$5:$A$804,A97,'成交明细'!$D$5:$D$804,"买"))*1/L97,"")</f>
        <v/>
      </c>
      <c r="AG97" s="45" t="str">
        <f>IF(AND(Y97="已平仓",ISNUMBER(L97)),AE97/L97,"")</f>
        <v/>
      </c>
      <c r="AH97" s="46" t="str">
        <f>IF(AND(ISNUMBER(V97),ISNUMBER(F97)),IF(E97="空",F97-V97,V97-F97),"")</f>
        <v/>
      </c>
      <c r="AI97" s="46" t="str">
        <f>IF(OR(NOT(ISNUMBER(AE97)),NOT(ISNUMBER(X97))),"",IF(AE97&lt;0,IF(E97="空",X97-G97,G97-X97),IF(NOT(ISNUMBER(H97)),"",IF(E97="空",X97-H97,H97-X97))))</f>
        <v/>
      </c>
      <c r="AJ97" s="32" t="n"/>
      <c r="AK97" s="32" t="n"/>
      <c r="AL97" s="31" t="n"/>
      <c r="AM97" s="45" t="str">
        <f>IF(A97="","",SUM(AG$5:AG97))</f>
        <v/>
      </c>
      <c r="AN97" s="37" t="str">
        <f>IF(A97="","",MAX(0,MAX(AM$5:AM97))-AM97)</f>
        <v/>
      </c>
    </row>
    <row r="98">
      <c r="A98" s="29" t="n"/>
      <c r="B98" s="30" t="n"/>
      <c r="C98" s="31" t="n"/>
      <c r="D98" s="32" t="n"/>
      <c r="E98" s="32" t="n"/>
      <c r="F98" s="33" t="n"/>
      <c r="G98" s="33" t="n"/>
      <c r="H98" s="33" t="n"/>
      <c r="I98" s="34" t="str">
        <f>IF(AND(ISNUMBER(F98),ISNUMBER(G98),ISNUMBER(H98)),IF(OR(AND(E98="多",F98&gt;G98),AND(E98="空",F98&lt;G98)),ABS(H98-F98)/ABS(F98-G98),"止损方向不对"),"")</f>
        <v/>
      </c>
      <c r="J98" s="35" t="str">
        <f>IF(AND(ISNUMBER(F98),ISNUMBER(G98)),IF(F98=G98,"",IF(INT(ROUND('参数'!$C$7/(ABS(F98-G98)*1+2*'参数'!$C$11+N('参数'!$C$14)*F98+N('参数'!$C$15))/1,6))*1&gt;0,INT(ROUND('参数'!$C$7/(ABS(F98-G98)*1+2*'参数'!$C$11+N('参数'!$C$14)*F98+N('参数'!$C$15))/1,6))*1,"预算不足，这笔不做")),"")</f>
        <v/>
      </c>
      <c r="K98" s="36" t="n"/>
      <c r="L98" s="20" t="str">
        <f>IF(AND(ISNUMBER(F98),ISNUMBER(G98),ISNUMBER(K98)),IF(AND(F98&lt;&gt;G98,K98&gt;0),ABS(F98-G98)*K98*1,""),"")</f>
        <v/>
      </c>
      <c r="M98" s="30" t="n"/>
      <c r="N98" s="37" t="str">
        <f>IF(AND(ISNUMBER(L98),ISNUMBER(M98)),IF(E98="空",(G98*(1+'参数'!$C$17)-F98),(F98-G98*(1-'参数'!$C$17)))*K98/L98,"")</f>
        <v/>
      </c>
      <c r="O98" s="38" t="n"/>
      <c r="P98" s="31" t="n"/>
      <c r="Q98" s="32" t="n"/>
      <c r="R98" s="39" t="str">
        <f>IF(N(U98)&gt;0,SUMPRODUCT(LARGE(('成交明细'!$A$5:$A$804=A98)*('成交明细'!$D$5:$D$804=IF(E98="空","卖","买"))*'成交明细'!$B$5:$B$804,COUNTIFS('成交明细'!$A$5:$A$804,A98,'成交明细'!$D$5:$D$804,IF(E98="空","卖","买")))),"")</f>
        <v/>
      </c>
      <c r="S98" s="39" t="str">
        <f>IF(AND(N(U98)&gt;0,N(W98)&gt;=N(U98)),SUMPRODUCT(MAX(('成交明细'!$A$5:$A$804=A98)*('成交明细'!$D$5:$D$804=IF(E98="空","买","卖"))*'成交明细'!$B$5:$B$804)),"")</f>
        <v/>
      </c>
      <c r="T98" s="32" t="n"/>
      <c r="U98" s="35" t="str">
        <f>IF(A98="","",SUMIFS('成交明细'!$F$5:$F$804,'成交明细'!$A$5:$A$804,A98,'成交明细'!$D$5:$D$804,IF(E98="空","卖","买")))</f>
        <v/>
      </c>
      <c r="V98" s="40" t="str">
        <f>IF(N(U98)&gt;0,SUMIFS('成交明细'!$H$5:$H$804,'成交明细'!$A$5:$A$804,A98,'成交明细'!$D$5:$D$804,IF(E98="空","卖","买"))/U98,"")</f>
        <v/>
      </c>
      <c r="W98" s="35" t="str">
        <f>IF(A98="","",SUMIFS('成交明细'!$F$5:$F$804,'成交明细'!$A$5:$A$804,A98,'成交明细'!$D$5:$D$804,IF(E98="空","买","卖")))</f>
        <v/>
      </c>
      <c r="X98" s="40" t="str">
        <f>IF(N(W98)&gt;0,SUMIFS('成交明细'!$H$5:$H$804,'成交明细'!$A$5:$A$804,A98,'成交明细'!$D$5:$D$804,IF(E98="空","买","卖"))/W98,"")</f>
        <v/>
      </c>
      <c r="Y98" s="41" t="str">
        <f>IF(A98="","",IF(Q98&lt;&gt;"已执行",IF(Q98="","未填执行情况",Q98),IF(N(U98)=0,"待录成交",IF(N(W98)&gt;N(U98),"平仓多于开仓",IF(N(W98)&lt;N(U98),"持仓中","已平仓")))))</f>
        <v/>
      </c>
      <c r="Z98" s="41" t="str">
        <f>IF(AND(ISNUMBER(R98),ISNUMBER(S98)),IF(R98=S98,"日内",""),"")</f>
        <v/>
      </c>
      <c r="AA98" s="42" t="str">
        <f>IF(Z98&lt;&gt;"日内","",COUNTIFS($Z$5:$Z$304,"日内",$S$5:$S$304,"&gt;"&amp;WORKDAY(S98,-5),$S$5:$S$304,"&lt;="&amp;S98))</f>
        <v/>
      </c>
      <c r="AB98" s="41" t="str">
        <f>IF(OR(NOT(ISNUMBER(M98)),NOT(ISNUMBER(R98))),"",IF(AND(M98&gt;=R98,OR(NOT(ISNUMBER(S98)),M98&lt;=S98)),"持仓跨财报",""))</f>
        <v/>
      </c>
      <c r="AC98" s="20">
        <f>IF(AND(E98="空",ISNUMBER(O98),ISNUMBER(S98)),ROUND(O98*(S98-R98)/360*V98*U98,2),0)</f>
        <v>0</v>
      </c>
      <c r="AD98" s="43" t="str">
        <f>IF(N(U98)=0,"",SUMIFS('成交明细'!$L$5:$L$804,'成交明细'!$A$5:$A$804,A98)+AC98)</f>
        <v/>
      </c>
      <c r="AE98" s="44" t="str">
        <f>IF(Y98&lt;&gt;"已平仓","",(SUMIFS('成交明细'!$H$5:$H$804,'成交明细'!$A$5:$A$804,A98,'成交明细'!$D$5:$D$804,"卖")-SUMIFS('成交明细'!$H$5:$H$804,'成交明细'!$A$5:$A$804,A98,'成交明细'!$D$5:$D$804,"买"))*1-AD98)</f>
        <v/>
      </c>
      <c r="AF98" s="45" t="str">
        <f>IF(AND(Y98="已平仓",ISNUMBER(L98)),(SUMIFS('成交明细'!$H$5:$H$804,'成交明细'!$A$5:$A$804,A98,'成交明细'!$D$5:$D$804,"卖")-SUMIFS('成交明细'!$H$5:$H$804,'成交明细'!$A$5:$A$804,A98,'成交明细'!$D$5:$D$804,"买"))*1/L98,"")</f>
        <v/>
      </c>
      <c r="AG98" s="45" t="str">
        <f>IF(AND(Y98="已平仓",ISNUMBER(L98)),AE98/L98,"")</f>
        <v/>
      </c>
      <c r="AH98" s="46" t="str">
        <f>IF(AND(ISNUMBER(V98),ISNUMBER(F98)),IF(E98="空",F98-V98,V98-F98),"")</f>
        <v/>
      </c>
      <c r="AI98" s="46" t="str">
        <f>IF(OR(NOT(ISNUMBER(AE98)),NOT(ISNUMBER(X98))),"",IF(AE98&lt;0,IF(E98="空",X98-G98,G98-X98),IF(NOT(ISNUMBER(H98)),"",IF(E98="空",X98-H98,H98-X98))))</f>
        <v/>
      </c>
      <c r="AJ98" s="32" t="n"/>
      <c r="AK98" s="32" t="n"/>
      <c r="AL98" s="31" t="n"/>
      <c r="AM98" s="45" t="str">
        <f>IF(A98="","",SUM(AG$5:AG98))</f>
        <v/>
      </c>
      <c r="AN98" s="37" t="str">
        <f>IF(A98="","",MAX(0,MAX(AM$5:AM98))-AM98)</f>
        <v/>
      </c>
    </row>
    <row r="99">
      <c r="A99" s="29" t="n"/>
      <c r="B99" s="30" t="n"/>
      <c r="C99" s="31" t="n"/>
      <c r="D99" s="32" t="n"/>
      <c r="E99" s="32" t="n"/>
      <c r="F99" s="33" t="n"/>
      <c r="G99" s="33" t="n"/>
      <c r="H99" s="33" t="n"/>
      <c r="I99" s="34" t="str">
        <f>IF(AND(ISNUMBER(F99),ISNUMBER(G99),ISNUMBER(H99)),IF(OR(AND(E99="多",F99&gt;G99),AND(E99="空",F99&lt;G99)),ABS(H99-F99)/ABS(F99-G99),"止损方向不对"),"")</f>
        <v/>
      </c>
      <c r="J99" s="35" t="str">
        <f>IF(AND(ISNUMBER(F99),ISNUMBER(G99)),IF(F99=G99,"",IF(INT(ROUND('参数'!$C$7/(ABS(F99-G99)*1+2*'参数'!$C$11+N('参数'!$C$14)*F99+N('参数'!$C$15))/1,6))*1&gt;0,INT(ROUND('参数'!$C$7/(ABS(F99-G99)*1+2*'参数'!$C$11+N('参数'!$C$14)*F99+N('参数'!$C$15))/1,6))*1,"预算不足，这笔不做")),"")</f>
        <v/>
      </c>
      <c r="K99" s="36" t="n"/>
      <c r="L99" s="20" t="str">
        <f>IF(AND(ISNUMBER(F99),ISNUMBER(G99),ISNUMBER(K99)),IF(AND(F99&lt;&gt;G99,K99&gt;0),ABS(F99-G99)*K99*1,""),"")</f>
        <v/>
      </c>
      <c r="M99" s="30" t="n"/>
      <c r="N99" s="37" t="str">
        <f>IF(AND(ISNUMBER(L99),ISNUMBER(M99)),IF(E99="空",(G99*(1+'参数'!$C$17)-F99),(F99-G99*(1-'参数'!$C$17)))*K99/L99,"")</f>
        <v/>
      </c>
      <c r="O99" s="38" t="n"/>
      <c r="P99" s="31" t="n"/>
      <c r="Q99" s="32" t="n"/>
      <c r="R99" s="39" t="str">
        <f>IF(N(U99)&gt;0,SUMPRODUCT(LARGE(('成交明细'!$A$5:$A$804=A99)*('成交明细'!$D$5:$D$804=IF(E99="空","卖","买"))*'成交明细'!$B$5:$B$804,COUNTIFS('成交明细'!$A$5:$A$804,A99,'成交明细'!$D$5:$D$804,IF(E99="空","卖","买")))),"")</f>
        <v/>
      </c>
      <c r="S99" s="39" t="str">
        <f>IF(AND(N(U99)&gt;0,N(W99)&gt;=N(U99)),SUMPRODUCT(MAX(('成交明细'!$A$5:$A$804=A99)*('成交明细'!$D$5:$D$804=IF(E99="空","买","卖"))*'成交明细'!$B$5:$B$804)),"")</f>
        <v/>
      </c>
      <c r="T99" s="32" t="n"/>
      <c r="U99" s="35" t="str">
        <f>IF(A99="","",SUMIFS('成交明细'!$F$5:$F$804,'成交明细'!$A$5:$A$804,A99,'成交明细'!$D$5:$D$804,IF(E99="空","卖","买")))</f>
        <v/>
      </c>
      <c r="V99" s="40" t="str">
        <f>IF(N(U99)&gt;0,SUMIFS('成交明细'!$H$5:$H$804,'成交明细'!$A$5:$A$804,A99,'成交明细'!$D$5:$D$804,IF(E99="空","卖","买"))/U99,"")</f>
        <v/>
      </c>
      <c r="W99" s="35" t="str">
        <f>IF(A99="","",SUMIFS('成交明细'!$F$5:$F$804,'成交明细'!$A$5:$A$804,A99,'成交明细'!$D$5:$D$804,IF(E99="空","买","卖")))</f>
        <v/>
      </c>
      <c r="X99" s="40" t="str">
        <f>IF(N(W99)&gt;0,SUMIFS('成交明细'!$H$5:$H$804,'成交明细'!$A$5:$A$804,A99,'成交明细'!$D$5:$D$804,IF(E99="空","买","卖"))/W99,"")</f>
        <v/>
      </c>
      <c r="Y99" s="41" t="str">
        <f>IF(A99="","",IF(Q99&lt;&gt;"已执行",IF(Q99="","未填执行情况",Q99),IF(N(U99)=0,"待录成交",IF(N(W99)&gt;N(U99),"平仓多于开仓",IF(N(W99)&lt;N(U99),"持仓中","已平仓")))))</f>
        <v/>
      </c>
      <c r="Z99" s="41" t="str">
        <f>IF(AND(ISNUMBER(R99),ISNUMBER(S99)),IF(R99=S99,"日内",""),"")</f>
        <v/>
      </c>
      <c r="AA99" s="42" t="str">
        <f>IF(Z99&lt;&gt;"日内","",COUNTIFS($Z$5:$Z$304,"日内",$S$5:$S$304,"&gt;"&amp;WORKDAY(S99,-5),$S$5:$S$304,"&lt;="&amp;S99))</f>
        <v/>
      </c>
      <c r="AB99" s="41" t="str">
        <f>IF(OR(NOT(ISNUMBER(M99)),NOT(ISNUMBER(R99))),"",IF(AND(M99&gt;=R99,OR(NOT(ISNUMBER(S99)),M99&lt;=S99)),"持仓跨财报",""))</f>
        <v/>
      </c>
      <c r="AC99" s="20">
        <f>IF(AND(E99="空",ISNUMBER(O99),ISNUMBER(S99)),ROUND(O99*(S99-R99)/360*V99*U99,2),0)</f>
        <v>0</v>
      </c>
      <c r="AD99" s="43" t="str">
        <f>IF(N(U99)=0,"",SUMIFS('成交明细'!$L$5:$L$804,'成交明细'!$A$5:$A$804,A99)+AC99)</f>
        <v/>
      </c>
      <c r="AE99" s="44" t="str">
        <f>IF(Y99&lt;&gt;"已平仓","",(SUMIFS('成交明细'!$H$5:$H$804,'成交明细'!$A$5:$A$804,A99,'成交明细'!$D$5:$D$804,"卖")-SUMIFS('成交明细'!$H$5:$H$804,'成交明细'!$A$5:$A$804,A99,'成交明细'!$D$5:$D$804,"买"))*1-AD99)</f>
        <v/>
      </c>
      <c r="AF99" s="45" t="str">
        <f>IF(AND(Y99="已平仓",ISNUMBER(L99)),(SUMIFS('成交明细'!$H$5:$H$804,'成交明细'!$A$5:$A$804,A99,'成交明细'!$D$5:$D$804,"卖")-SUMIFS('成交明细'!$H$5:$H$804,'成交明细'!$A$5:$A$804,A99,'成交明细'!$D$5:$D$804,"买"))*1/L99,"")</f>
        <v/>
      </c>
      <c r="AG99" s="45" t="str">
        <f>IF(AND(Y99="已平仓",ISNUMBER(L99)),AE99/L99,"")</f>
        <v/>
      </c>
      <c r="AH99" s="46" t="str">
        <f>IF(AND(ISNUMBER(V99),ISNUMBER(F99)),IF(E99="空",F99-V99,V99-F99),"")</f>
        <v/>
      </c>
      <c r="AI99" s="46" t="str">
        <f>IF(OR(NOT(ISNUMBER(AE99)),NOT(ISNUMBER(X99))),"",IF(AE99&lt;0,IF(E99="空",X99-G99,G99-X99),IF(NOT(ISNUMBER(H99)),"",IF(E99="空",X99-H99,H99-X99))))</f>
        <v/>
      </c>
      <c r="AJ99" s="32" t="n"/>
      <c r="AK99" s="32" t="n"/>
      <c r="AL99" s="31" t="n"/>
      <c r="AM99" s="45" t="str">
        <f>IF(A99="","",SUM(AG$5:AG99))</f>
        <v/>
      </c>
      <c r="AN99" s="37" t="str">
        <f>IF(A99="","",MAX(0,MAX(AM$5:AM99))-AM99)</f>
        <v/>
      </c>
    </row>
    <row r="100">
      <c r="A100" s="29" t="n"/>
      <c r="B100" s="30" t="n"/>
      <c r="C100" s="31" t="n"/>
      <c r="D100" s="32" t="n"/>
      <c r="E100" s="32" t="n"/>
      <c r="F100" s="33" t="n"/>
      <c r="G100" s="33" t="n"/>
      <c r="H100" s="33" t="n"/>
      <c r="I100" s="34" t="str">
        <f>IF(AND(ISNUMBER(F100),ISNUMBER(G100),ISNUMBER(H100)),IF(OR(AND(E100="多",F100&gt;G100),AND(E100="空",F100&lt;G100)),ABS(H100-F100)/ABS(F100-G100),"止损方向不对"),"")</f>
        <v/>
      </c>
      <c r="J100" s="35" t="str">
        <f>IF(AND(ISNUMBER(F100),ISNUMBER(G100)),IF(F100=G100,"",IF(INT(ROUND('参数'!$C$7/(ABS(F100-G100)*1+2*'参数'!$C$11+N('参数'!$C$14)*F100+N('参数'!$C$15))/1,6))*1&gt;0,INT(ROUND('参数'!$C$7/(ABS(F100-G100)*1+2*'参数'!$C$11+N('参数'!$C$14)*F100+N('参数'!$C$15))/1,6))*1,"预算不足，这笔不做")),"")</f>
        <v/>
      </c>
      <c r="K100" s="36" t="n"/>
      <c r="L100" s="20" t="str">
        <f>IF(AND(ISNUMBER(F100),ISNUMBER(G100),ISNUMBER(K100)),IF(AND(F100&lt;&gt;G100,K100&gt;0),ABS(F100-G100)*K100*1,""),"")</f>
        <v/>
      </c>
      <c r="M100" s="30" t="n"/>
      <c r="N100" s="37" t="str">
        <f>IF(AND(ISNUMBER(L100),ISNUMBER(M100)),IF(E100="空",(G100*(1+'参数'!$C$17)-F100),(F100-G100*(1-'参数'!$C$17)))*K100/L100,"")</f>
        <v/>
      </c>
      <c r="O100" s="38" t="n"/>
      <c r="P100" s="31" t="n"/>
      <c r="Q100" s="32" t="n"/>
      <c r="R100" s="39" t="str">
        <f>IF(N(U100)&gt;0,SUMPRODUCT(LARGE(('成交明细'!$A$5:$A$804=A100)*('成交明细'!$D$5:$D$804=IF(E100="空","卖","买"))*'成交明细'!$B$5:$B$804,COUNTIFS('成交明细'!$A$5:$A$804,A100,'成交明细'!$D$5:$D$804,IF(E100="空","卖","买")))),"")</f>
        <v/>
      </c>
      <c r="S100" s="39" t="str">
        <f>IF(AND(N(U100)&gt;0,N(W100)&gt;=N(U100)),SUMPRODUCT(MAX(('成交明细'!$A$5:$A$804=A100)*('成交明细'!$D$5:$D$804=IF(E100="空","买","卖"))*'成交明细'!$B$5:$B$804)),"")</f>
        <v/>
      </c>
      <c r="T100" s="32" t="n"/>
      <c r="U100" s="35" t="str">
        <f>IF(A100="","",SUMIFS('成交明细'!$F$5:$F$804,'成交明细'!$A$5:$A$804,A100,'成交明细'!$D$5:$D$804,IF(E100="空","卖","买")))</f>
        <v/>
      </c>
      <c r="V100" s="40" t="str">
        <f>IF(N(U100)&gt;0,SUMIFS('成交明细'!$H$5:$H$804,'成交明细'!$A$5:$A$804,A100,'成交明细'!$D$5:$D$804,IF(E100="空","卖","买"))/U100,"")</f>
        <v/>
      </c>
      <c r="W100" s="35" t="str">
        <f>IF(A100="","",SUMIFS('成交明细'!$F$5:$F$804,'成交明细'!$A$5:$A$804,A100,'成交明细'!$D$5:$D$804,IF(E100="空","买","卖")))</f>
        <v/>
      </c>
      <c r="X100" s="40" t="str">
        <f>IF(N(W100)&gt;0,SUMIFS('成交明细'!$H$5:$H$804,'成交明细'!$A$5:$A$804,A100,'成交明细'!$D$5:$D$804,IF(E100="空","买","卖"))/W100,"")</f>
        <v/>
      </c>
      <c r="Y100" s="41" t="str">
        <f>IF(A100="","",IF(Q100&lt;&gt;"已执行",IF(Q100="","未填执行情况",Q100),IF(N(U100)=0,"待录成交",IF(N(W100)&gt;N(U100),"平仓多于开仓",IF(N(W100)&lt;N(U100),"持仓中","已平仓")))))</f>
        <v/>
      </c>
      <c r="Z100" s="41" t="str">
        <f>IF(AND(ISNUMBER(R100),ISNUMBER(S100)),IF(R100=S100,"日内",""),"")</f>
        <v/>
      </c>
      <c r="AA100" s="42" t="str">
        <f>IF(Z100&lt;&gt;"日内","",COUNTIFS($Z$5:$Z$304,"日内",$S$5:$S$304,"&gt;"&amp;WORKDAY(S100,-5),$S$5:$S$304,"&lt;="&amp;S100))</f>
        <v/>
      </c>
      <c r="AB100" s="41" t="str">
        <f>IF(OR(NOT(ISNUMBER(M100)),NOT(ISNUMBER(R100))),"",IF(AND(M100&gt;=R100,OR(NOT(ISNUMBER(S100)),M100&lt;=S100)),"持仓跨财报",""))</f>
        <v/>
      </c>
      <c r="AC100" s="20">
        <f>IF(AND(E100="空",ISNUMBER(O100),ISNUMBER(S100)),ROUND(O100*(S100-R100)/360*V100*U100,2),0)</f>
        <v>0</v>
      </c>
      <c r="AD100" s="43" t="str">
        <f>IF(N(U100)=0,"",SUMIFS('成交明细'!$L$5:$L$804,'成交明细'!$A$5:$A$804,A100)+AC100)</f>
        <v/>
      </c>
      <c r="AE100" s="44" t="str">
        <f>IF(Y100&lt;&gt;"已平仓","",(SUMIFS('成交明细'!$H$5:$H$804,'成交明细'!$A$5:$A$804,A100,'成交明细'!$D$5:$D$804,"卖")-SUMIFS('成交明细'!$H$5:$H$804,'成交明细'!$A$5:$A$804,A100,'成交明细'!$D$5:$D$804,"买"))*1-AD100)</f>
        <v/>
      </c>
      <c r="AF100" s="45" t="str">
        <f>IF(AND(Y100="已平仓",ISNUMBER(L100)),(SUMIFS('成交明细'!$H$5:$H$804,'成交明细'!$A$5:$A$804,A100,'成交明细'!$D$5:$D$804,"卖")-SUMIFS('成交明细'!$H$5:$H$804,'成交明细'!$A$5:$A$804,A100,'成交明细'!$D$5:$D$804,"买"))*1/L100,"")</f>
        <v/>
      </c>
      <c r="AG100" s="45" t="str">
        <f>IF(AND(Y100="已平仓",ISNUMBER(L100)),AE100/L100,"")</f>
        <v/>
      </c>
      <c r="AH100" s="46" t="str">
        <f>IF(AND(ISNUMBER(V100),ISNUMBER(F100)),IF(E100="空",F100-V100,V100-F100),"")</f>
        <v/>
      </c>
      <c r="AI100" s="46" t="str">
        <f>IF(OR(NOT(ISNUMBER(AE100)),NOT(ISNUMBER(X100))),"",IF(AE100&lt;0,IF(E100="空",X100-G100,G100-X100),IF(NOT(ISNUMBER(H100)),"",IF(E100="空",X100-H100,H100-X100))))</f>
        <v/>
      </c>
      <c r="AJ100" s="32" t="n"/>
      <c r="AK100" s="32" t="n"/>
      <c r="AL100" s="31" t="n"/>
      <c r="AM100" s="45" t="str">
        <f>IF(A100="","",SUM(AG$5:AG100))</f>
        <v/>
      </c>
      <c r="AN100" s="37" t="str">
        <f>IF(A100="","",MAX(0,MAX(AM$5:AM100))-AM100)</f>
        <v/>
      </c>
    </row>
    <row r="101">
      <c r="A101" s="29" t="n"/>
      <c r="B101" s="30" t="n"/>
      <c r="C101" s="31" t="n"/>
      <c r="D101" s="32" t="n"/>
      <c r="E101" s="32" t="n"/>
      <c r="F101" s="33" t="n"/>
      <c r="G101" s="33" t="n"/>
      <c r="H101" s="33" t="n"/>
      <c r="I101" s="34" t="str">
        <f>IF(AND(ISNUMBER(F101),ISNUMBER(G101),ISNUMBER(H101)),IF(OR(AND(E101="多",F101&gt;G101),AND(E101="空",F101&lt;G101)),ABS(H101-F101)/ABS(F101-G101),"止损方向不对"),"")</f>
        <v/>
      </c>
      <c r="J101" s="35" t="str">
        <f>IF(AND(ISNUMBER(F101),ISNUMBER(G101)),IF(F101=G101,"",IF(INT(ROUND('参数'!$C$7/(ABS(F101-G101)*1+2*'参数'!$C$11+N('参数'!$C$14)*F101+N('参数'!$C$15))/1,6))*1&gt;0,INT(ROUND('参数'!$C$7/(ABS(F101-G101)*1+2*'参数'!$C$11+N('参数'!$C$14)*F101+N('参数'!$C$15))/1,6))*1,"预算不足，这笔不做")),"")</f>
        <v/>
      </c>
      <c r="K101" s="36" t="n"/>
      <c r="L101" s="20" t="str">
        <f>IF(AND(ISNUMBER(F101),ISNUMBER(G101),ISNUMBER(K101)),IF(AND(F101&lt;&gt;G101,K101&gt;0),ABS(F101-G101)*K101*1,""),"")</f>
        <v/>
      </c>
      <c r="M101" s="30" t="n"/>
      <c r="N101" s="37" t="str">
        <f>IF(AND(ISNUMBER(L101),ISNUMBER(M101)),IF(E101="空",(G101*(1+'参数'!$C$17)-F101),(F101-G101*(1-'参数'!$C$17)))*K101/L101,"")</f>
        <v/>
      </c>
      <c r="O101" s="38" t="n"/>
      <c r="P101" s="31" t="n"/>
      <c r="Q101" s="32" t="n"/>
      <c r="R101" s="39" t="str">
        <f>IF(N(U101)&gt;0,SUMPRODUCT(LARGE(('成交明细'!$A$5:$A$804=A101)*('成交明细'!$D$5:$D$804=IF(E101="空","卖","买"))*'成交明细'!$B$5:$B$804,COUNTIFS('成交明细'!$A$5:$A$804,A101,'成交明细'!$D$5:$D$804,IF(E101="空","卖","买")))),"")</f>
        <v/>
      </c>
      <c r="S101" s="39" t="str">
        <f>IF(AND(N(U101)&gt;0,N(W101)&gt;=N(U101)),SUMPRODUCT(MAX(('成交明细'!$A$5:$A$804=A101)*('成交明细'!$D$5:$D$804=IF(E101="空","买","卖"))*'成交明细'!$B$5:$B$804)),"")</f>
        <v/>
      </c>
      <c r="T101" s="32" t="n"/>
      <c r="U101" s="35" t="str">
        <f>IF(A101="","",SUMIFS('成交明细'!$F$5:$F$804,'成交明细'!$A$5:$A$804,A101,'成交明细'!$D$5:$D$804,IF(E101="空","卖","买")))</f>
        <v/>
      </c>
      <c r="V101" s="40" t="str">
        <f>IF(N(U101)&gt;0,SUMIFS('成交明细'!$H$5:$H$804,'成交明细'!$A$5:$A$804,A101,'成交明细'!$D$5:$D$804,IF(E101="空","卖","买"))/U101,"")</f>
        <v/>
      </c>
      <c r="W101" s="35" t="str">
        <f>IF(A101="","",SUMIFS('成交明细'!$F$5:$F$804,'成交明细'!$A$5:$A$804,A101,'成交明细'!$D$5:$D$804,IF(E101="空","买","卖")))</f>
        <v/>
      </c>
      <c r="X101" s="40" t="str">
        <f>IF(N(W101)&gt;0,SUMIFS('成交明细'!$H$5:$H$804,'成交明细'!$A$5:$A$804,A101,'成交明细'!$D$5:$D$804,IF(E101="空","买","卖"))/W101,"")</f>
        <v/>
      </c>
      <c r="Y101" s="41" t="str">
        <f>IF(A101="","",IF(Q101&lt;&gt;"已执行",IF(Q101="","未填执行情况",Q101),IF(N(U101)=0,"待录成交",IF(N(W101)&gt;N(U101),"平仓多于开仓",IF(N(W101)&lt;N(U101),"持仓中","已平仓")))))</f>
        <v/>
      </c>
      <c r="Z101" s="41" t="str">
        <f>IF(AND(ISNUMBER(R101),ISNUMBER(S101)),IF(R101=S101,"日内",""),"")</f>
        <v/>
      </c>
      <c r="AA101" s="42" t="str">
        <f>IF(Z101&lt;&gt;"日内","",COUNTIFS($Z$5:$Z$304,"日内",$S$5:$S$304,"&gt;"&amp;WORKDAY(S101,-5),$S$5:$S$304,"&lt;="&amp;S101))</f>
        <v/>
      </c>
      <c r="AB101" s="41" t="str">
        <f>IF(OR(NOT(ISNUMBER(M101)),NOT(ISNUMBER(R101))),"",IF(AND(M101&gt;=R101,OR(NOT(ISNUMBER(S101)),M101&lt;=S101)),"持仓跨财报",""))</f>
        <v/>
      </c>
      <c r="AC101" s="20">
        <f>IF(AND(E101="空",ISNUMBER(O101),ISNUMBER(S101)),ROUND(O101*(S101-R101)/360*V101*U101,2),0)</f>
        <v>0</v>
      </c>
      <c r="AD101" s="43" t="str">
        <f>IF(N(U101)=0,"",SUMIFS('成交明细'!$L$5:$L$804,'成交明细'!$A$5:$A$804,A101)+AC101)</f>
        <v/>
      </c>
      <c r="AE101" s="44" t="str">
        <f>IF(Y101&lt;&gt;"已平仓","",(SUMIFS('成交明细'!$H$5:$H$804,'成交明细'!$A$5:$A$804,A101,'成交明细'!$D$5:$D$804,"卖")-SUMIFS('成交明细'!$H$5:$H$804,'成交明细'!$A$5:$A$804,A101,'成交明细'!$D$5:$D$804,"买"))*1-AD101)</f>
        <v/>
      </c>
      <c r="AF101" s="45" t="str">
        <f>IF(AND(Y101="已平仓",ISNUMBER(L101)),(SUMIFS('成交明细'!$H$5:$H$804,'成交明细'!$A$5:$A$804,A101,'成交明细'!$D$5:$D$804,"卖")-SUMIFS('成交明细'!$H$5:$H$804,'成交明细'!$A$5:$A$804,A101,'成交明细'!$D$5:$D$804,"买"))*1/L101,"")</f>
        <v/>
      </c>
      <c r="AG101" s="45" t="str">
        <f>IF(AND(Y101="已平仓",ISNUMBER(L101)),AE101/L101,"")</f>
        <v/>
      </c>
      <c r="AH101" s="46" t="str">
        <f>IF(AND(ISNUMBER(V101),ISNUMBER(F101)),IF(E101="空",F101-V101,V101-F101),"")</f>
        <v/>
      </c>
      <c r="AI101" s="46" t="str">
        <f>IF(OR(NOT(ISNUMBER(AE101)),NOT(ISNUMBER(X101))),"",IF(AE101&lt;0,IF(E101="空",X101-G101,G101-X101),IF(NOT(ISNUMBER(H101)),"",IF(E101="空",X101-H101,H101-X101))))</f>
        <v/>
      </c>
      <c r="AJ101" s="32" t="n"/>
      <c r="AK101" s="32" t="n"/>
      <c r="AL101" s="31" t="n"/>
      <c r="AM101" s="45" t="str">
        <f>IF(A101="","",SUM(AG$5:AG101))</f>
        <v/>
      </c>
      <c r="AN101" s="37" t="str">
        <f>IF(A101="","",MAX(0,MAX(AM$5:AM101))-AM101)</f>
        <v/>
      </c>
    </row>
    <row r="102">
      <c r="A102" s="29" t="n"/>
      <c r="B102" s="30" t="n"/>
      <c r="C102" s="31" t="n"/>
      <c r="D102" s="32" t="n"/>
      <c r="E102" s="32" t="n"/>
      <c r="F102" s="33" t="n"/>
      <c r="G102" s="33" t="n"/>
      <c r="H102" s="33" t="n"/>
      <c r="I102" s="34" t="str">
        <f>IF(AND(ISNUMBER(F102),ISNUMBER(G102),ISNUMBER(H102)),IF(OR(AND(E102="多",F102&gt;G102),AND(E102="空",F102&lt;G102)),ABS(H102-F102)/ABS(F102-G102),"止损方向不对"),"")</f>
        <v/>
      </c>
      <c r="J102" s="35" t="str">
        <f>IF(AND(ISNUMBER(F102),ISNUMBER(G102)),IF(F102=G102,"",IF(INT(ROUND('参数'!$C$7/(ABS(F102-G102)*1+2*'参数'!$C$11+N('参数'!$C$14)*F102+N('参数'!$C$15))/1,6))*1&gt;0,INT(ROUND('参数'!$C$7/(ABS(F102-G102)*1+2*'参数'!$C$11+N('参数'!$C$14)*F102+N('参数'!$C$15))/1,6))*1,"预算不足，这笔不做")),"")</f>
        <v/>
      </c>
      <c r="K102" s="36" t="n"/>
      <c r="L102" s="20" t="str">
        <f>IF(AND(ISNUMBER(F102),ISNUMBER(G102),ISNUMBER(K102)),IF(AND(F102&lt;&gt;G102,K102&gt;0),ABS(F102-G102)*K102*1,""),"")</f>
        <v/>
      </c>
      <c r="M102" s="30" t="n"/>
      <c r="N102" s="37" t="str">
        <f>IF(AND(ISNUMBER(L102),ISNUMBER(M102)),IF(E102="空",(G102*(1+'参数'!$C$17)-F102),(F102-G102*(1-'参数'!$C$17)))*K102/L102,"")</f>
        <v/>
      </c>
      <c r="O102" s="38" t="n"/>
      <c r="P102" s="31" t="n"/>
      <c r="Q102" s="32" t="n"/>
      <c r="R102" s="39" t="str">
        <f>IF(N(U102)&gt;0,SUMPRODUCT(LARGE(('成交明细'!$A$5:$A$804=A102)*('成交明细'!$D$5:$D$804=IF(E102="空","卖","买"))*'成交明细'!$B$5:$B$804,COUNTIFS('成交明细'!$A$5:$A$804,A102,'成交明细'!$D$5:$D$804,IF(E102="空","卖","买")))),"")</f>
        <v/>
      </c>
      <c r="S102" s="39" t="str">
        <f>IF(AND(N(U102)&gt;0,N(W102)&gt;=N(U102)),SUMPRODUCT(MAX(('成交明细'!$A$5:$A$804=A102)*('成交明细'!$D$5:$D$804=IF(E102="空","买","卖"))*'成交明细'!$B$5:$B$804)),"")</f>
        <v/>
      </c>
      <c r="T102" s="32" t="n"/>
      <c r="U102" s="35" t="str">
        <f>IF(A102="","",SUMIFS('成交明细'!$F$5:$F$804,'成交明细'!$A$5:$A$804,A102,'成交明细'!$D$5:$D$804,IF(E102="空","卖","买")))</f>
        <v/>
      </c>
      <c r="V102" s="40" t="str">
        <f>IF(N(U102)&gt;0,SUMIFS('成交明细'!$H$5:$H$804,'成交明细'!$A$5:$A$804,A102,'成交明细'!$D$5:$D$804,IF(E102="空","卖","买"))/U102,"")</f>
        <v/>
      </c>
      <c r="W102" s="35" t="str">
        <f>IF(A102="","",SUMIFS('成交明细'!$F$5:$F$804,'成交明细'!$A$5:$A$804,A102,'成交明细'!$D$5:$D$804,IF(E102="空","买","卖")))</f>
        <v/>
      </c>
      <c r="X102" s="40" t="str">
        <f>IF(N(W102)&gt;0,SUMIFS('成交明细'!$H$5:$H$804,'成交明细'!$A$5:$A$804,A102,'成交明细'!$D$5:$D$804,IF(E102="空","买","卖"))/W102,"")</f>
        <v/>
      </c>
      <c r="Y102" s="41" t="str">
        <f>IF(A102="","",IF(Q102&lt;&gt;"已执行",IF(Q102="","未填执行情况",Q102),IF(N(U102)=0,"待录成交",IF(N(W102)&gt;N(U102),"平仓多于开仓",IF(N(W102)&lt;N(U102),"持仓中","已平仓")))))</f>
        <v/>
      </c>
      <c r="Z102" s="41" t="str">
        <f>IF(AND(ISNUMBER(R102),ISNUMBER(S102)),IF(R102=S102,"日内",""),"")</f>
        <v/>
      </c>
      <c r="AA102" s="42" t="str">
        <f>IF(Z102&lt;&gt;"日内","",COUNTIFS($Z$5:$Z$304,"日内",$S$5:$S$304,"&gt;"&amp;WORKDAY(S102,-5),$S$5:$S$304,"&lt;="&amp;S102))</f>
        <v/>
      </c>
      <c r="AB102" s="41" t="str">
        <f>IF(OR(NOT(ISNUMBER(M102)),NOT(ISNUMBER(R102))),"",IF(AND(M102&gt;=R102,OR(NOT(ISNUMBER(S102)),M102&lt;=S102)),"持仓跨财报",""))</f>
        <v/>
      </c>
      <c r="AC102" s="20">
        <f>IF(AND(E102="空",ISNUMBER(O102),ISNUMBER(S102)),ROUND(O102*(S102-R102)/360*V102*U102,2),0)</f>
        <v>0</v>
      </c>
      <c r="AD102" s="43" t="str">
        <f>IF(N(U102)=0,"",SUMIFS('成交明细'!$L$5:$L$804,'成交明细'!$A$5:$A$804,A102)+AC102)</f>
        <v/>
      </c>
      <c r="AE102" s="44" t="str">
        <f>IF(Y102&lt;&gt;"已平仓","",(SUMIFS('成交明细'!$H$5:$H$804,'成交明细'!$A$5:$A$804,A102,'成交明细'!$D$5:$D$804,"卖")-SUMIFS('成交明细'!$H$5:$H$804,'成交明细'!$A$5:$A$804,A102,'成交明细'!$D$5:$D$804,"买"))*1-AD102)</f>
        <v/>
      </c>
      <c r="AF102" s="45" t="str">
        <f>IF(AND(Y102="已平仓",ISNUMBER(L102)),(SUMIFS('成交明细'!$H$5:$H$804,'成交明细'!$A$5:$A$804,A102,'成交明细'!$D$5:$D$804,"卖")-SUMIFS('成交明细'!$H$5:$H$804,'成交明细'!$A$5:$A$804,A102,'成交明细'!$D$5:$D$804,"买"))*1/L102,"")</f>
        <v/>
      </c>
      <c r="AG102" s="45" t="str">
        <f>IF(AND(Y102="已平仓",ISNUMBER(L102)),AE102/L102,"")</f>
        <v/>
      </c>
      <c r="AH102" s="46" t="str">
        <f>IF(AND(ISNUMBER(V102),ISNUMBER(F102)),IF(E102="空",F102-V102,V102-F102),"")</f>
        <v/>
      </c>
      <c r="AI102" s="46" t="str">
        <f>IF(OR(NOT(ISNUMBER(AE102)),NOT(ISNUMBER(X102))),"",IF(AE102&lt;0,IF(E102="空",X102-G102,G102-X102),IF(NOT(ISNUMBER(H102)),"",IF(E102="空",X102-H102,H102-X102))))</f>
        <v/>
      </c>
      <c r="AJ102" s="32" t="n"/>
      <c r="AK102" s="32" t="n"/>
      <c r="AL102" s="31" t="n"/>
      <c r="AM102" s="45" t="str">
        <f>IF(A102="","",SUM(AG$5:AG102))</f>
        <v/>
      </c>
      <c r="AN102" s="37" t="str">
        <f>IF(A102="","",MAX(0,MAX(AM$5:AM102))-AM102)</f>
        <v/>
      </c>
    </row>
    <row r="103">
      <c r="A103" s="29" t="n"/>
      <c r="B103" s="30" t="n"/>
      <c r="C103" s="31" t="n"/>
      <c r="D103" s="32" t="n"/>
      <c r="E103" s="32" t="n"/>
      <c r="F103" s="33" t="n"/>
      <c r="G103" s="33" t="n"/>
      <c r="H103" s="33" t="n"/>
      <c r="I103" s="34" t="str">
        <f>IF(AND(ISNUMBER(F103),ISNUMBER(G103),ISNUMBER(H103)),IF(OR(AND(E103="多",F103&gt;G103),AND(E103="空",F103&lt;G103)),ABS(H103-F103)/ABS(F103-G103),"止损方向不对"),"")</f>
        <v/>
      </c>
      <c r="J103" s="35" t="str">
        <f>IF(AND(ISNUMBER(F103),ISNUMBER(G103)),IF(F103=G103,"",IF(INT(ROUND('参数'!$C$7/(ABS(F103-G103)*1+2*'参数'!$C$11+N('参数'!$C$14)*F103+N('参数'!$C$15))/1,6))*1&gt;0,INT(ROUND('参数'!$C$7/(ABS(F103-G103)*1+2*'参数'!$C$11+N('参数'!$C$14)*F103+N('参数'!$C$15))/1,6))*1,"预算不足，这笔不做")),"")</f>
        <v/>
      </c>
      <c r="K103" s="36" t="n"/>
      <c r="L103" s="20" t="str">
        <f>IF(AND(ISNUMBER(F103),ISNUMBER(G103),ISNUMBER(K103)),IF(AND(F103&lt;&gt;G103,K103&gt;0),ABS(F103-G103)*K103*1,""),"")</f>
        <v/>
      </c>
      <c r="M103" s="30" t="n"/>
      <c r="N103" s="37" t="str">
        <f>IF(AND(ISNUMBER(L103),ISNUMBER(M103)),IF(E103="空",(G103*(1+'参数'!$C$17)-F103),(F103-G103*(1-'参数'!$C$17)))*K103/L103,"")</f>
        <v/>
      </c>
      <c r="O103" s="38" t="n"/>
      <c r="P103" s="31" t="n"/>
      <c r="Q103" s="32" t="n"/>
      <c r="R103" s="39" t="str">
        <f>IF(N(U103)&gt;0,SUMPRODUCT(LARGE(('成交明细'!$A$5:$A$804=A103)*('成交明细'!$D$5:$D$804=IF(E103="空","卖","买"))*'成交明细'!$B$5:$B$804,COUNTIFS('成交明细'!$A$5:$A$804,A103,'成交明细'!$D$5:$D$804,IF(E103="空","卖","买")))),"")</f>
        <v/>
      </c>
      <c r="S103" s="39" t="str">
        <f>IF(AND(N(U103)&gt;0,N(W103)&gt;=N(U103)),SUMPRODUCT(MAX(('成交明细'!$A$5:$A$804=A103)*('成交明细'!$D$5:$D$804=IF(E103="空","买","卖"))*'成交明细'!$B$5:$B$804)),"")</f>
        <v/>
      </c>
      <c r="T103" s="32" t="n"/>
      <c r="U103" s="35" t="str">
        <f>IF(A103="","",SUMIFS('成交明细'!$F$5:$F$804,'成交明细'!$A$5:$A$804,A103,'成交明细'!$D$5:$D$804,IF(E103="空","卖","买")))</f>
        <v/>
      </c>
      <c r="V103" s="40" t="str">
        <f>IF(N(U103)&gt;0,SUMIFS('成交明细'!$H$5:$H$804,'成交明细'!$A$5:$A$804,A103,'成交明细'!$D$5:$D$804,IF(E103="空","卖","买"))/U103,"")</f>
        <v/>
      </c>
      <c r="W103" s="35" t="str">
        <f>IF(A103="","",SUMIFS('成交明细'!$F$5:$F$804,'成交明细'!$A$5:$A$804,A103,'成交明细'!$D$5:$D$804,IF(E103="空","买","卖")))</f>
        <v/>
      </c>
      <c r="X103" s="40" t="str">
        <f>IF(N(W103)&gt;0,SUMIFS('成交明细'!$H$5:$H$804,'成交明细'!$A$5:$A$804,A103,'成交明细'!$D$5:$D$804,IF(E103="空","买","卖"))/W103,"")</f>
        <v/>
      </c>
      <c r="Y103" s="41" t="str">
        <f>IF(A103="","",IF(Q103&lt;&gt;"已执行",IF(Q103="","未填执行情况",Q103),IF(N(U103)=0,"待录成交",IF(N(W103)&gt;N(U103),"平仓多于开仓",IF(N(W103)&lt;N(U103),"持仓中","已平仓")))))</f>
        <v/>
      </c>
      <c r="Z103" s="41" t="str">
        <f>IF(AND(ISNUMBER(R103),ISNUMBER(S103)),IF(R103=S103,"日内",""),"")</f>
        <v/>
      </c>
      <c r="AA103" s="42" t="str">
        <f>IF(Z103&lt;&gt;"日内","",COUNTIFS($Z$5:$Z$304,"日内",$S$5:$S$304,"&gt;"&amp;WORKDAY(S103,-5),$S$5:$S$304,"&lt;="&amp;S103))</f>
        <v/>
      </c>
      <c r="AB103" s="41" t="str">
        <f>IF(OR(NOT(ISNUMBER(M103)),NOT(ISNUMBER(R103))),"",IF(AND(M103&gt;=R103,OR(NOT(ISNUMBER(S103)),M103&lt;=S103)),"持仓跨财报",""))</f>
        <v/>
      </c>
      <c r="AC103" s="20">
        <f>IF(AND(E103="空",ISNUMBER(O103),ISNUMBER(S103)),ROUND(O103*(S103-R103)/360*V103*U103,2),0)</f>
        <v>0</v>
      </c>
      <c r="AD103" s="43" t="str">
        <f>IF(N(U103)=0,"",SUMIFS('成交明细'!$L$5:$L$804,'成交明细'!$A$5:$A$804,A103)+AC103)</f>
        <v/>
      </c>
      <c r="AE103" s="44" t="str">
        <f>IF(Y103&lt;&gt;"已平仓","",(SUMIFS('成交明细'!$H$5:$H$804,'成交明细'!$A$5:$A$804,A103,'成交明细'!$D$5:$D$804,"卖")-SUMIFS('成交明细'!$H$5:$H$804,'成交明细'!$A$5:$A$804,A103,'成交明细'!$D$5:$D$804,"买"))*1-AD103)</f>
        <v/>
      </c>
      <c r="AF103" s="45" t="str">
        <f>IF(AND(Y103="已平仓",ISNUMBER(L103)),(SUMIFS('成交明细'!$H$5:$H$804,'成交明细'!$A$5:$A$804,A103,'成交明细'!$D$5:$D$804,"卖")-SUMIFS('成交明细'!$H$5:$H$804,'成交明细'!$A$5:$A$804,A103,'成交明细'!$D$5:$D$804,"买"))*1/L103,"")</f>
        <v/>
      </c>
      <c r="AG103" s="45" t="str">
        <f>IF(AND(Y103="已平仓",ISNUMBER(L103)),AE103/L103,"")</f>
        <v/>
      </c>
      <c r="AH103" s="46" t="str">
        <f>IF(AND(ISNUMBER(V103),ISNUMBER(F103)),IF(E103="空",F103-V103,V103-F103),"")</f>
        <v/>
      </c>
      <c r="AI103" s="46" t="str">
        <f>IF(OR(NOT(ISNUMBER(AE103)),NOT(ISNUMBER(X103))),"",IF(AE103&lt;0,IF(E103="空",X103-G103,G103-X103),IF(NOT(ISNUMBER(H103)),"",IF(E103="空",X103-H103,H103-X103))))</f>
        <v/>
      </c>
      <c r="AJ103" s="32" t="n"/>
      <c r="AK103" s="32" t="n"/>
      <c r="AL103" s="31" t="n"/>
      <c r="AM103" s="45" t="str">
        <f>IF(A103="","",SUM(AG$5:AG103))</f>
        <v/>
      </c>
      <c r="AN103" s="37" t="str">
        <f>IF(A103="","",MAX(0,MAX(AM$5:AM103))-AM103)</f>
        <v/>
      </c>
    </row>
    <row r="104">
      <c r="A104" s="29" t="n"/>
      <c r="B104" s="30" t="n"/>
      <c r="C104" s="31" t="n"/>
      <c r="D104" s="32" t="n"/>
      <c r="E104" s="32" t="n"/>
      <c r="F104" s="33" t="n"/>
      <c r="G104" s="33" t="n"/>
      <c r="H104" s="33" t="n"/>
      <c r="I104" s="34" t="str">
        <f>IF(AND(ISNUMBER(F104),ISNUMBER(G104),ISNUMBER(H104)),IF(OR(AND(E104="多",F104&gt;G104),AND(E104="空",F104&lt;G104)),ABS(H104-F104)/ABS(F104-G104),"止损方向不对"),"")</f>
        <v/>
      </c>
      <c r="J104" s="35" t="str">
        <f>IF(AND(ISNUMBER(F104),ISNUMBER(G104)),IF(F104=G104,"",IF(INT(ROUND('参数'!$C$7/(ABS(F104-G104)*1+2*'参数'!$C$11+N('参数'!$C$14)*F104+N('参数'!$C$15))/1,6))*1&gt;0,INT(ROUND('参数'!$C$7/(ABS(F104-G104)*1+2*'参数'!$C$11+N('参数'!$C$14)*F104+N('参数'!$C$15))/1,6))*1,"预算不足，这笔不做")),"")</f>
        <v/>
      </c>
      <c r="K104" s="36" t="n"/>
      <c r="L104" s="20" t="str">
        <f>IF(AND(ISNUMBER(F104),ISNUMBER(G104),ISNUMBER(K104)),IF(AND(F104&lt;&gt;G104,K104&gt;0),ABS(F104-G104)*K104*1,""),"")</f>
        <v/>
      </c>
      <c r="M104" s="30" t="n"/>
      <c r="N104" s="37" t="str">
        <f>IF(AND(ISNUMBER(L104),ISNUMBER(M104)),IF(E104="空",(G104*(1+'参数'!$C$17)-F104),(F104-G104*(1-'参数'!$C$17)))*K104/L104,"")</f>
        <v/>
      </c>
      <c r="O104" s="38" t="n"/>
      <c r="P104" s="31" t="n"/>
      <c r="Q104" s="32" t="n"/>
      <c r="R104" s="39" t="str">
        <f>IF(N(U104)&gt;0,SUMPRODUCT(LARGE(('成交明细'!$A$5:$A$804=A104)*('成交明细'!$D$5:$D$804=IF(E104="空","卖","买"))*'成交明细'!$B$5:$B$804,COUNTIFS('成交明细'!$A$5:$A$804,A104,'成交明细'!$D$5:$D$804,IF(E104="空","卖","买")))),"")</f>
        <v/>
      </c>
      <c r="S104" s="39" t="str">
        <f>IF(AND(N(U104)&gt;0,N(W104)&gt;=N(U104)),SUMPRODUCT(MAX(('成交明细'!$A$5:$A$804=A104)*('成交明细'!$D$5:$D$804=IF(E104="空","买","卖"))*'成交明细'!$B$5:$B$804)),"")</f>
        <v/>
      </c>
      <c r="T104" s="32" t="n"/>
      <c r="U104" s="35" t="str">
        <f>IF(A104="","",SUMIFS('成交明细'!$F$5:$F$804,'成交明细'!$A$5:$A$804,A104,'成交明细'!$D$5:$D$804,IF(E104="空","卖","买")))</f>
        <v/>
      </c>
      <c r="V104" s="40" t="str">
        <f>IF(N(U104)&gt;0,SUMIFS('成交明细'!$H$5:$H$804,'成交明细'!$A$5:$A$804,A104,'成交明细'!$D$5:$D$804,IF(E104="空","卖","买"))/U104,"")</f>
        <v/>
      </c>
      <c r="W104" s="35" t="str">
        <f>IF(A104="","",SUMIFS('成交明细'!$F$5:$F$804,'成交明细'!$A$5:$A$804,A104,'成交明细'!$D$5:$D$804,IF(E104="空","买","卖")))</f>
        <v/>
      </c>
      <c r="X104" s="40" t="str">
        <f>IF(N(W104)&gt;0,SUMIFS('成交明细'!$H$5:$H$804,'成交明细'!$A$5:$A$804,A104,'成交明细'!$D$5:$D$804,IF(E104="空","买","卖"))/W104,"")</f>
        <v/>
      </c>
      <c r="Y104" s="41" t="str">
        <f>IF(A104="","",IF(Q104&lt;&gt;"已执行",IF(Q104="","未填执行情况",Q104),IF(N(U104)=0,"待录成交",IF(N(W104)&gt;N(U104),"平仓多于开仓",IF(N(W104)&lt;N(U104),"持仓中","已平仓")))))</f>
        <v/>
      </c>
      <c r="Z104" s="41" t="str">
        <f>IF(AND(ISNUMBER(R104),ISNUMBER(S104)),IF(R104=S104,"日内",""),"")</f>
        <v/>
      </c>
      <c r="AA104" s="42" t="str">
        <f>IF(Z104&lt;&gt;"日内","",COUNTIFS($Z$5:$Z$304,"日内",$S$5:$S$304,"&gt;"&amp;WORKDAY(S104,-5),$S$5:$S$304,"&lt;="&amp;S104))</f>
        <v/>
      </c>
      <c r="AB104" s="41" t="str">
        <f>IF(OR(NOT(ISNUMBER(M104)),NOT(ISNUMBER(R104))),"",IF(AND(M104&gt;=R104,OR(NOT(ISNUMBER(S104)),M104&lt;=S104)),"持仓跨财报",""))</f>
        <v/>
      </c>
      <c r="AC104" s="20">
        <f>IF(AND(E104="空",ISNUMBER(O104),ISNUMBER(S104)),ROUND(O104*(S104-R104)/360*V104*U104,2),0)</f>
        <v>0</v>
      </c>
      <c r="AD104" s="43" t="str">
        <f>IF(N(U104)=0,"",SUMIFS('成交明细'!$L$5:$L$804,'成交明细'!$A$5:$A$804,A104)+AC104)</f>
        <v/>
      </c>
      <c r="AE104" s="44" t="str">
        <f>IF(Y104&lt;&gt;"已平仓","",(SUMIFS('成交明细'!$H$5:$H$804,'成交明细'!$A$5:$A$804,A104,'成交明细'!$D$5:$D$804,"卖")-SUMIFS('成交明细'!$H$5:$H$804,'成交明细'!$A$5:$A$804,A104,'成交明细'!$D$5:$D$804,"买"))*1-AD104)</f>
        <v/>
      </c>
      <c r="AF104" s="45" t="str">
        <f>IF(AND(Y104="已平仓",ISNUMBER(L104)),(SUMIFS('成交明细'!$H$5:$H$804,'成交明细'!$A$5:$A$804,A104,'成交明细'!$D$5:$D$804,"卖")-SUMIFS('成交明细'!$H$5:$H$804,'成交明细'!$A$5:$A$804,A104,'成交明细'!$D$5:$D$804,"买"))*1/L104,"")</f>
        <v/>
      </c>
      <c r="AG104" s="45" t="str">
        <f>IF(AND(Y104="已平仓",ISNUMBER(L104)),AE104/L104,"")</f>
        <v/>
      </c>
      <c r="AH104" s="46" t="str">
        <f>IF(AND(ISNUMBER(V104),ISNUMBER(F104)),IF(E104="空",F104-V104,V104-F104),"")</f>
        <v/>
      </c>
      <c r="AI104" s="46" t="str">
        <f>IF(OR(NOT(ISNUMBER(AE104)),NOT(ISNUMBER(X104))),"",IF(AE104&lt;0,IF(E104="空",X104-G104,G104-X104),IF(NOT(ISNUMBER(H104)),"",IF(E104="空",X104-H104,H104-X104))))</f>
        <v/>
      </c>
      <c r="AJ104" s="32" t="n"/>
      <c r="AK104" s="32" t="n"/>
      <c r="AL104" s="31" t="n"/>
      <c r="AM104" s="45" t="str">
        <f>IF(A104="","",SUM(AG$5:AG104))</f>
        <v/>
      </c>
      <c r="AN104" s="37" t="str">
        <f>IF(A104="","",MAX(0,MAX(AM$5:AM104))-AM104)</f>
        <v/>
      </c>
    </row>
    <row r="105">
      <c r="A105" s="29" t="n"/>
      <c r="B105" s="30" t="n"/>
      <c r="C105" s="31" t="n"/>
      <c r="D105" s="32" t="n"/>
      <c r="E105" s="32" t="n"/>
      <c r="F105" s="33" t="n"/>
      <c r="G105" s="33" t="n"/>
      <c r="H105" s="33" t="n"/>
      <c r="I105" s="34" t="str">
        <f>IF(AND(ISNUMBER(F105),ISNUMBER(G105),ISNUMBER(H105)),IF(OR(AND(E105="多",F105&gt;G105),AND(E105="空",F105&lt;G105)),ABS(H105-F105)/ABS(F105-G105),"止损方向不对"),"")</f>
        <v/>
      </c>
      <c r="J105" s="35" t="str">
        <f>IF(AND(ISNUMBER(F105),ISNUMBER(G105)),IF(F105=G105,"",IF(INT(ROUND('参数'!$C$7/(ABS(F105-G105)*1+2*'参数'!$C$11+N('参数'!$C$14)*F105+N('参数'!$C$15))/1,6))*1&gt;0,INT(ROUND('参数'!$C$7/(ABS(F105-G105)*1+2*'参数'!$C$11+N('参数'!$C$14)*F105+N('参数'!$C$15))/1,6))*1,"预算不足，这笔不做")),"")</f>
        <v/>
      </c>
      <c r="K105" s="36" t="n"/>
      <c r="L105" s="20" t="str">
        <f>IF(AND(ISNUMBER(F105),ISNUMBER(G105),ISNUMBER(K105)),IF(AND(F105&lt;&gt;G105,K105&gt;0),ABS(F105-G105)*K105*1,""),"")</f>
        <v/>
      </c>
      <c r="M105" s="30" t="n"/>
      <c r="N105" s="37" t="str">
        <f>IF(AND(ISNUMBER(L105),ISNUMBER(M105)),IF(E105="空",(G105*(1+'参数'!$C$17)-F105),(F105-G105*(1-'参数'!$C$17)))*K105/L105,"")</f>
        <v/>
      </c>
      <c r="O105" s="38" t="n"/>
      <c r="P105" s="31" t="n"/>
      <c r="Q105" s="32" t="n"/>
      <c r="R105" s="39" t="str">
        <f>IF(N(U105)&gt;0,SUMPRODUCT(LARGE(('成交明细'!$A$5:$A$804=A105)*('成交明细'!$D$5:$D$804=IF(E105="空","卖","买"))*'成交明细'!$B$5:$B$804,COUNTIFS('成交明细'!$A$5:$A$804,A105,'成交明细'!$D$5:$D$804,IF(E105="空","卖","买")))),"")</f>
        <v/>
      </c>
      <c r="S105" s="39" t="str">
        <f>IF(AND(N(U105)&gt;0,N(W105)&gt;=N(U105)),SUMPRODUCT(MAX(('成交明细'!$A$5:$A$804=A105)*('成交明细'!$D$5:$D$804=IF(E105="空","买","卖"))*'成交明细'!$B$5:$B$804)),"")</f>
        <v/>
      </c>
      <c r="T105" s="32" t="n"/>
      <c r="U105" s="35" t="str">
        <f>IF(A105="","",SUMIFS('成交明细'!$F$5:$F$804,'成交明细'!$A$5:$A$804,A105,'成交明细'!$D$5:$D$804,IF(E105="空","卖","买")))</f>
        <v/>
      </c>
      <c r="V105" s="40" t="str">
        <f>IF(N(U105)&gt;0,SUMIFS('成交明细'!$H$5:$H$804,'成交明细'!$A$5:$A$804,A105,'成交明细'!$D$5:$D$804,IF(E105="空","卖","买"))/U105,"")</f>
        <v/>
      </c>
      <c r="W105" s="35" t="str">
        <f>IF(A105="","",SUMIFS('成交明细'!$F$5:$F$804,'成交明细'!$A$5:$A$804,A105,'成交明细'!$D$5:$D$804,IF(E105="空","买","卖")))</f>
        <v/>
      </c>
      <c r="X105" s="40" t="str">
        <f>IF(N(W105)&gt;0,SUMIFS('成交明细'!$H$5:$H$804,'成交明细'!$A$5:$A$804,A105,'成交明细'!$D$5:$D$804,IF(E105="空","买","卖"))/W105,"")</f>
        <v/>
      </c>
      <c r="Y105" s="41" t="str">
        <f>IF(A105="","",IF(Q105&lt;&gt;"已执行",IF(Q105="","未填执行情况",Q105),IF(N(U105)=0,"待录成交",IF(N(W105)&gt;N(U105),"平仓多于开仓",IF(N(W105)&lt;N(U105),"持仓中","已平仓")))))</f>
        <v/>
      </c>
      <c r="Z105" s="41" t="str">
        <f>IF(AND(ISNUMBER(R105),ISNUMBER(S105)),IF(R105=S105,"日内",""),"")</f>
        <v/>
      </c>
      <c r="AA105" s="42" t="str">
        <f>IF(Z105&lt;&gt;"日内","",COUNTIFS($Z$5:$Z$304,"日内",$S$5:$S$304,"&gt;"&amp;WORKDAY(S105,-5),$S$5:$S$304,"&lt;="&amp;S105))</f>
        <v/>
      </c>
      <c r="AB105" s="41" t="str">
        <f>IF(OR(NOT(ISNUMBER(M105)),NOT(ISNUMBER(R105))),"",IF(AND(M105&gt;=R105,OR(NOT(ISNUMBER(S105)),M105&lt;=S105)),"持仓跨财报",""))</f>
        <v/>
      </c>
      <c r="AC105" s="20">
        <f>IF(AND(E105="空",ISNUMBER(O105),ISNUMBER(S105)),ROUND(O105*(S105-R105)/360*V105*U105,2),0)</f>
        <v>0</v>
      </c>
      <c r="AD105" s="43" t="str">
        <f>IF(N(U105)=0,"",SUMIFS('成交明细'!$L$5:$L$804,'成交明细'!$A$5:$A$804,A105)+AC105)</f>
        <v/>
      </c>
      <c r="AE105" s="44" t="str">
        <f>IF(Y105&lt;&gt;"已平仓","",(SUMIFS('成交明细'!$H$5:$H$804,'成交明细'!$A$5:$A$804,A105,'成交明细'!$D$5:$D$804,"卖")-SUMIFS('成交明细'!$H$5:$H$804,'成交明细'!$A$5:$A$804,A105,'成交明细'!$D$5:$D$804,"买"))*1-AD105)</f>
        <v/>
      </c>
      <c r="AF105" s="45" t="str">
        <f>IF(AND(Y105="已平仓",ISNUMBER(L105)),(SUMIFS('成交明细'!$H$5:$H$804,'成交明细'!$A$5:$A$804,A105,'成交明细'!$D$5:$D$804,"卖")-SUMIFS('成交明细'!$H$5:$H$804,'成交明细'!$A$5:$A$804,A105,'成交明细'!$D$5:$D$804,"买"))*1/L105,"")</f>
        <v/>
      </c>
      <c r="AG105" s="45" t="str">
        <f>IF(AND(Y105="已平仓",ISNUMBER(L105)),AE105/L105,"")</f>
        <v/>
      </c>
      <c r="AH105" s="46" t="str">
        <f>IF(AND(ISNUMBER(V105),ISNUMBER(F105)),IF(E105="空",F105-V105,V105-F105),"")</f>
        <v/>
      </c>
      <c r="AI105" s="46" t="str">
        <f>IF(OR(NOT(ISNUMBER(AE105)),NOT(ISNUMBER(X105))),"",IF(AE105&lt;0,IF(E105="空",X105-G105,G105-X105),IF(NOT(ISNUMBER(H105)),"",IF(E105="空",X105-H105,H105-X105))))</f>
        <v/>
      </c>
      <c r="AJ105" s="32" t="n"/>
      <c r="AK105" s="32" t="n"/>
      <c r="AL105" s="31" t="n"/>
      <c r="AM105" s="45" t="str">
        <f>IF(A105="","",SUM(AG$5:AG105))</f>
        <v/>
      </c>
      <c r="AN105" s="37" t="str">
        <f>IF(A105="","",MAX(0,MAX(AM$5:AM105))-AM105)</f>
        <v/>
      </c>
    </row>
    <row r="106">
      <c r="A106" s="29" t="n"/>
      <c r="B106" s="30" t="n"/>
      <c r="C106" s="31" t="n"/>
      <c r="D106" s="32" t="n"/>
      <c r="E106" s="32" t="n"/>
      <c r="F106" s="33" t="n"/>
      <c r="G106" s="33" t="n"/>
      <c r="H106" s="33" t="n"/>
      <c r="I106" s="34" t="str">
        <f>IF(AND(ISNUMBER(F106),ISNUMBER(G106),ISNUMBER(H106)),IF(OR(AND(E106="多",F106&gt;G106),AND(E106="空",F106&lt;G106)),ABS(H106-F106)/ABS(F106-G106),"止损方向不对"),"")</f>
        <v/>
      </c>
      <c r="J106" s="35" t="str">
        <f>IF(AND(ISNUMBER(F106),ISNUMBER(G106)),IF(F106=G106,"",IF(INT(ROUND('参数'!$C$7/(ABS(F106-G106)*1+2*'参数'!$C$11+N('参数'!$C$14)*F106+N('参数'!$C$15))/1,6))*1&gt;0,INT(ROUND('参数'!$C$7/(ABS(F106-G106)*1+2*'参数'!$C$11+N('参数'!$C$14)*F106+N('参数'!$C$15))/1,6))*1,"预算不足，这笔不做")),"")</f>
        <v/>
      </c>
      <c r="K106" s="36" t="n"/>
      <c r="L106" s="20" t="str">
        <f>IF(AND(ISNUMBER(F106),ISNUMBER(G106),ISNUMBER(K106)),IF(AND(F106&lt;&gt;G106,K106&gt;0),ABS(F106-G106)*K106*1,""),"")</f>
        <v/>
      </c>
      <c r="M106" s="30" t="n"/>
      <c r="N106" s="37" t="str">
        <f>IF(AND(ISNUMBER(L106),ISNUMBER(M106)),IF(E106="空",(G106*(1+'参数'!$C$17)-F106),(F106-G106*(1-'参数'!$C$17)))*K106/L106,"")</f>
        <v/>
      </c>
      <c r="O106" s="38" t="n"/>
      <c r="P106" s="31" t="n"/>
      <c r="Q106" s="32" t="n"/>
      <c r="R106" s="39" t="str">
        <f>IF(N(U106)&gt;0,SUMPRODUCT(LARGE(('成交明细'!$A$5:$A$804=A106)*('成交明细'!$D$5:$D$804=IF(E106="空","卖","买"))*'成交明细'!$B$5:$B$804,COUNTIFS('成交明细'!$A$5:$A$804,A106,'成交明细'!$D$5:$D$804,IF(E106="空","卖","买")))),"")</f>
        <v/>
      </c>
      <c r="S106" s="39" t="str">
        <f>IF(AND(N(U106)&gt;0,N(W106)&gt;=N(U106)),SUMPRODUCT(MAX(('成交明细'!$A$5:$A$804=A106)*('成交明细'!$D$5:$D$804=IF(E106="空","买","卖"))*'成交明细'!$B$5:$B$804)),"")</f>
        <v/>
      </c>
      <c r="T106" s="32" t="n"/>
      <c r="U106" s="35" t="str">
        <f>IF(A106="","",SUMIFS('成交明细'!$F$5:$F$804,'成交明细'!$A$5:$A$804,A106,'成交明细'!$D$5:$D$804,IF(E106="空","卖","买")))</f>
        <v/>
      </c>
      <c r="V106" s="40" t="str">
        <f>IF(N(U106)&gt;0,SUMIFS('成交明细'!$H$5:$H$804,'成交明细'!$A$5:$A$804,A106,'成交明细'!$D$5:$D$804,IF(E106="空","卖","买"))/U106,"")</f>
        <v/>
      </c>
      <c r="W106" s="35" t="str">
        <f>IF(A106="","",SUMIFS('成交明细'!$F$5:$F$804,'成交明细'!$A$5:$A$804,A106,'成交明细'!$D$5:$D$804,IF(E106="空","买","卖")))</f>
        <v/>
      </c>
      <c r="X106" s="40" t="str">
        <f>IF(N(W106)&gt;0,SUMIFS('成交明细'!$H$5:$H$804,'成交明细'!$A$5:$A$804,A106,'成交明细'!$D$5:$D$804,IF(E106="空","买","卖"))/W106,"")</f>
        <v/>
      </c>
      <c r="Y106" s="41" t="str">
        <f>IF(A106="","",IF(Q106&lt;&gt;"已执行",IF(Q106="","未填执行情况",Q106),IF(N(U106)=0,"待录成交",IF(N(W106)&gt;N(U106),"平仓多于开仓",IF(N(W106)&lt;N(U106),"持仓中","已平仓")))))</f>
        <v/>
      </c>
      <c r="Z106" s="41" t="str">
        <f>IF(AND(ISNUMBER(R106),ISNUMBER(S106)),IF(R106=S106,"日内",""),"")</f>
        <v/>
      </c>
      <c r="AA106" s="42" t="str">
        <f>IF(Z106&lt;&gt;"日内","",COUNTIFS($Z$5:$Z$304,"日内",$S$5:$S$304,"&gt;"&amp;WORKDAY(S106,-5),$S$5:$S$304,"&lt;="&amp;S106))</f>
        <v/>
      </c>
      <c r="AB106" s="41" t="str">
        <f>IF(OR(NOT(ISNUMBER(M106)),NOT(ISNUMBER(R106))),"",IF(AND(M106&gt;=R106,OR(NOT(ISNUMBER(S106)),M106&lt;=S106)),"持仓跨财报",""))</f>
        <v/>
      </c>
      <c r="AC106" s="20">
        <f>IF(AND(E106="空",ISNUMBER(O106),ISNUMBER(S106)),ROUND(O106*(S106-R106)/360*V106*U106,2),0)</f>
        <v>0</v>
      </c>
      <c r="AD106" s="43" t="str">
        <f>IF(N(U106)=0,"",SUMIFS('成交明细'!$L$5:$L$804,'成交明细'!$A$5:$A$804,A106)+AC106)</f>
        <v/>
      </c>
      <c r="AE106" s="44" t="str">
        <f>IF(Y106&lt;&gt;"已平仓","",(SUMIFS('成交明细'!$H$5:$H$804,'成交明细'!$A$5:$A$804,A106,'成交明细'!$D$5:$D$804,"卖")-SUMIFS('成交明细'!$H$5:$H$804,'成交明细'!$A$5:$A$804,A106,'成交明细'!$D$5:$D$804,"买"))*1-AD106)</f>
        <v/>
      </c>
      <c r="AF106" s="45" t="str">
        <f>IF(AND(Y106="已平仓",ISNUMBER(L106)),(SUMIFS('成交明细'!$H$5:$H$804,'成交明细'!$A$5:$A$804,A106,'成交明细'!$D$5:$D$804,"卖")-SUMIFS('成交明细'!$H$5:$H$804,'成交明细'!$A$5:$A$804,A106,'成交明细'!$D$5:$D$804,"买"))*1/L106,"")</f>
        <v/>
      </c>
      <c r="AG106" s="45" t="str">
        <f>IF(AND(Y106="已平仓",ISNUMBER(L106)),AE106/L106,"")</f>
        <v/>
      </c>
      <c r="AH106" s="46" t="str">
        <f>IF(AND(ISNUMBER(V106),ISNUMBER(F106)),IF(E106="空",F106-V106,V106-F106),"")</f>
        <v/>
      </c>
      <c r="AI106" s="46" t="str">
        <f>IF(OR(NOT(ISNUMBER(AE106)),NOT(ISNUMBER(X106))),"",IF(AE106&lt;0,IF(E106="空",X106-G106,G106-X106),IF(NOT(ISNUMBER(H106)),"",IF(E106="空",X106-H106,H106-X106))))</f>
        <v/>
      </c>
      <c r="AJ106" s="32" t="n"/>
      <c r="AK106" s="32" t="n"/>
      <c r="AL106" s="31" t="n"/>
      <c r="AM106" s="45" t="str">
        <f>IF(A106="","",SUM(AG$5:AG106))</f>
        <v/>
      </c>
      <c r="AN106" s="37" t="str">
        <f>IF(A106="","",MAX(0,MAX(AM$5:AM106))-AM106)</f>
        <v/>
      </c>
    </row>
    <row r="107">
      <c r="A107" s="29" t="n"/>
      <c r="B107" s="30" t="n"/>
      <c r="C107" s="31" t="n"/>
      <c r="D107" s="32" t="n"/>
      <c r="E107" s="32" t="n"/>
      <c r="F107" s="33" t="n"/>
      <c r="G107" s="33" t="n"/>
      <c r="H107" s="33" t="n"/>
      <c r="I107" s="34" t="str">
        <f>IF(AND(ISNUMBER(F107),ISNUMBER(G107),ISNUMBER(H107)),IF(OR(AND(E107="多",F107&gt;G107),AND(E107="空",F107&lt;G107)),ABS(H107-F107)/ABS(F107-G107),"止损方向不对"),"")</f>
        <v/>
      </c>
      <c r="J107" s="35" t="str">
        <f>IF(AND(ISNUMBER(F107),ISNUMBER(G107)),IF(F107=G107,"",IF(INT(ROUND('参数'!$C$7/(ABS(F107-G107)*1+2*'参数'!$C$11+N('参数'!$C$14)*F107+N('参数'!$C$15))/1,6))*1&gt;0,INT(ROUND('参数'!$C$7/(ABS(F107-G107)*1+2*'参数'!$C$11+N('参数'!$C$14)*F107+N('参数'!$C$15))/1,6))*1,"预算不足，这笔不做")),"")</f>
        <v/>
      </c>
      <c r="K107" s="36" t="n"/>
      <c r="L107" s="20" t="str">
        <f>IF(AND(ISNUMBER(F107),ISNUMBER(G107),ISNUMBER(K107)),IF(AND(F107&lt;&gt;G107,K107&gt;0),ABS(F107-G107)*K107*1,""),"")</f>
        <v/>
      </c>
      <c r="M107" s="30" t="n"/>
      <c r="N107" s="37" t="str">
        <f>IF(AND(ISNUMBER(L107),ISNUMBER(M107)),IF(E107="空",(G107*(1+'参数'!$C$17)-F107),(F107-G107*(1-'参数'!$C$17)))*K107/L107,"")</f>
        <v/>
      </c>
      <c r="O107" s="38" t="n"/>
      <c r="P107" s="31" t="n"/>
      <c r="Q107" s="32" t="n"/>
      <c r="R107" s="39" t="str">
        <f>IF(N(U107)&gt;0,SUMPRODUCT(LARGE(('成交明细'!$A$5:$A$804=A107)*('成交明细'!$D$5:$D$804=IF(E107="空","卖","买"))*'成交明细'!$B$5:$B$804,COUNTIFS('成交明细'!$A$5:$A$804,A107,'成交明细'!$D$5:$D$804,IF(E107="空","卖","买")))),"")</f>
        <v/>
      </c>
      <c r="S107" s="39" t="str">
        <f>IF(AND(N(U107)&gt;0,N(W107)&gt;=N(U107)),SUMPRODUCT(MAX(('成交明细'!$A$5:$A$804=A107)*('成交明细'!$D$5:$D$804=IF(E107="空","买","卖"))*'成交明细'!$B$5:$B$804)),"")</f>
        <v/>
      </c>
      <c r="T107" s="32" t="n"/>
      <c r="U107" s="35" t="str">
        <f>IF(A107="","",SUMIFS('成交明细'!$F$5:$F$804,'成交明细'!$A$5:$A$804,A107,'成交明细'!$D$5:$D$804,IF(E107="空","卖","买")))</f>
        <v/>
      </c>
      <c r="V107" s="40" t="str">
        <f>IF(N(U107)&gt;0,SUMIFS('成交明细'!$H$5:$H$804,'成交明细'!$A$5:$A$804,A107,'成交明细'!$D$5:$D$804,IF(E107="空","卖","买"))/U107,"")</f>
        <v/>
      </c>
      <c r="W107" s="35" t="str">
        <f>IF(A107="","",SUMIFS('成交明细'!$F$5:$F$804,'成交明细'!$A$5:$A$804,A107,'成交明细'!$D$5:$D$804,IF(E107="空","买","卖")))</f>
        <v/>
      </c>
      <c r="X107" s="40" t="str">
        <f>IF(N(W107)&gt;0,SUMIFS('成交明细'!$H$5:$H$804,'成交明细'!$A$5:$A$804,A107,'成交明细'!$D$5:$D$804,IF(E107="空","买","卖"))/W107,"")</f>
        <v/>
      </c>
      <c r="Y107" s="41" t="str">
        <f>IF(A107="","",IF(Q107&lt;&gt;"已执行",IF(Q107="","未填执行情况",Q107),IF(N(U107)=0,"待录成交",IF(N(W107)&gt;N(U107),"平仓多于开仓",IF(N(W107)&lt;N(U107),"持仓中","已平仓")))))</f>
        <v/>
      </c>
      <c r="Z107" s="41" t="str">
        <f>IF(AND(ISNUMBER(R107),ISNUMBER(S107)),IF(R107=S107,"日内",""),"")</f>
        <v/>
      </c>
      <c r="AA107" s="42" t="str">
        <f>IF(Z107&lt;&gt;"日内","",COUNTIFS($Z$5:$Z$304,"日内",$S$5:$S$304,"&gt;"&amp;WORKDAY(S107,-5),$S$5:$S$304,"&lt;="&amp;S107))</f>
        <v/>
      </c>
      <c r="AB107" s="41" t="str">
        <f>IF(OR(NOT(ISNUMBER(M107)),NOT(ISNUMBER(R107))),"",IF(AND(M107&gt;=R107,OR(NOT(ISNUMBER(S107)),M107&lt;=S107)),"持仓跨财报",""))</f>
        <v/>
      </c>
      <c r="AC107" s="20">
        <f>IF(AND(E107="空",ISNUMBER(O107),ISNUMBER(S107)),ROUND(O107*(S107-R107)/360*V107*U107,2),0)</f>
        <v>0</v>
      </c>
      <c r="AD107" s="43" t="str">
        <f>IF(N(U107)=0,"",SUMIFS('成交明细'!$L$5:$L$804,'成交明细'!$A$5:$A$804,A107)+AC107)</f>
        <v/>
      </c>
      <c r="AE107" s="44" t="str">
        <f>IF(Y107&lt;&gt;"已平仓","",(SUMIFS('成交明细'!$H$5:$H$804,'成交明细'!$A$5:$A$804,A107,'成交明细'!$D$5:$D$804,"卖")-SUMIFS('成交明细'!$H$5:$H$804,'成交明细'!$A$5:$A$804,A107,'成交明细'!$D$5:$D$804,"买"))*1-AD107)</f>
        <v/>
      </c>
      <c r="AF107" s="45" t="str">
        <f>IF(AND(Y107="已平仓",ISNUMBER(L107)),(SUMIFS('成交明细'!$H$5:$H$804,'成交明细'!$A$5:$A$804,A107,'成交明细'!$D$5:$D$804,"卖")-SUMIFS('成交明细'!$H$5:$H$804,'成交明细'!$A$5:$A$804,A107,'成交明细'!$D$5:$D$804,"买"))*1/L107,"")</f>
        <v/>
      </c>
      <c r="AG107" s="45" t="str">
        <f>IF(AND(Y107="已平仓",ISNUMBER(L107)),AE107/L107,"")</f>
        <v/>
      </c>
      <c r="AH107" s="46" t="str">
        <f>IF(AND(ISNUMBER(V107),ISNUMBER(F107)),IF(E107="空",F107-V107,V107-F107),"")</f>
        <v/>
      </c>
      <c r="AI107" s="46" t="str">
        <f>IF(OR(NOT(ISNUMBER(AE107)),NOT(ISNUMBER(X107))),"",IF(AE107&lt;0,IF(E107="空",X107-G107,G107-X107),IF(NOT(ISNUMBER(H107)),"",IF(E107="空",X107-H107,H107-X107))))</f>
        <v/>
      </c>
      <c r="AJ107" s="32" t="n"/>
      <c r="AK107" s="32" t="n"/>
      <c r="AL107" s="31" t="n"/>
      <c r="AM107" s="45" t="str">
        <f>IF(A107="","",SUM(AG$5:AG107))</f>
        <v/>
      </c>
      <c r="AN107" s="37" t="str">
        <f>IF(A107="","",MAX(0,MAX(AM$5:AM107))-AM107)</f>
        <v/>
      </c>
    </row>
    <row r="108">
      <c r="A108" s="29" t="n"/>
      <c r="B108" s="30" t="n"/>
      <c r="C108" s="31" t="n"/>
      <c r="D108" s="32" t="n"/>
      <c r="E108" s="32" t="n"/>
      <c r="F108" s="33" t="n"/>
      <c r="G108" s="33" t="n"/>
      <c r="H108" s="33" t="n"/>
      <c r="I108" s="34" t="str">
        <f>IF(AND(ISNUMBER(F108),ISNUMBER(G108),ISNUMBER(H108)),IF(OR(AND(E108="多",F108&gt;G108),AND(E108="空",F108&lt;G108)),ABS(H108-F108)/ABS(F108-G108),"止损方向不对"),"")</f>
        <v/>
      </c>
      <c r="J108" s="35" t="str">
        <f>IF(AND(ISNUMBER(F108),ISNUMBER(G108)),IF(F108=G108,"",IF(INT(ROUND('参数'!$C$7/(ABS(F108-G108)*1+2*'参数'!$C$11+N('参数'!$C$14)*F108+N('参数'!$C$15))/1,6))*1&gt;0,INT(ROUND('参数'!$C$7/(ABS(F108-G108)*1+2*'参数'!$C$11+N('参数'!$C$14)*F108+N('参数'!$C$15))/1,6))*1,"预算不足，这笔不做")),"")</f>
        <v/>
      </c>
      <c r="K108" s="36" t="n"/>
      <c r="L108" s="20" t="str">
        <f>IF(AND(ISNUMBER(F108),ISNUMBER(G108),ISNUMBER(K108)),IF(AND(F108&lt;&gt;G108,K108&gt;0),ABS(F108-G108)*K108*1,""),"")</f>
        <v/>
      </c>
      <c r="M108" s="30" t="n"/>
      <c r="N108" s="37" t="str">
        <f>IF(AND(ISNUMBER(L108),ISNUMBER(M108)),IF(E108="空",(G108*(1+'参数'!$C$17)-F108),(F108-G108*(1-'参数'!$C$17)))*K108/L108,"")</f>
        <v/>
      </c>
      <c r="O108" s="38" t="n"/>
      <c r="P108" s="31" t="n"/>
      <c r="Q108" s="32" t="n"/>
      <c r="R108" s="39" t="str">
        <f>IF(N(U108)&gt;0,SUMPRODUCT(LARGE(('成交明细'!$A$5:$A$804=A108)*('成交明细'!$D$5:$D$804=IF(E108="空","卖","买"))*'成交明细'!$B$5:$B$804,COUNTIFS('成交明细'!$A$5:$A$804,A108,'成交明细'!$D$5:$D$804,IF(E108="空","卖","买")))),"")</f>
        <v/>
      </c>
      <c r="S108" s="39" t="str">
        <f>IF(AND(N(U108)&gt;0,N(W108)&gt;=N(U108)),SUMPRODUCT(MAX(('成交明细'!$A$5:$A$804=A108)*('成交明细'!$D$5:$D$804=IF(E108="空","买","卖"))*'成交明细'!$B$5:$B$804)),"")</f>
        <v/>
      </c>
      <c r="T108" s="32" t="n"/>
      <c r="U108" s="35" t="str">
        <f>IF(A108="","",SUMIFS('成交明细'!$F$5:$F$804,'成交明细'!$A$5:$A$804,A108,'成交明细'!$D$5:$D$804,IF(E108="空","卖","买")))</f>
        <v/>
      </c>
      <c r="V108" s="40" t="str">
        <f>IF(N(U108)&gt;0,SUMIFS('成交明细'!$H$5:$H$804,'成交明细'!$A$5:$A$804,A108,'成交明细'!$D$5:$D$804,IF(E108="空","卖","买"))/U108,"")</f>
        <v/>
      </c>
      <c r="W108" s="35" t="str">
        <f>IF(A108="","",SUMIFS('成交明细'!$F$5:$F$804,'成交明细'!$A$5:$A$804,A108,'成交明细'!$D$5:$D$804,IF(E108="空","买","卖")))</f>
        <v/>
      </c>
      <c r="X108" s="40" t="str">
        <f>IF(N(W108)&gt;0,SUMIFS('成交明细'!$H$5:$H$804,'成交明细'!$A$5:$A$804,A108,'成交明细'!$D$5:$D$804,IF(E108="空","买","卖"))/W108,"")</f>
        <v/>
      </c>
      <c r="Y108" s="41" t="str">
        <f>IF(A108="","",IF(Q108&lt;&gt;"已执行",IF(Q108="","未填执行情况",Q108),IF(N(U108)=0,"待录成交",IF(N(W108)&gt;N(U108),"平仓多于开仓",IF(N(W108)&lt;N(U108),"持仓中","已平仓")))))</f>
        <v/>
      </c>
      <c r="Z108" s="41" t="str">
        <f>IF(AND(ISNUMBER(R108),ISNUMBER(S108)),IF(R108=S108,"日内",""),"")</f>
        <v/>
      </c>
      <c r="AA108" s="42" t="str">
        <f>IF(Z108&lt;&gt;"日内","",COUNTIFS($Z$5:$Z$304,"日内",$S$5:$S$304,"&gt;"&amp;WORKDAY(S108,-5),$S$5:$S$304,"&lt;="&amp;S108))</f>
        <v/>
      </c>
      <c r="AB108" s="41" t="str">
        <f>IF(OR(NOT(ISNUMBER(M108)),NOT(ISNUMBER(R108))),"",IF(AND(M108&gt;=R108,OR(NOT(ISNUMBER(S108)),M108&lt;=S108)),"持仓跨财报",""))</f>
        <v/>
      </c>
      <c r="AC108" s="20">
        <f>IF(AND(E108="空",ISNUMBER(O108),ISNUMBER(S108)),ROUND(O108*(S108-R108)/360*V108*U108,2),0)</f>
        <v>0</v>
      </c>
      <c r="AD108" s="43" t="str">
        <f>IF(N(U108)=0,"",SUMIFS('成交明细'!$L$5:$L$804,'成交明细'!$A$5:$A$804,A108)+AC108)</f>
        <v/>
      </c>
      <c r="AE108" s="44" t="str">
        <f>IF(Y108&lt;&gt;"已平仓","",(SUMIFS('成交明细'!$H$5:$H$804,'成交明细'!$A$5:$A$804,A108,'成交明细'!$D$5:$D$804,"卖")-SUMIFS('成交明细'!$H$5:$H$804,'成交明细'!$A$5:$A$804,A108,'成交明细'!$D$5:$D$804,"买"))*1-AD108)</f>
        <v/>
      </c>
      <c r="AF108" s="45" t="str">
        <f>IF(AND(Y108="已平仓",ISNUMBER(L108)),(SUMIFS('成交明细'!$H$5:$H$804,'成交明细'!$A$5:$A$804,A108,'成交明细'!$D$5:$D$804,"卖")-SUMIFS('成交明细'!$H$5:$H$804,'成交明细'!$A$5:$A$804,A108,'成交明细'!$D$5:$D$804,"买"))*1/L108,"")</f>
        <v/>
      </c>
      <c r="AG108" s="45" t="str">
        <f>IF(AND(Y108="已平仓",ISNUMBER(L108)),AE108/L108,"")</f>
        <v/>
      </c>
      <c r="AH108" s="46" t="str">
        <f>IF(AND(ISNUMBER(V108),ISNUMBER(F108)),IF(E108="空",F108-V108,V108-F108),"")</f>
        <v/>
      </c>
      <c r="AI108" s="46" t="str">
        <f>IF(OR(NOT(ISNUMBER(AE108)),NOT(ISNUMBER(X108))),"",IF(AE108&lt;0,IF(E108="空",X108-G108,G108-X108),IF(NOT(ISNUMBER(H108)),"",IF(E108="空",X108-H108,H108-X108))))</f>
        <v/>
      </c>
      <c r="AJ108" s="32" t="n"/>
      <c r="AK108" s="32" t="n"/>
      <c r="AL108" s="31" t="n"/>
      <c r="AM108" s="45" t="str">
        <f>IF(A108="","",SUM(AG$5:AG108))</f>
        <v/>
      </c>
      <c r="AN108" s="37" t="str">
        <f>IF(A108="","",MAX(0,MAX(AM$5:AM108))-AM108)</f>
        <v/>
      </c>
    </row>
    <row r="109">
      <c r="A109" s="29" t="n"/>
      <c r="B109" s="30" t="n"/>
      <c r="C109" s="31" t="n"/>
      <c r="D109" s="32" t="n"/>
      <c r="E109" s="32" t="n"/>
      <c r="F109" s="33" t="n"/>
      <c r="G109" s="33" t="n"/>
      <c r="H109" s="33" t="n"/>
      <c r="I109" s="34" t="str">
        <f>IF(AND(ISNUMBER(F109),ISNUMBER(G109),ISNUMBER(H109)),IF(OR(AND(E109="多",F109&gt;G109),AND(E109="空",F109&lt;G109)),ABS(H109-F109)/ABS(F109-G109),"止损方向不对"),"")</f>
        <v/>
      </c>
      <c r="J109" s="35" t="str">
        <f>IF(AND(ISNUMBER(F109),ISNUMBER(G109)),IF(F109=G109,"",IF(INT(ROUND('参数'!$C$7/(ABS(F109-G109)*1+2*'参数'!$C$11+N('参数'!$C$14)*F109+N('参数'!$C$15))/1,6))*1&gt;0,INT(ROUND('参数'!$C$7/(ABS(F109-G109)*1+2*'参数'!$C$11+N('参数'!$C$14)*F109+N('参数'!$C$15))/1,6))*1,"预算不足，这笔不做")),"")</f>
        <v/>
      </c>
      <c r="K109" s="36" t="n"/>
      <c r="L109" s="20" t="str">
        <f>IF(AND(ISNUMBER(F109),ISNUMBER(G109),ISNUMBER(K109)),IF(AND(F109&lt;&gt;G109,K109&gt;0),ABS(F109-G109)*K109*1,""),"")</f>
        <v/>
      </c>
      <c r="M109" s="30" t="n"/>
      <c r="N109" s="37" t="str">
        <f>IF(AND(ISNUMBER(L109),ISNUMBER(M109)),IF(E109="空",(G109*(1+'参数'!$C$17)-F109),(F109-G109*(1-'参数'!$C$17)))*K109/L109,"")</f>
        <v/>
      </c>
      <c r="O109" s="38" t="n"/>
      <c r="P109" s="31" t="n"/>
      <c r="Q109" s="32" t="n"/>
      <c r="R109" s="39" t="str">
        <f>IF(N(U109)&gt;0,SUMPRODUCT(LARGE(('成交明细'!$A$5:$A$804=A109)*('成交明细'!$D$5:$D$804=IF(E109="空","卖","买"))*'成交明细'!$B$5:$B$804,COUNTIFS('成交明细'!$A$5:$A$804,A109,'成交明细'!$D$5:$D$804,IF(E109="空","卖","买")))),"")</f>
        <v/>
      </c>
      <c r="S109" s="39" t="str">
        <f>IF(AND(N(U109)&gt;0,N(W109)&gt;=N(U109)),SUMPRODUCT(MAX(('成交明细'!$A$5:$A$804=A109)*('成交明细'!$D$5:$D$804=IF(E109="空","买","卖"))*'成交明细'!$B$5:$B$804)),"")</f>
        <v/>
      </c>
      <c r="T109" s="32" t="n"/>
      <c r="U109" s="35" t="str">
        <f>IF(A109="","",SUMIFS('成交明细'!$F$5:$F$804,'成交明细'!$A$5:$A$804,A109,'成交明细'!$D$5:$D$804,IF(E109="空","卖","买")))</f>
        <v/>
      </c>
      <c r="V109" s="40" t="str">
        <f>IF(N(U109)&gt;0,SUMIFS('成交明细'!$H$5:$H$804,'成交明细'!$A$5:$A$804,A109,'成交明细'!$D$5:$D$804,IF(E109="空","卖","买"))/U109,"")</f>
        <v/>
      </c>
      <c r="W109" s="35" t="str">
        <f>IF(A109="","",SUMIFS('成交明细'!$F$5:$F$804,'成交明细'!$A$5:$A$804,A109,'成交明细'!$D$5:$D$804,IF(E109="空","买","卖")))</f>
        <v/>
      </c>
      <c r="X109" s="40" t="str">
        <f>IF(N(W109)&gt;0,SUMIFS('成交明细'!$H$5:$H$804,'成交明细'!$A$5:$A$804,A109,'成交明细'!$D$5:$D$804,IF(E109="空","买","卖"))/W109,"")</f>
        <v/>
      </c>
      <c r="Y109" s="41" t="str">
        <f>IF(A109="","",IF(Q109&lt;&gt;"已执行",IF(Q109="","未填执行情况",Q109),IF(N(U109)=0,"待录成交",IF(N(W109)&gt;N(U109),"平仓多于开仓",IF(N(W109)&lt;N(U109),"持仓中","已平仓")))))</f>
        <v/>
      </c>
      <c r="Z109" s="41" t="str">
        <f>IF(AND(ISNUMBER(R109),ISNUMBER(S109)),IF(R109=S109,"日内",""),"")</f>
        <v/>
      </c>
      <c r="AA109" s="42" t="str">
        <f>IF(Z109&lt;&gt;"日内","",COUNTIFS($Z$5:$Z$304,"日内",$S$5:$S$304,"&gt;"&amp;WORKDAY(S109,-5),$S$5:$S$304,"&lt;="&amp;S109))</f>
        <v/>
      </c>
      <c r="AB109" s="41" t="str">
        <f>IF(OR(NOT(ISNUMBER(M109)),NOT(ISNUMBER(R109))),"",IF(AND(M109&gt;=R109,OR(NOT(ISNUMBER(S109)),M109&lt;=S109)),"持仓跨财报",""))</f>
        <v/>
      </c>
      <c r="AC109" s="20">
        <f>IF(AND(E109="空",ISNUMBER(O109),ISNUMBER(S109)),ROUND(O109*(S109-R109)/360*V109*U109,2),0)</f>
        <v>0</v>
      </c>
      <c r="AD109" s="43" t="str">
        <f>IF(N(U109)=0,"",SUMIFS('成交明细'!$L$5:$L$804,'成交明细'!$A$5:$A$804,A109)+AC109)</f>
        <v/>
      </c>
      <c r="AE109" s="44" t="str">
        <f>IF(Y109&lt;&gt;"已平仓","",(SUMIFS('成交明细'!$H$5:$H$804,'成交明细'!$A$5:$A$804,A109,'成交明细'!$D$5:$D$804,"卖")-SUMIFS('成交明细'!$H$5:$H$804,'成交明细'!$A$5:$A$804,A109,'成交明细'!$D$5:$D$804,"买"))*1-AD109)</f>
        <v/>
      </c>
      <c r="AF109" s="45" t="str">
        <f>IF(AND(Y109="已平仓",ISNUMBER(L109)),(SUMIFS('成交明细'!$H$5:$H$804,'成交明细'!$A$5:$A$804,A109,'成交明细'!$D$5:$D$804,"卖")-SUMIFS('成交明细'!$H$5:$H$804,'成交明细'!$A$5:$A$804,A109,'成交明细'!$D$5:$D$804,"买"))*1/L109,"")</f>
        <v/>
      </c>
      <c r="AG109" s="45" t="str">
        <f>IF(AND(Y109="已平仓",ISNUMBER(L109)),AE109/L109,"")</f>
        <v/>
      </c>
      <c r="AH109" s="46" t="str">
        <f>IF(AND(ISNUMBER(V109),ISNUMBER(F109)),IF(E109="空",F109-V109,V109-F109),"")</f>
        <v/>
      </c>
      <c r="AI109" s="46" t="str">
        <f>IF(OR(NOT(ISNUMBER(AE109)),NOT(ISNUMBER(X109))),"",IF(AE109&lt;0,IF(E109="空",X109-G109,G109-X109),IF(NOT(ISNUMBER(H109)),"",IF(E109="空",X109-H109,H109-X109))))</f>
        <v/>
      </c>
      <c r="AJ109" s="32" t="n"/>
      <c r="AK109" s="32" t="n"/>
      <c r="AL109" s="31" t="n"/>
      <c r="AM109" s="45" t="str">
        <f>IF(A109="","",SUM(AG$5:AG109))</f>
        <v/>
      </c>
      <c r="AN109" s="37" t="str">
        <f>IF(A109="","",MAX(0,MAX(AM$5:AM109))-AM109)</f>
        <v/>
      </c>
    </row>
    <row r="110">
      <c r="A110" s="29" t="n"/>
      <c r="B110" s="30" t="n"/>
      <c r="C110" s="31" t="n"/>
      <c r="D110" s="32" t="n"/>
      <c r="E110" s="32" t="n"/>
      <c r="F110" s="33" t="n"/>
      <c r="G110" s="33" t="n"/>
      <c r="H110" s="33" t="n"/>
      <c r="I110" s="34" t="str">
        <f>IF(AND(ISNUMBER(F110),ISNUMBER(G110),ISNUMBER(H110)),IF(OR(AND(E110="多",F110&gt;G110),AND(E110="空",F110&lt;G110)),ABS(H110-F110)/ABS(F110-G110),"止损方向不对"),"")</f>
        <v/>
      </c>
      <c r="J110" s="35" t="str">
        <f>IF(AND(ISNUMBER(F110),ISNUMBER(G110)),IF(F110=G110,"",IF(INT(ROUND('参数'!$C$7/(ABS(F110-G110)*1+2*'参数'!$C$11+N('参数'!$C$14)*F110+N('参数'!$C$15))/1,6))*1&gt;0,INT(ROUND('参数'!$C$7/(ABS(F110-G110)*1+2*'参数'!$C$11+N('参数'!$C$14)*F110+N('参数'!$C$15))/1,6))*1,"预算不足，这笔不做")),"")</f>
        <v/>
      </c>
      <c r="K110" s="36" t="n"/>
      <c r="L110" s="20" t="str">
        <f>IF(AND(ISNUMBER(F110),ISNUMBER(G110),ISNUMBER(K110)),IF(AND(F110&lt;&gt;G110,K110&gt;0),ABS(F110-G110)*K110*1,""),"")</f>
        <v/>
      </c>
      <c r="M110" s="30" t="n"/>
      <c r="N110" s="37" t="str">
        <f>IF(AND(ISNUMBER(L110),ISNUMBER(M110)),IF(E110="空",(G110*(1+'参数'!$C$17)-F110),(F110-G110*(1-'参数'!$C$17)))*K110/L110,"")</f>
        <v/>
      </c>
      <c r="O110" s="38" t="n"/>
      <c r="P110" s="31" t="n"/>
      <c r="Q110" s="32" t="n"/>
      <c r="R110" s="39" t="str">
        <f>IF(N(U110)&gt;0,SUMPRODUCT(LARGE(('成交明细'!$A$5:$A$804=A110)*('成交明细'!$D$5:$D$804=IF(E110="空","卖","买"))*'成交明细'!$B$5:$B$804,COUNTIFS('成交明细'!$A$5:$A$804,A110,'成交明细'!$D$5:$D$804,IF(E110="空","卖","买")))),"")</f>
        <v/>
      </c>
      <c r="S110" s="39" t="str">
        <f>IF(AND(N(U110)&gt;0,N(W110)&gt;=N(U110)),SUMPRODUCT(MAX(('成交明细'!$A$5:$A$804=A110)*('成交明细'!$D$5:$D$804=IF(E110="空","买","卖"))*'成交明细'!$B$5:$B$804)),"")</f>
        <v/>
      </c>
      <c r="T110" s="32" t="n"/>
      <c r="U110" s="35" t="str">
        <f>IF(A110="","",SUMIFS('成交明细'!$F$5:$F$804,'成交明细'!$A$5:$A$804,A110,'成交明细'!$D$5:$D$804,IF(E110="空","卖","买")))</f>
        <v/>
      </c>
      <c r="V110" s="40" t="str">
        <f>IF(N(U110)&gt;0,SUMIFS('成交明细'!$H$5:$H$804,'成交明细'!$A$5:$A$804,A110,'成交明细'!$D$5:$D$804,IF(E110="空","卖","买"))/U110,"")</f>
        <v/>
      </c>
      <c r="W110" s="35" t="str">
        <f>IF(A110="","",SUMIFS('成交明细'!$F$5:$F$804,'成交明细'!$A$5:$A$804,A110,'成交明细'!$D$5:$D$804,IF(E110="空","买","卖")))</f>
        <v/>
      </c>
      <c r="X110" s="40" t="str">
        <f>IF(N(W110)&gt;0,SUMIFS('成交明细'!$H$5:$H$804,'成交明细'!$A$5:$A$804,A110,'成交明细'!$D$5:$D$804,IF(E110="空","买","卖"))/W110,"")</f>
        <v/>
      </c>
      <c r="Y110" s="41" t="str">
        <f>IF(A110="","",IF(Q110&lt;&gt;"已执行",IF(Q110="","未填执行情况",Q110),IF(N(U110)=0,"待录成交",IF(N(W110)&gt;N(U110),"平仓多于开仓",IF(N(W110)&lt;N(U110),"持仓中","已平仓")))))</f>
        <v/>
      </c>
      <c r="Z110" s="41" t="str">
        <f>IF(AND(ISNUMBER(R110),ISNUMBER(S110)),IF(R110=S110,"日内",""),"")</f>
        <v/>
      </c>
      <c r="AA110" s="42" t="str">
        <f>IF(Z110&lt;&gt;"日内","",COUNTIFS($Z$5:$Z$304,"日内",$S$5:$S$304,"&gt;"&amp;WORKDAY(S110,-5),$S$5:$S$304,"&lt;="&amp;S110))</f>
        <v/>
      </c>
      <c r="AB110" s="41" t="str">
        <f>IF(OR(NOT(ISNUMBER(M110)),NOT(ISNUMBER(R110))),"",IF(AND(M110&gt;=R110,OR(NOT(ISNUMBER(S110)),M110&lt;=S110)),"持仓跨财报",""))</f>
        <v/>
      </c>
      <c r="AC110" s="20">
        <f>IF(AND(E110="空",ISNUMBER(O110),ISNUMBER(S110)),ROUND(O110*(S110-R110)/360*V110*U110,2),0)</f>
        <v>0</v>
      </c>
      <c r="AD110" s="43" t="str">
        <f>IF(N(U110)=0,"",SUMIFS('成交明细'!$L$5:$L$804,'成交明细'!$A$5:$A$804,A110)+AC110)</f>
        <v/>
      </c>
      <c r="AE110" s="44" t="str">
        <f>IF(Y110&lt;&gt;"已平仓","",(SUMIFS('成交明细'!$H$5:$H$804,'成交明细'!$A$5:$A$804,A110,'成交明细'!$D$5:$D$804,"卖")-SUMIFS('成交明细'!$H$5:$H$804,'成交明细'!$A$5:$A$804,A110,'成交明细'!$D$5:$D$804,"买"))*1-AD110)</f>
        <v/>
      </c>
      <c r="AF110" s="45" t="str">
        <f>IF(AND(Y110="已平仓",ISNUMBER(L110)),(SUMIFS('成交明细'!$H$5:$H$804,'成交明细'!$A$5:$A$804,A110,'成交明细'!$D$5:$D$804,"卖")-SUMIFS('成交明细'!$H$5:$H$804,'成交明细'!$A$5:$A$804,A110,'成交明细'!$D$5:$D$804,"买"))*1/L110,"")</f>
        <v/>
      </c>
      <c r="AG110" s="45" t="str">
        <f>IF(AND(Y110="已平仓",ISNUMBER(L110)),AE110/L110,"")</f>
        <v/>
      </c>
      <c r="AH110" s="46" t="str">
        <f>IF(AND(ISNUMBER(V110),ISNUMBER(F110)),IF(E110="空",F110-V110,V110-F110),"")</f>
        <v/>
      </c>
      <c r="AI110" s="46" t="str">
        <f>IF(OR(NOT(ISNUMBER(AE110)),NOT(ISNUMBER(X110))),"",IF(AE110&lt;0,IF(E110="空",X110-G110,G110-X110),IF(NOT(ISNUMBER(H110)),"",IF(E110="空",X110-H110,H110-X110))))</f>
        <v/>
      </c>
      <c r="AJ110" s="32" t="n"/>
      <c r="AK110" s="32" t="n"/>
      <c r="AL110" s="31" t="n"/>
      <c r="AM110" s="45" t="str">
        <f>IF(A110="","",SUM(AG$5:AG110))</f>
        <v/>
      </c>
      <c r="AN110" s="37" t="str">
        <f>IF(A110="","",MAX(0,MAX(AM$5:AM110))-AM110)</f>
        <v/>
      </c>
    </row>
    <row r="111">
      <c r="A111" s="29" t="n"/>
      <c r="B111" s="30" t="n"/>
      <c r="C111" s="31" t="n"/>
      <c r="D111" s="32" t="n"/>
      <c r="E111" s="32" t="n"/>
      <c r="F111" s="33" t="n"/>
      <c r="G111" s="33" t="n"/>
      <c r="H111" s="33" t="n"/>
      <c r="I111" s="34" t="str">
        <f>IF(AND(ISNUMBER(F111),ISNUMBER(G111),ISNUMBER(H111)),IF(OR(AND(E111="多",F111&gt;G111),AND(E111="空",F111&lt;G111)),ABS(H111-F111)/ABS(F111-G111),"止损方向不对"),"")</f>
        <v/>
      </c>
      <c r="J111" s="35" t="str">
        <f>IF(AND(ISNUMBER(F111),ISNUMBER(G111)),IF(F111=G111,"",IF(INT(ROUND('参数'!$C$7/(ABS(F111-G111)*1+2*'参数'!$C$11+N('参数'!$C$14)*F111+N('参数'!$C$15))/1,6))*1&gt;0,INT(ROUND('参数'!$C$7/(ABS(F111-G111)*1+2*'参数'!$C$11+N('参数'!$C$14)*F111+N('参数'!$C$15))/1,6))*1,"预算不足，这笔不做")),"")</f>
        <v/>
      </c>
      <c r="K111" s="36" t="n"/>
      <c r="L111" s="20" t="str">
        <f>IF(AND(ISNUMBER(F111),ISNUMBER(G111),ISNUMBER(K111)),IF(AND(F111&lt;&gt;G111,K111&gt;0),ABS(F111-G111)*K111*1,""),"")</f>
        <v/>
      </c>
      <c r="M111" s="30" t="n"/>
      <c r="N111" s="37" t="str">
        <f>IF(AND(ISNUMBER(L111),ISNUMBER(M111)),IF(E111="空",(G111*(1+'参数'!$C$17)-F111),(F111-G111*(1-'参数'!$C$17)))*K111/L111,"")</f>
        <v/>
      </c>
      <c r="O111" s="38" t="n"/>
      <c r="P111" s="31" t="n"/>
      <c r="Q111" s="32" t="n"/>
      <c r="R111" s="39" t="str">
        <f>IF(N(U111)&gt;0,SUMPRODUCT(LARGE(('成交明细'!$A$5:$A$804=A111)*('成交明细'!$D$5:$D$804=IF(E111="空","卖","买"))*'成交明细'!$B$5:$B$804,COUNTIFS('成交明细'!$A$5:$A$804,A111,'成交明细'!$D$5:$D$804,IF(E111="空","卖","买")))),"")</f>
        <v/>
      </c>
      <c r="S111" s="39" t="str">
        <f>IF(AND(N(U111)&gt;0,N(W111)&gt;=N(U111)),SUMPRODUCT(MAX(('成交明细'!$A$5:$A$804=A111)*('成交明细'!$D$5:$D$804=IF(E111="空","买","卖"))*'成交明细'!$B$5:$B$804)),"")</f>
        <v/>
      </c>
      <c r="T111" s="32" t="n"/>
      <c r="U111" s="35" t="str">
        <f>IF(A111="","",SUMIFS('成交明细'!$F$5:$F$804,'成交明细'!$A$5:$A$804,A111,'成交明细'!$D$5:$D$804,IF(E111="空","卖","买")))</f>
        <v/>
      </c>
      <c r="V111" s="40" t="str">
        <f>IF(N(U111)&gt;0,SUMIFS('成交明细'!$H$5:$H$804,'成交明细'!$A$5:$A$804,A111,'成交明细'!$D$5:$D$804,IF(E111="空","卖","买"))/U111,"")</f>
        <v/>
      </c>
      <c r="W111" s="35" t="str">
        <f>IF(A111="","",SUMIFS('成交明细'!$F$5:$F$804,'成交明细'!$A$5:$A$804,A111,'成交明细'!$D$5:$D$804,IF(E111="空","买","卖")))</f>
        <v/>
      </c>
      <c r="X111" s="40" t="str">
        <f>IF(N(W111)&gt;0,SUMIFS('成交明细'!$H$5:$H$804,'成交明细'!$A$5:$A$804,A111,'成交明细'!$D$5:$D$804,IF(E111="空","买","卖"))/W111,"")</f>
        <v/>
      </c>
      <c r="Y111" s="41" t="str">
        <f>IF(A111="","",IF(Q111&lt;&gt;"已执行",IF(Q111="","未填执行情况",Q111),IF(N(U111)=0,"待录成交",IF(N(W111)&gt;N(U111),"平仓多于开仓",IF(N(W111)&lt;N(U111),"持仓中","已平仓")))))</f>
        <v/>
      </c>
      <c r="Z111" s="41" t="str">
        <f>IF(AND(ISNUMBER(R111),ISNUMBER(S111)),IF(R111=S111,"日内",""),"")</f>
        <v/>
      </c>
      <c r="AA111" s="42" t="str">
        <f>IF(Z111&lt;&gt;"日内","",COUNTIFS($Z$5:$Z$304,"日内",$S$5:$S$304,"&gt;"&amp;WORKDAY(S111,-5),$S$5:$S$304,"&lt;="&amp;S111))</f>
        <v/>
      </c>
      <c r="AB111" s="41" t="str">
        <f>IF(OR(NOT(ISNUMBER(M111)),NOT(ISNUMBER(R111))),"",IF(AND(M111&gt;=R111,OR(NOT(ISNUMBER(S111)),M111&lt;=S111)),"持仓跨财报",""))</f>
        <v/>
      </c>
      <c r="AC111" s="20">
        <f>IF(AND(E111="空",ISNUMBER(O111),ISNUMBER(S111)),ROUND(O111*(S111-R111)/360*V111*U111,2),0)</f>
        <v>0</v>
      </c>
      <c r="AD111" s="43" t="str">
        <f>IF(N(U111)=0,"",SUMIFS('成交明细'!$L$5:$L$804,'成交明细'!$A$5:$A$804,A111)+AC111)</f>
        <v/>
      </c>
      <c r="AE111" s="44" t="str">
        <f>IF(Y111&lt;&gt;"已平仓","",(SUMIFS('成交明细'!$H$5:$H$804,'成交明细'!$A$5:$A$804,A111,'成交明细'!$D$5:$D$804,"卖")-SUMIFS('成交明细'!$H$5:$H$804,'成交明细'!$A$5:$A$804,A111,'成交明细'!$D$5:$D$804,"买"))*1-AD111)</f>
        <v/>
      </c>
      <c r="AF111" s="45" t="str">
        <f>IF(AND(Y111="已平仓",ISNUMBER(L111)),(SUMIFS('成交明细'!$H$5:$H$804,'成交明细'!$A$5:$A$804,A111,'成交明细'!$D$5:$D$804,"卖")-SUMIFS('成交明细'!$H$5:$H$804,'成交明细'!$A$5:$A$804,A111,'成交明细'!$D$5:$D$804,"买"))*1/L111,"")</f>
        <v/>
      </c>
      <c r="AG111" s="45" t="str">
        <f>IF(AND(Y111="已平仓",ISNUMBER(L111)),AE111/L111,"")</f>
        <v/>
      </c>
      <c r="AH111" s="46" t="str">
        <f>IF(AND(ISNUMBER(V111),ISNUMBER(F111)),IF(E111="空",F111-V111,V111-F111),"")</f>
        <v/>
      </c>
      <c r="AI111" s="46" t="str">
        <f>IF(OR(NOT(ISNUMBER(AE111)),NOT(ISNUMBER(X111))),"",IF(AE111&lt;0,IF(E111="空",X111-G111,G111-X111),IF(NOT(ISNUMBER(H111)),"",IF(E111="空",X111-H111,H111-X111))))</f>
        <v/>
      </c>
      <c r="AJ111" s="32" t="n"/>
      <c r="AK111" s="32" t="n"/>
      <c r="AL111" s="31" t="n"/>
      <c r="AM111" s="45" t="str">
        <f>IF(A111="","",SUM(AG$5:AG111))</f>
        <v/>
      </c>
      <c r="AN111" s="37" t="str">
        <f>IF(A111="","",MAX(0,MAX(AM$5:AM111))-AM111)</f>
        <v/>
      </c>
    </row>
    <row r="112">
      <c r="A112" s="29" t="n"/>
      <c r="B112" s="30" t="n"/>
      <c r="C112" s="31" t="n"/>
      <c r="D112" s="32" t="n"/>
      <c r="E112" s="32" t="n"/>
      <c r="F112" s="33" t="n"/>
      <c r="G112" s="33" t="n"/>
      <c r="H112" s="33" t="n"/>
      <c r="I112" s="34" t="str">
        <f>IF(AND(ISNUMBER(F112),ISNUMBER(G112),ISNUMBER(H112)),IF(OR(AND(E112="多",F112&gt;G112),AND(E112="空",F112&lt;G112)),ABS(H112-F112)/ABS(F112-G112),"止损方向不对"),"")</f>
        <v/>
      </c>
      <c r="J112" s="35" t="str">
        <f>IF(AND(ISNUMBER(F112),ISNUMBER(G112)),IF(F112=G112,"",IF(INT(ROUND('参数'!$C$7/(ABS(F112-G112)*1+2*'参数'!$C$11+N('参数'!$C$14)*F112+N('参数'!$C$15))/1,6))*1&gt;0,INT(ROUND('参数'!$C$7/(ABS(F112-G112)*1+2*'参数'!$C$11+N('参数'!$C$14)*F112+N('参数'!$C$15))/1,6))*1,"预算不足，这笔不做")),"")</f>
        <v/>
      </c>
      <c r="K112" s="36" t="n"/>
      <c r="L112" s="20" t="str">
        <f>IF(AND(ISNUMBER(F112),ISNUMBER(G112),ISNUMBER(K112)),IF(AND(F112&lt;&gt;G112,K112&gt;0),ABS(F112-G112)*K112*1,""),"")</f>
        <v/>
      </c>
      <c r="M112" s="30" t="n"/>
      <c r="N112" s="37" t="str">
        <f>IF(AND(ISNUMBER(L112),ISNUMBER(M112)),IF(E112="空",(G112*(1+'参数'!$C$17)-F112),(F112-G112*(1-'参数'!$C$17)))*K112/L112,"")</f>
        <v/>
      </c>
      <c r="O112" s="38" t="n"/>
      <c r="P112" s="31" t="n"/>
      <c r="Q112" s="32" t="n"/>
      <c r="R112" s="39" t="str">
        <f>IF(N(U112)&gt;0,SUMPRODUCT(LARGE(('成交明细'!$A$5:$A$804=A112)*('成交明细'!$D$5:$D$804=IF(E112="空","卖","买"))*'成交明细'!$B$5:$B$804,COUNTIFS('成交明细'!$A$5:$A$804,A112,'成交明细'!$D$5:$D$804,IF(E112="空","卖","买")))),"")</f>
        <v/>
      </c>
      <c r="S112" s="39" t="str">
        <f>IF(AND(N(U112)&gt;0,N(W112)&gt;=N(U112)),SUMPRODUCT(MAX(('成交明细'!$A$5:$A$804=A112)*('成交明细'!$D$5:$D$804=IF(E112="空","买","卖"))*'成交明细'!$B$5:$B$804)),"")</f>
        <v/>
      </c>
      <c r="T112" s="32" t="n"/>
      <c r="U112" s="35" t="str">
        <f>IF(A112="","",SUMIFS('成交明细'!$F$5:$F$804,'成交明细'!$A$5:$A$804,A112,'成交明细'!$D$5:$D$804,IF(E112="空","卖","买")))</f>
        <v/>
      </c>
      <c r="V112" s="40" t="str">
        <f>IF(N(U112)&gt;0,SUMIFS('成交明细'!$H$5:$H$804,'成交明细'!$A$5:$A$804,A112,'成交明细'!$D$5:$D$804,IF(E112="空","卖","买"))/U112,"")</f>
        <v/>
      </c>
      <c r="W112" s="35" t="str">
        <f>IF(A112="","",SUMIFS('成交明细'!$F$5:$F$804,'成交明细'!$A$5:$A$804,A112,'成交明细'!$D$5:$D$804,IF(E112="空","买","卖")))</f>
        <v/>
      </c>
      <c r="X112" s="40" t="str">
        <f>IF(N(W112)&gt;0,SUMIFS('成交明细'!$H$5:$H$804,'成交明细'!$A$5:$A$804,A112,'成交明细'!$D$5:$D$804,IF(E112="空","买","卖"))/W112,"")</f>
        <v/>
      </c>
      <c r="Y112" s="41" t="str">
        <f>IF(A112="","",IF(Q112&lt;&gt;"已执行",IF(Q112="","未填执行情况",Q112),IF(N(U112)=0,"待录成交",IF(N(W112)&gt;N(U112),"平仓多于开仓",IF(N(W112)&lt;N(U112),"持仓中","已平仓")))))</f>
        <v/>
      </c>
      <c r="Z112" s="41" t="str">
        <f>IF(AND(ISNUMBER(R112),ISNUMBER(S112)),IF(R112=S112,"日内",""),"")</f>
        <v/>
      </c>
      <c r="AA112" s="42" t="str">
        <f>IF(Z112&lt;&gt;"日内","",COUNTIFS($Z$5:$Z$304,"日内",$S$5:$S$304,"&gt;"&amp;WORKDAY(S112,-5),$S$5:$S$304,"&lt;="&amp;S112))</f>
        <v/>
      </c>
      <c r="AB112" s="41" t="str">
        <f>IF(OR(NOT(ISNUMBER(M112)),NOT(ISNUMBER(R112))),"",IF(AND(M112&gt;=R112,OR(NOT(ISNUMBER(S112)),M112&lt;=S112)),"持仓跨财报",""))</f>
        <v/>
      </c>
      <c r="AC112" s="20">
        <f>IF(AND(E112="空",ISNUMBER(O112),ISNUMBER(S112)),ROUND(O112*(S112-R112)/360*V112*U112,2),0)</f>
        <v>0</v>
      </c>
      <c r="AD112" s="43" t="str">
        <f>IF(N(U112)=0,"",SUMIFS('成交明细'!$L$5:$L$804,'成交明细'!$A$5:$A$804,A112)+AC112)</f>
        <v/>
      </c>
      <c r="AE112" s="44" t="str">
        <f>IF(Y112&lt;&gt;"已平仓","",(SUMIFS('成交明细'!$H$5:$H$804,'成交明细'!$A$5:$A$804,A112,'成交明细'!$D$5:$D$804,"卖")-SUMIFS('成交明细'!$H$5:$H$804,'成交明细'!$A$5:$A$804,A112,'成交明细'!$D$5:$D$804,"买"))*1-AD112)</f>
        <v/>
      </c>
      <c r="AF112" s="45" t="str">
        <f>IF(AND(Y112="已平仓",ISNUMBER(L112)),(SUMIFS('成交明细'!$H$5:$H$804,'成交明细'!$A$5:$A$804,A112,'成交明细'!$D$5:$D$804,"卖")-SUMIFS('成交明细'!$H$5:$H$804,'成交明细'!$A$5:$A$804,A112,'成交明细'!$D$5:$D$804,"买"))*1/L112,"")</f>
        <v/>
      </c>
      <c r="AG112" s="45" t="str">
        <f>IF(AND(Y112="已平仓",ISNUMBER(L112)),AE112/L112,"")</f>
        <v/>
      </c>
      <c r="AH112" s="46" t="str">
        <f>IF(AND(ISNUMBER(V112),ISNUMBER(F112)),IF(E112="空",F112-V112,V112-F112),"")</f>
        <v/>
      </c>
      <c r="AI112" s="46" t="str">
        <f>IF(OR(NOT(ISNUMBER(AE112)),NOT(ISNUMBER(X112))),"",IF(AE112&lt;0,IF(E112="空",X112-G112,G112-X112),IF(NOT(ISNUMBER(H112)),"",IF(E112="空",X112-H112,H112-X112))))</f>
        <v/>
      </c>
      <c r="AJ112" s="32" t="n"/>
      <c r="AK112" s="32" t="n"/>
      <c r="AL112" s="31" t="n"/>
      <c r="AM112" s="45" t="str">
        <f>IF(A112="","",SUM(AG$5:AG112))</f>
        <v/>
      </c>
      <c r="AN112" s="37" t="str">
        <f>IF(A112="","",MAX(0,MAX(AM$5:AM112))-AM112)</f>
        <v/>
      </c>
    </row>
    <row r="113">
      <c r="A113" s="29" t="n"/>
      <c r="B113" s="30" t="n"/>
      <c r="C113" s="31" t="n"/>
      <c r="D113" s="32" t="n"/>
      <c r="E113" s="32" t="n"/>
      <c r="F113" s="33" t="n"/>
      <c r="G113" s="33" t="n"/>
      <c r="H113" s="33" t="n"/>
      <c r="I113" s="34" t="str">
        <f>IF(AND(ISNUMBER(F113),ISNUMBER(G113),ISNUMBER(H113)),IF(OR(AND(E113="多",F113&gt;G113),AND(E113="空",F113&lt;G113)),ABS(H113-F113)/ABS(F113-G113),"止损方向不对"),"")</f>
        <v/>
      </c>
      <c r="J113" s="35" t="str">
        <f>IF(AND(ISNUMBER(F113),ISNUMBER(G113)),IF(F113=G113,"",IF(INT(ROUND('参数'!$C$7/(ABS(F113-G113)*1+2*'参数'!$C$11+N('参数'!$C$14)*F113+N('参数'!$C$15))/1,6))*1&gt;0,INT(ROUND('参数'!$C$7/(ABS(F113-G113)*1+2*'参数'!$C$11+N('参数'!$C$14)*F113+N('参数'!$C$15))/1,6))*1,"预算不足，这笔不做")),"")</f>
        <v/>
      </c>
      <c r="K113" s="36" t="n"/>
      <c r="L113" s="20" t="str">
        <f>IF(AND(ISNUMBER(F113),ISNUMBER(G113),ISNUMBER(K113)),IF(AND(F113&lt;&gt;G113,K113&gt;0),ABS(F113-G113)*K113*1,""),"")</f>
        <v/>
      </c>
      <c r="M113" s="30" t="n"/>
      <c r="N113" s="37" t="str">
        <f>IF(AND(ISNUMBER(L113),ISNUMBER(M113)),IF(E113="空",(G113*(1+'参数'!$C$17)-F113),(F113-G113*(1-'参数'!$C$17)))*K113/L113,"")</f>
        <v/>
      </c>
      <c r="O113" s="38" t="n"/>
      <c r="P113" s="31" t="n"/>
      <c r="Q113" s="32" t="n"/>
      <c r="R113" s="39" t="str">
        <f>IF(N(U113)&gt;0,SUMPRODUCT(LARGE(('成交明细'!$A$5:$A$804=A113)*('成交明细'!$D$5:$D$804=IF(E113="空","卖","买"))*'成交明细'!$B$5:$B$804,COUNTIFS('成交明细'!$A$5:$A$804,A113,'成交明细'!$D$5:$D$804,IF(E113="空","卖","买")))),"")</f>
        <v/>
      </c>
      <c r="S113" s="39" t="str">
        <f>IF(AND(N(U113)&gt;0,N(W113)&gt;=N(U113)),SUMPRODUCT(MAX(('成交明细'!$A$5:$A$804=A113)*('成交明细'!$D$5:$D$804=IF(E113="空","买","卖"))*'成交明细'!$B$5:$B$804)),"")</f>
        <v/>
      </c>
      <c r="T113" s="32" t="n"/>
      <c r="U113" s="35" t="str">
        <f>IF(A113="","",SUMIFS('成交明细'!$F$5:$F$804,'成交明细'!$A$5:$A$804,A113,'成交明细'!$D$5:$D$804,IF(E113="空","卖","买")))</f>
        <v/>
      </c>
      <c r="V113" s="40" t="str">
        <f>IF(N(U113)&gt;0,SUMIFS('成交明细'!$H$5:$H$804,'成交明细'!$A$5:$A$804,A113,'成交明细'!$D$5:$D$804,IF(E113="空","卖","买"))/U113,"")</f>
        <v/>
      </c>
      <c r="W113" s="35" t="str">
        <f>IF(A113="","",SUMIFS('成交明细'!$F$5:$F$804,'成交明细'!$A$5:$A$804,A113,'成交明细'!$D$5:$D$804,IF(E113="空","买","卖")))</f>
        <v/>
      </c>
      <c r="X113" s="40" t="str">
        <f>IF(N(W113)&gt;0,SUMIFS('成交明细'!$H$5:$H$804,'成交明细'!$A$5:$A$804,A113,'成交明细'!$D$5:$D$804,IF(E113="空","买","卖"))/W113,"")</f>
        <v/>
      </c>
      <c r="Y113" s="41" t="str">
        <f>IF(A113="","",IF(Q113&lt;&gt;"已执行",IF(Q113="","未填执行情况",Q113),IF(N(U113)=0,"待录成交",IF(N(W113)&gt;N(U113),"平仓多于开仓",IF(N(W113)&lt;N(U113),"持仓中","已平仓")))))</f>
        <v/>
      </c>
      <c r="Z113" s="41" t="str">
        <f>IF(AND(ISNUMBER(R113),ISNUMBER(S113)),IF(R113=S113,"日内",""),"")</f>
        <v/>
      </c>
      <c r="AA113" s="42" t="str">
        <f>IF(Z113&lt;&gt;"日内","",COUNTIFS($Z$5:$Z$304,"日内",$S$5:$S$304,"&gt;"&amp;WORKDAY(S113,-5),$S$5:$S$304,"&lt;="&amp;S113))</f>
        <v/>
      </c>
      <c r="AB113" s="41" t="str">
        <f>IF(OR(NOT(ISNUMBER(M113)),NOT(ISNUMBER(R113))),"",IF(AND(M113&gt;=R113,OR(NOT(ISNUMBER(S113)),M113&lt;=S113)),"持仓跨财报",""))</f>
        <v/>
      </c>
      <c r="AC113" s="20">
        <f>IF(AND(E113="空",ISNUMBER(O113),ISNUMBER(S113)),ROUND(O113*(S113-R113)/360*V113*U113,2),0)</f>
        <v>0</v>
      </c>
      <c r="AD113" s="43" t="str">
        <f>IF(N(U113)=0,"",SUMIFS('成交明细'!$L$5:$L$804,'成交明细'!$A$5:$A$804,A113)+AC113)</f>
        <v/>
      </c>
      <c r="AE113" s="44" t="str">
        <f>IF(Y113&lt;&gt;"已平仓","",(SUMIFS('成交明细'!$H$5:$H$804,'成交明细'!$A$5:$A$804,A113,'成交明细'!$D$5:$D$804,"卖")-SUMIFS('成交明细'!$H$5:$H$804,'成交明细'!$A$5:$A$804,A113,'成交明细'!$D$5:$D$804,"买"))*1-AD113)</f>
        <v/>
      </c>
      <c r="AF113" s="45" t="str">
        <f>IF(AND(Y113="已平仓",ISNUMBER(L113)),(SUMIFS('成交明细'!$H$5:$H$804,'成交明细'!$A$5:$A$804,A113,'成交明细'!$D$5:$D$804,"卖")-SUMIFS('成交明细'!$H$5:$H$804,'成交明细'!$A$5:$A$804,A113,'成交明细'!$D$5:$D$804,"买"))*1/L113,"")</f>
        <v/>
      </c>
      <c r="AG113" s="45" t="str">
        <f>IF(AND(Y113="已平仓",ISNUMBER(L113)),AE113/L113,"")</f>
        <v/>
      </c>
      <c r="AH113" s="46" t="str">
        <f>IF(AND(ISNUMBER(V113),ISNUMBER(F113)),IF(E113="空",F113-V113,V113-F113),"")</f>
        <v/>
      </c>
      <c r="AI113" s="46" t="str">
        <f>IF(OR(NOT(ISNUMBER(AE113)),NOT(ISNUMBER(X113))),"",IF(AE113&lt;0,IF(E113="空",X113-G113,G113-X113),IF(NOT(ISNUMBER(H113)),"",IF(E113="空",X113-H113,H113-X113))))</f>
        <v/>
      </c>
      <c r="AJ113" s="32" t="n"/>
      <c r="AK113" s="32" t="n"/>
      <c r="AL113" s="31" t="n"/>
      <c r="AM113" s="45" t="str">
        <f>IF(A113="","",SUM(AG$5:AG113))</f>
        <v/>
      </c>
      <c r="AN113" s="37" t="str">
        <f>IF(A113="","",MAX(0,MAX(AM$5:AM113))-AM113)</f>
        <v/>
      </c>
    </row>
    <row r="114">
      <c r="A114" s="29" t="n"/>
      <c r="B114" s="30" t="n"/>
      <c r="C114" s="31" t="n"/>
      <c r="D114" s="32" t="n"/>
      <c r="E114" s="32" t="n"/>
      <c r="F114" s="33" t="n"/>
      <c r="G114" s="33" t="n"/>
      <c r="H114" s="33" t="n"/>
      <c r="I114" s="34" t="str">
        <f>IF(AND(ISNUMBER(F114),ISNUMBER(G114),ISNUMBER(H114)),IF(OR(AND(E114="多",F114&gt;G114),AND(E114="空",F114&lt;G114)),ABS(H114-F114)/ABS(F114-G114),"止损方向不对"),"")</f>
        <v/>
      </c>
      <c r="J114" s="35" t="str">
        <f>IF(AND(ISNUMBER(F114),ISNUMBER(G114)),IF(F114=G114,"",IF(INT(ROUND('参数'!$C$7/(ABS(F114-G114)*1+2*'参数'!$C$11+N('参数'!$C$14)*F114+N('参数'!$C$15))/1,6))*1&gt;0,INT(ROUND('参数'!$C$7/(ABS(F114-G114)*1+2*'参数'!$C$11+N('参数'!$C$14)*F114+N('参数'!$C$15))/1,6))*1,"预算不足，这笔不做")),"")</f>
        <v/>
      </c>
      <c r="K114" s="36" t="n"/>
      <c r="L114" s="20" t="str">
        <f>IF(AND(ISNUMBER(F114),ISNUMBER(G114),ISNUMBER(K114)),IF(AND(F114&lt;&gt;G114,K114&gt;0),ABS(F114-G114)*K114*1,""),"")</f>
        <v/>
      </c>
      <c r="M114" s="30" t="n"/>
      <c r="N114" s="37" t="str">
        <f>IF(AND(ISNUMBER(L114),ISNUMBER(M114)),IF(E114="空",(G114*(1+'参数'!$C$17)-F114),(F114-G114*(1-'参数'!$C$17)))*K114/L114,"")</f>
        <v/>
      </c>
      <c r="O114" s="38" t="n"/>
      <c r="P114" s="31" t="n"/>
      <c r="Q114" s="32" t="n"/>
      <c r="R114" s="39" t="str">
        <f>IF(N(U114)&gt;0,SUMPRODUCT(LARGE(('成交明细'!$A$5:$A$804=A114)*('成交明细'!$D$5:$D$804=IF(E114="空","卖","买"))*'成交明细'!$B$5:$B$804,COUNTIFS('成交明细'!$A$5:$A$804,A114,'成交明细'!$D$5:$D$804,IF(E114="空","卖","买")))),"")</f>
        <v/>
      </c>
      <c r="S114" s="39" t="str">
        <f>IF(AND(N(U114)&gt;0,N(W114)&gt;=N(U114)),SUMPRODUCT(MAX(('成交明细'!$A$5:$A$804=A114)*('成交明细'!$D$5:$D$804=IF(E114="空","买","卖"))*'成交明细'!$B$5:$B$804)),"")</f>
        <v/>
      </c>
      <c r="T114" s="32" t="n"/>
      <c r="U114" s="35" t="str">
        <f>IF(A114="","",SUMIFS('成交明细'!$F$5:$F$804,'成交明细'!$A$5:$A$804,A114,'成交明细'!$D$5:$D$804,IF(E114="空","卖","买")))</f>
        <v/>
      </c>
      <c r="V114" s="40" t="str">
        <f>IF(N(U114)&gt;0,SUMIFS('成交明细'!$H$5:$H$804,'成交明细'!$A$5:$A$804,A114,'成交明细'!$D$5:$D$804,IF(E114="空","卖","买"))/U114,"")</f>
        <v/>
      </c>
      <c r="W114" s="35" t="str">
        <f>IF(A114="","",SUMIFS('成交明细'!$F$5:$F$804,'成交明细'!$A$5:$A$804,A114,'成交明细'!$D$5:$D$804,IF(E114="空","买","卖")))</f>
        <v/>
      </c>
      <c r="X114" s="40" t="str">
        <f>IF(N(W114)&gt;0,SUMIFS('成交明细'!$H$5:$H$804,'成交明细'!$A$5:$A$804,A114,'成交明细'!$D$5:$D$804,IF(E114="空","买","卖"))/W114,"")</f>
        <v/>
      </c>
      <c r="Y114" s="41" t="str">
        <f>IF(A114="","",IF(Q114&lt;&gt;"已执行",IF(Q114="","未填执行情况",Q114),IF(N(U114)=0,"待录成交",IF(N(W114)&gt;N(U114),"平仓多于开仓",IF(N(W114)&lt;N(U114),"持仓中","已平仓")))))</f>
        <v/>
      </c>
      <c r="Z114" s="41" t="str">
        <f>IF(AND(ISNUMBER(R114),ISNUMBER(S114)),IF(R114=S114,"日内",""),"")</f>
        <v/>
      </c>
      <c r="AA114" s="42" t="str">
        <f>IF(Z114&lt;&gt;"日内","",COUNTIFS($Z$5:$Z$304,"日内",$S$5:$S$304,"&gt;"&amp;WORKDAY(S114,-5),$S$5:$S$304,"&lt;="&amp;S114))</f>
        <v/>
      </c>
      <c r="AB114" s="41" t="str">
        <f>IF(OR(NOT(ISNUMBER(M114)),NOT(ISNUMBER(R114))),"",IF(AND(M114&gt;=R114,OR(NOT(ISNUMBER(S114)),M114&lt;=S114)),"持仓跨财报",""))</f>
        <v/>
      </c>
      <c r="AC114" s="20">
        <f>IF(AND(E114="空",ISNUMBER(O114),ISNUMBER(S114)),ROUND(O114*(S114-R114)/360*V114*U114,2),0)</f>
        <v>0</v>
      </c>
      <c r="AD114" s="43" t="str">
        <f>IF(N(U114)=0,"",SUMIFS('成交明细'!$L$5:$L$804,'成交明细'!$A$5:$A$804,A114)+AC114)</f>
        <v/>
      </c>
      <c r="AE114" s="44" t="str">
        <f>IF(Y114&lt;&gt;"已平仓","",(SUMIFS('成交明细'!$H$5:$H$804,'成交明细'!$A$5:$A$804,A114,'成交明细'!$D$5:$D$804,"卖")-SUMIFS('成交明细'!$H$5:$H$804,'成交明细'!$A$5:$A$804,A114,'成交明细'!$D$5:$D$804,"买"))*1-AD114)</f>
        <v/>
      </c>
      <c r="AF114" s="45" t="str">
        <f>IF(AND(Y114="已平仓",ISNUMBER(L114)),(SUMIFS('成交明细'!$H$5:$H$804,'成交明细'!$A$5:$A$804,A114,'成交明细'!$D$5:$D$804,"卖")-SUMIFS('成交明细'!$H$5:$H$804,'成交明细'!$A$5:$A$804,A114,'成交明细'!$D$5:$D$804,"买"))*1/L114,"")</f>
        <v/>
      </c>
      <c r="AG114" s="45" t="str">
        <f>IF(AND(Y114="已平仓",ISNUMBER(L114)),AE114/L114,"")</f>
        <v/>
      </c>
      <c r="AH114" s="46" t="str">
        <f>IF(AND(ISNUMBER(V114),ISNUMBER(F114)),IF(E114="空",F114-V114,V114-F114),"")</f>
        <v/>
      </c>
      <c r="AI114" s="46" t="str">
        <f>IF(OR(NOT(ISNUMBER(AE114)),NOT(ISNUMBER(X114))),"",IF(AE114&lt;0,IF(E114="空",X114-G114,G114-X114),IF(NOT(ISNUMBER(H114)),"",IF(E114="空",X114-H114,H114-X114))))</f>
        <v/>
      </c>
      <c r="AJ114" s="32" t="n"/>
      <c r="AK114" s="32" t="n"/>
      <c r="AL114" s="31" t="n"/>
      <c r="AM114" s="45" t="str">
        <f>IF(A114="","",SUM(AG$5:AG114))</f>
        <v/>
      </c>
      <c r="AN114" s="37" t="str">
        <f>IF(A114="","",MAX(0,MAX(AM$5:AM114))-AM114)</f>
        <v/>
      </c>
    </row>
    <row r="115">
      <c r="A115" s="29" t="n"/>
      <c r="B115" s="30" t="n"/>
      <c r="C115" s="31" t="n"/>
      <c r="D115" s="32" t="n"/>
      <c r="E115" s="32" t="n"/>
      <c r="F115" s="33" t="n"/>
      <c r="G115" s="33" t="n"/>
      <c r="H115" s="33" t="n"/>
      <c r="I115" s="34" t="str">
        <f>IF(AND(ISNUMBER(F115),ISNUMBER(G115),ISNUMBER(H115)),IF(OR(AND(E115="多",F115&gt;G115),AND(E115="空",F115&lt;G115)),ABS(H115-F115)/ABS(F115-G115),"止损方向不对"),"")</f>
        <v/>
      </c>
      <c r="J115" s="35" t="str">
        <f>IF(AND(ISNUMBER(F115),ISNUMBER(G115)),IF(F115=G115,"",IF(INT(ROUND('参数'!$C$7/(ABS(F115-G115)*1+2*'参数'!$C$11+N('参数'!$C$14)*F115+N('参数'!$C$15))/1,6))*1&gt;0,INT(ROUND('参数'!$C$7/(ABS(F115-G115)*1+2*'参数'!$C$11+N('参数'!$C$14)*F115+N('参数'!$C$15))/1,6))*1,"预算不足，这笔不做")),"")</f>
        <v/>
      </c>
      <c r="K115" s="36" t="n"/>
      <c r="L115" s="20" t="str">
        <f>IF(AND(ISNUMBER(F115),ISNUMBER(G115),ISNUMBER(K115)),IF(AND(F115&lt;&gt;G115,K115&gt;0),ABS(F115-G115)*K115*1,""),"")</f>
        <v/>
      </c>
      <c r="M115" s="30" t="n"/>
      <c r="N115" s="37" t="str">
        <f>IF(AND(ISNUMBER(L115),ISNUMBER(M115)),IF(E115="空",(G115*(1+'参数'!$C$17)-F115),(F115-G115*(1-'参数'!$C$17)))*K115/L115,"")</f>
        <v/>
      </c>
      <c r="O115" s="38" t="n"/>
      <c r="P115" s="31" t="n"/>
      <c r="Q115" s="32" t="n"/>
      <c r="R115" s="39" t="str">
        <f>IF(N(U115)&gt;0,SUMPRODUCT(LARGE(('成交明细'!$A$5:$A$804=A115)*('成交明细'!$D$5:$D$804=IF(E115="空","卖","买"))*'成交明细'!$B$5:$B$804,COUNTIFS('成交明细'!$A$5:$A$804,A115,'成交明细'!$D$5:$D$804,IF(E115="空","卖","买")))),"")</f>
        <v/>
      </c>
      <c r="S115" s="39" t="str">
        <f>IF(AND(N(U115)&gt;0,N(W115)&gt;=N(U115)),SUMPRODUCT(MAX(('成交明细'!$A$5:$A$804=A115)*('成交明细'!$D$5:$D$804=IF(E115="空","买","卖"))*'成交明细'!$B$5:$B$804)),"")</f>
        <v/>
      </c>
      <c r="T115" s="32" t="n"/>
      <c r="U115" s="35" t="str">
        <f>IF(A115="","",SUMIFS('成交明细'!$F$5:$F$804,'成交明细'!$A$5:$A$804,A115,'成交明细'!$D$5:$D$804,IF(E115="空","卖","买")))</f>
        <v/>
      </c>
      <c r="V115" s="40" t="str">
        <f>IF(N(U115)&gt;0,SUMIFS('成交明细'!$H$5:$H$804,'成交明细'!$A$5:$A$804,A115,'成交明细'!$D$5:$D$804,IF(E115="空","卖","买"))/U115,"")</f>
        <v/>
      </c>
      <c r="W115" s="35" t="str">
        <f>IF(A115="","",SUMIFS('成交明细'!$F$5:$F$804,'成交明细'!$A$5:$A$804,A115,'成交明细'!$D$5:$D$804,IF(E115="空","买","卖")))</f>
        <v/>
      </c>
      <c r="X115" s="40" t="str">
        <f>IF(N(W115)&gt;0,SUMIFS('成交明细'!$H$5:$H$804,'成交明细'!$A$5:$A$804,A115,'成交明细'!$D$5:$D$804,IF(E115="空","买","卖"))/W115,"")</f>
        <v/>
      </c>
      <c r="Y115" s="41" t="str">
        <f>IF(A115="","",IF(Q115&lt;&gt;"已执行",IF(Q115="","未填执行情况",Q115),IF(N(U115)=0,"待录成交",IF(N(W115)&gt;N(U115),"平仓多于开仓",IF(N(W115)&lt;N(U115),"持仓中","已平仓")))))</f>
        <v/>
      </c>
      <c r="Z115" s="41" t="str">
        <f>IF(AND(ISNUMBER(R115),ISNUMBER(S115)),IF(R115=S115,"日内",""),"")</f>
        <v/>
      </c>
      <c r="AA115" s="42" t="str">
        <f>IF(Z115&lt;&gt;"日内","",COUNTIFS($Z$5:$Z$304,"日内",$S$5:$S$304,"&gt;"&amp;WORKDAY(S115,-5),$S$5:$S$304,"&lt;="&amp;S115))</f>
        <v/>
      </c>
      <c r="AB115" s="41" t="str">
        <f>IF(OR(NOT(ISNUMBER(M115)),NOT(ISNUMBER(R115))),"",IF(AND(M115&gt;=R115,OR(NOT(ISNUMBER(S115)),M115&lt;=S115)),"持仓跨财报",""))</f>
        <v/>
      </c>
      <c r="AC115" s="20">
        <f>IF(AND(E115="空",ISNUMBER(O115),ISNUMBER(S115)),ROUND(O115*(S115-R115)/360*V115*U115,2),0)</f>
        <v>0</v>
      </c>
      <c r="AD115" s="43" t="str">
        <f>IF(N(U115)=0,"",SUMIFS('成交明细'!$L$5:$L$804,'成交明细'!$A$5:$A$804,A115)+AC115)</f>
        <v/>
      </c>
      <c r="AE115" s="44" t="str">
        <f>IF(Y115&lt;&gt;"已平仓","",(SUMIFS('成交明细'!$H$5:$H$804,'成交明细'!$A$5:$A$804,A115,'成交明细'!$D$5:$D$804,"卖")-SUMIFS('成交明细'!$H$5:$H$804,'成交明细'!$A$5:$A$804,A115,'成交明细'!$D$5:$D$804,"买"))*1-AD115)</f>
        <v/>
      </c>
      <c r="AF115" s="45" t="str">
        <f>IF(AND(Y115="已平仓",ISNUMBER(L115)),(SUMIFS('成交明细'!$H$5:$H$804,'成交明细'!$A$5:$A$804,A115,'成交明细'!$D$5:$D$804,"卖")-SUMIFS('成交明细'!$H$5:$H$804,'成交明细'!$A$5:$A$804,A115,'成交明细'!$D$5:$D$804,"买"))*1/L115,"")</f>
        <v/>
      </c>
      <c r="AG115" s="45" t="str">
        <f>IF(AND(Y115="已平仓",ISNUMBER(L115)),AE115/L115,"")</f>
        <v/>
      </c>
      <c r="AH115" s="46" t="str">
        <f>IF(AND(ISNUMBER(V115),ISNUMBER(F115)),IF(E115="空",F115-V115,V115-F115),"")</f>
        <v/>
      </c>
      <c r="AI115" s="46" t="str">
        <f>IF(OR(NOT(ISNUMBER(AE115)),NOT(ISNUMBER(X115))),"",IF(AE115&lt;0,IF(E115="空",X115-G115,G115-X115),IF(NOT(ISNUMBER(H115)),"",IF(E115="空",X115-H115,H115-X115))))</f>
        <v/>
      </c>
      <c r="AJ115" s="32" t="n"/>
      <c r="AK115" s="32" t="n"/>
      <c r="AL115" s="31" t="n"/>
      <c r="AM115" s="45" t="str">
        <f>IF(A115="","",SUM(AG$5:AG115))</f>
        <v/>
      </c>
      <c r="AN115" s="37" t="str">
        <f>IF(A115="","",MAX(0,MAX(AM$5:AM115))-AM115)</f>
        <v/>
      </c>
    </row>
    <row r="116">
      <c r="A116" s="29" t="n"/>
      <c r="B116" s="30" t="n"/>
      <c r="C116" s="31" t="n"/>
      <c r="D116" s="32" t="n"/>
      <c r="E116" s="32" t="n"/>
      <c r="F116" s="33" t="n"/>
      <c r="G116" s="33" t="n"/>
      <c r="H116" s="33" t="n"/>
      <c r="I116" s="34" t="str">
        <f>IF(AND(ISNUMBER(F116),ISNUMBER(G116),ISNUMBER(H116)),IF(OR(AND(E116="多",F116&gt;G116),AND(E116="空",F116&lt;G116)),ABS(H116-F116)/ABS(F116-G116),"止损方向不对"),"")</f>
        <v/>
      </c>
      <c r="J116" s="35" t="str">
        <f>IF(AND(ISNUMBER(F116),ISNUMBER(G116)),IF(F116=G116,"",IF(INT(ROUND('参数'!$C$7/(ABS(F116-G116)*1+2*'参数'!$C$11+N('参数'!$C$14)*F116+N('参数'!$C$15))/1,6))*1&gt;0,INT(ROUND('参数'!$C$7/(ABS(F116-G116)*1+2*'参数'!$C$11+N('参数'!$C$14)*F116+N('参数'!$C$15))/1,6))*1,"预算不足，这笔不做")),"")</f>
        <v/>
      </c>
      <c r="K116" s="36" t="n"/>
      <c r="L116" s="20" t="str">
        <f>IF(AND(ISNUMBER(F116),ISNUMBER(G116),ISNUMBER(K116)),IF(AND(F116&lt;&gt;G116,K116&gt;0),ABS(F116-G116)*K116*1,""),"")</f>
        <v/>
      </c>
      <c r="M116" s="30" t="n"/>
      <c r="N116" s="37" t="str">
        <f>IF(AND(ISNUMBER(L116),ISNUMBER(M116)),IF(E116="空",(G116*(1+'参数'!$C$17)-F116),(F116-G116*(1-'参数'!$C$17)))*K116/L116,"")</f>
        <v/>
      </c>
      <c r="O116" s="38" t="n"/>
      <c r="P116" s="31" t="n"/>
      <c r="Q116" s="32" t="n"/>
      <c r="R116" s="39" t="str">
        <f>IF(N(U116)&gt;0,SUMPRODUCT(LARGE(('成交明细'!$A$5:$A$804=A116)*('成交明细'!$D$5:$D$804=IF(E116="空","卖","买"))*'成交明细'!$B$5:$B$804,COUNTIFS('成交明细'!$A$5:$A$804,A116,'成交明细'!$D$5:$D$804,IF(E116="空","卖","买")))),"")</f>
        <v/>
      </c>
      <c r="S116" s="39" t="str">
        <f>IF(AND(N(U116)&gt;0,N(W116)&gt;=N(U116)),SUMPRODUCT(MAX(('成交明细'!$A$5:$A$804=A116)*('成交明细'!$D$5:$D$804=IF(E116="空","买","卖"))*'成交明细'!$B$5:$B$804)),"")</f>
        <v/>
      </c>
      <c r="T116" s="32" t="n"/>
      <c r="U116" s="35" t="str">
        <f>IF(A116="","",SUMIFS('成交明细'!$F$5:$F$804,'成交明细'!$A$5:$A$804,A116,'成交明细'!$D$5:$D$804,IF(E116="空","卖","买")))</f>
        <v/>
      </c>
      <c r="V116" s="40" t="str">
        <f>IF(N(U116)&gt;0,SUMIFS('成交明细'!$H$5:$H$804,'成交明细'!$A$5:$A$804,A116,'成交明细'!$D$5:$D$804,IF(E116="空","卖","买"))/U116,"")</f>
        <v/>
      </c>
      <c r="W116" s="35" t="str">
        <f>IF(A116="","",SUMIFS('成交明细'!$F$5:$F$804,'成交明细'!$A$5:$A$804,A116,'成交明细'!$D$5:$D$804,IF(E116="空","买","卖")))</f>
        <v/>
      </c>
      <c r="X116" s="40" t="str">
        <f>IF(N(W116)&gt;0,SUMIFS('成交明细'!$H$5:$H$804,'成交明细'!$A$5:$A$804,A116,'成交明细'!$D$5:$D$804,IF(E116="空","买","卖"))/W116,"")</f>
        <v/>
      </c>
      <c r="Y116" s="41" t="str">
        <f>IF(A116="","",IF(Q116&lt;&gt;"已执行",IF(Q116="","未填执行情况",Q116),IF(N(U116)=0,"待录成交",IF(N(W116)&gt;N(U116),"平仓多于开仓",IF(N(W116)&lt;N(U116),"持仓中","已平仓")))))</f>
        <v/>
      </c>
      <c r="Z116" s="41" t="str">
        <f>IF(AND(ISNUMBER(R116),ISNUMBER(S116)),IF(R116=S116,"日内",""),"")</f>
        <v/>
      </c>
      <c r="AA116" s="42" t="str">
        <f>IF(Z116&lt;&gt;"日内","",COUNTIFS($Z$5:$Z$304,"日内",$S$5:$S$304,"&gt;"&amp;WORKDAY(S116,-5),$S$5:$S$304,"&lt;="&amp;S116))</f>
        <v/>
      </c>
      <c r="AB116" s="41" t="str">
        <f>IF(OR(NOT(ISNUMBER(M116)),NOT(ISNUMBER(R116))),"",IF(AND(M116&gt;=R116,OR(NOT(ISNUMBER(S116)),M116&lt;=S116)),"持仓跨财报",""))</f>
        <v/>
      </c>
      <c r="AC116" s="20">
        <f>IF(AND(E116="空",ISNUMBER(O116),ISNUMBER(S116)),ROUND(O116*(S116-R116)/360*V116*U116,2),0)</f>
        <v>0</v>
      </c>
      <c r="AD116" s="43" t="str">
        <f>IF(N(U116)=0,"",SUMIFS('成交明细'!$L$5:$L$804,'成交明细'!$A$5:$A$804,A116)+AC116)</f>
        <v/>
      </c>
      <c r="AE116" s="44" t="str">
        <f>IF(Y116&lt;&gt;"已平仓","",(SUMIFS('成交明细'!$H$5:$H$804,'成交明细'!$A$5:$A$804,A116,'成交明细'!$D$5:$D$804,"卖")-SUMIFS('成交明细'!$H$5:$H$804,'成交明细'!$A$5:$A$804,A116,'成交明细'!$D$5:$D$804,"买"))*1-AD116)</f>
        <v/>
      </c>
      <c r="AF116" s="45" t="str">
        <f>IF(AND(Y116="已平仓",ISNUMBER(L116)),(SUMIFS('成交明细'!$H$5:$H$804,'成交明细'!$A$5:$A$804,A116,'成交明细'!$D$5:$D$804,"卖")-SUMIFS('成交明细'!$H$5:$H$804,'成交明细'!$A$5:$A$804,A116,'成交明细'!$D$5:$D$804,"买"))*1/L116,"")</f>
        <v/>
      </c>
      <c r="AG116" s="45" t="str">
        <f>IF(AND(Y116="已平仓",ISNUMBER(L116)),AE116/L116,"")</f>
        <v/>
      </c>
      <c r="AH116" s="46" t="str">
        <f>IF(AND(ISNUMBER(V116),ISNUMBER(F116)),IF(E116="空",F116-V116,V116-F116),"")</f>
        <v/>
      </c>
      <c r="AI116" s="46" t="str">
        <f>IF(OR(NOT(ISNUMBER(AE116)),NOT(ISNUMBER(X116))),"",IF(AE116&lt;0,IF(E116="空",X116-G116,G116-X116),IF(NOT(ISNUMBER(H116)),"",IF(E116="空",X116-H116,H116-X116))))</f>
        <v/>
      </c>
      <c r="AJ116" s="32" t="n"/>
      <c r="AK116" s="32" t="n"/>
      <c r="AL116" s="31" t="n"/>
      <c r="AM116" s="45" t="str">
        <f>IF(A116="","",SUM(AG$5:AG116))</f>
        <v/>
      </c>
      <c r="AN116" s="37" t="str">
        <f>IF(A116="","",MAX(0,MAX(AM$5:AM116))-AM116)</f>
        <v/>
      </c>
    </row>
    <row r="117">
      <c r="A117" s="29" t="n"/>
      <c r="B117" s="30" t="n"/>
      <c r="C117" s="31" t="n"/>
      <c r="D117" s="32" t="n"/>
      <c r="E117" s="32" t="n"/>
      <c r="F117" s="33" t="n"/>
      <c r="G117" s="33" t="n"/>
      <c r="H117" s="33" t="n"/>
      <c r="I117" s="34" t="str">
        <f>IF(AND(ISNUMBER(F117),ISNUMBER(G117),ISNUMBER(H117)),IF(OR(AND(E117="多",F117&gt;G117),AND(E117="空",F117&lt;G117)),ABS(H117-F117)/ABS(F117-G117),"止损方向不对"),"")</f>
        <v/>
      </c>
      <c r="J117" s="35" t="str">
        <f>IF(AND(ISNUMBER(F117),ISNUMBER(G117)),IF(F117=G117,"",IF(INT(ROUND('参数'!$C$7/(ABS(F117-G117)*1+2*'参数'!$C$11+N('参数'!$C$14)*F117+N('参数'!$C$15))/1,6))*1&gt;0,INT(ROUND('参数'!$C$7/(ABS(F117-G117)*1+2*'参数'!$C$11+N('参数'!$C$14)*F117+N('参数'!$C$15))/1,6))*1,"预算不足，这笔不做")),"")</f>
        <v/>
      </c>
      <c r="K117" s="36" t="n"/>
      <c r="L117" s="20" t="str">
        <f>IF(AND(ISNUMBER(F117),ISNUMBER(G117),ISNUMBER(K117)),IF(AND(F117&lt;&gt;G117,K117&gt;0),ABS(F117-G117)*K117*1,""),"")</f>
        <v/>
      </c>
      <c r="M117" s="30" t="n"/>
      <c r="N117" s="37" t="str">
        <f>IF(AND(ISNUMBER(L117),ISNUMBER(M117)),IF(E117="空",(G117*(1+'参数'!$C$17)-F117),(F117-G117*(1-'参数'!$C$17)))*K117/L117,"")</f>
        <v/>
      </c>
      <c r="O117" s="38" t="n"/>
      <c r="P117" s="31" t="n"/>
      <c r="Q117" s="32" t="n"/>
      <c r="R117" s="39" t="str">
        <f>IF(N(U117)&gt;0,SUMPRODUCT(LARGE(('成交明细'!$A$5:$A$804=A117)*('成交明细'!$D$5:$D$804=IF(E117="空","卖","买"))*'成交明细'!$B$5:$B$804,COUNTIFS('成交明细'!$A$5:$A$804,A117,'成交明细'!$D$5:$D$804,IF(E117="空","卖","买")))),"")</f>
        <v/>
      </c>
      <c r="S117" s="39" t="str">
        <f>IF(AND(N(U117)&gt;0,N(W117)&gt;=N(U117)),SUMPRODUCT(MAX(('成交明细'!$A$5:$A$804=A117)*('成交明细'!$D$5:$D$804=IF(E117="空","买","卖"))*'成交明细'!$B$5:$B$804)),"")</f>
        <v/>
      </c>
      <c r="T117" s="32" t="n"/>
      <c r="U117" s="35" t="str">
        <f>IF(A117="","",SUMIFS('成交明细'!$F$5:$F$804,'成交明细'!$A$5:$A$804,A117,'成交明细'!$D$5:$D$804,IF(E117="空","卖","买")))</f>
        <v/>
      </c>
      <c r="V117" s="40" t="str">
        <f>IF(N(U117)&gt;0,SUMIFS('成交明细'!$H$5:$H$804,'成交明细'!$A$5:$A$804,A117,'成交明细'!$D$5:$D$804,IF(E117="空","卖","买"))/U117,"")</f>
        <v/>
      </c>
      <c r="W117" s="35" t="str">
        <f>IF(A117="","",SUMIFS('成交明细'!$F$5:$F$804,'成交明细'!$A$5:$A$804,A117,'成交明细'!$D$5:$D$804,IF(E117="空","买","卖")))</f>
        <v/>
      </c>
      <c r="X117" s="40" t="str">
        <f>IF(N(W117)&gt;0,SUMIFS('成交明细'!$H$5:$H$804,'成交明细'!$A$5:$A$804,A117,'成交明细'!$D$5:$D$804,IF(E117="空","买","卖"))/W117,"")</f>
        <v/>
      </c>
      <c r="Y117" s="41" t="str">
        <f>IF(A117="","",IF(Q117&lt;&gt;"已执行",IF(Q117="","未填执行情况",Q117),IF(N(U117)=0,"待录成交",IF(N(W117)&gt;N(U117),"平仓多于开仓",IF(N(W117)&lt;N(U117),"持仓中","已平仓")))))</f>
        <v/>
      </c>
      <c r="Z117" s="41" t="str">
        <f>IF(AND(ISNUMBER(R117),ISNUMBER(S117)),IF(R117=S117,"日内",""),"")</f>
        <v/>
      </c>
      <c r="AA117" s="42" t="str">
        <f>IF(Z117&lt;&gt;"日内","",COUNTIFS($Z$5:$Z$304,"日内",$S$5:$S$304,"&gt;"&amp;WORKDAY(S117,-5),$S$5:$S$304,"&lt;="&amp;S117))</f>
        <v/>
      </c>
      <c r="AB117" s="41" t="str">
        <f>IF(OR(NOT(ISNUMBER(M117)),NOT(ISNUMBER(R117))),"",IF(AND(M117&gt;=R117,OR(NOT(ISNUMBER(S117)),M117&lt;=S117)),"持仓跨财报",""))</f>
        <v/>
      </c>
      <c r="AC117" s="20">
        <f>IF(AND(E117="空",ISNUMBER(O117),ISNUMBER(S117)),ROUND(O117*(S117-R117)/360*V117*U117,2),0)</f>
        <v>0</v>
      </c>
      <c r="AD117" s="43" t="str">
        <f>IF(N(U117)=0,"",SUMIFS('成交明细'!$L$5:$L$804,'成交明细'!$A$5:$A$804,A117)+AC117)</f>
        <v/>
      </c>
      <c r="AE117" s="44" t="str">
        <f>IF(Y117&lt;&gt;"已平仓","",(SUMIFS('成交明细'!$H$5:$H$804,'成交明细'!$A$5:$A$804,A117,'成交明细'!$D$5:$D$804,"卖")-SUMIFS('成交明细'!$H$5:$H$804,'成交明细'!$A$5:$A$804,A117,'成交明细'!$D$5:$D$804,"买"))*1-AD117)</f>
        <v/>
      </c>
      <c r="AF117" s="45" t="str">
        <f>IF(AND(Y117="已平仓",ISNUMBER(L117)),(SUMIFS('成交明细'!$H$5:$H$804,'成交明细'!$A$5:$A$804,A117,'成交明细'!$D$5:$D$804,"卖")-SUMIFS('成交明细'!$H$5:$H$804,'成交明细'!$A$5:$A$804,A117,'成交明细'!$D$5:$D$804,"买"))*1/L117,"")</f>
        <v/>
      </c>
      <c r="AG117" s="45" t="str">
        <f>IF(AND(Y117="已平仓",ISNUMBER(L117)),AE117/L117,"")</f>
        <v/>
      </c>
      <c r="AH117" s="46" t="str">
        <f>IF(AND(ISNUMBER(V117),ISNUMBER(F117)),IF(E117="空",F117-V117,V117-F117),"")</f>
        <v/>
      </c>
      <c r="AI117" s="46" t="str">
        <f>IF(OR(NOT(ISNUMBER(AE117)),NOT(ISNUMBER(X117))),"",IF(AE117&lt;0,IF(E117="空",X117-G117,G117-X117),IF(NOT(ISNUMBER(H117)),"",IF(E117="空",X117-H117,H117-X117))))</f>
        <v/>
      </c>
      <c r="AJ117" s="32" t="n"/>
      <c r="AK117" s="32" t="n"/>
      <c r="AL117" s="31" t="n"/>
      <c r="AM117" s="45" t="str">
        <f>IF(A117="","",SUM(AG$5:AG117))</f>
        <v/>
      </c>
      <c r="AN117" s="37" t="str">
        <f>IF(A117="","",MAX(0,MAX(AM$5:AM117))-AM117)</f>
        <v/>
      </c>
    </row>
    <row r="118">
      <c r="A118" s="29" t="n"/>
      <c r="B118" s="30" t="n"/>
      <c r="C118" s="31" t="n"/>
      <c r="D118" s="32" t="n"/>
      <c r="E118" s="32" t="n"/>
      <c r="F118" s="33" t="n"/>
      <c r="G118" s="33" t="n"/>
      <c r="H118" s="33" t="n"/>
      <c r="I118" s="34" t="str">
        <f>IF(AND(ISNUMBER(F118),ISNUMBER(G118),ISNUMBER(H118)),IF(OR(AND(E118="多",F118&gt;G118),AND(E118="空",F118&lt;G118)),ABS(H118-F118)/ABS(F118-G118),"止损方向不对"),"")</f>
        <v/>
      </c>
      <c r="J118" s="35" t="str">
        <f>IF(AND(ISNUMBER(F118),ISNUMBER(G118)),IF(F118=G118,"",IF(INT(ROUND('参数'!$C$7/(ABS(F118-G118)*1+2*'参数'!$C$11+N('参数'!$C$14)*F118+N('参数'!$C$15))/1,6))*1&gt;0,INT(ROUND('参数'!$C$7/(ABS(F118-G118)*1+2*'参数'!$C$11+N('参数'!$C$14)*F118+N('参数'!$C$15))/1,6))*1,"预算不足，这笔不做")),"")</f>
        <v/>
      </c>
      <c r="K118" s="36" t="n"/>
      <c r="L118" s="20" t="str">
        <f>IF(AND(ISNUMBER(F118),ISNUMBER(G118),ISNUMBER(K118)),IF(AND(F118&lt;&gt;G118,K118&gt;0),ABS(F118-G118)*K118*1,""),"")</f>
        <v/>
      </c>
      <c r="M118" s="30" t="n"/>
      <c r="N118" s="37" t="str">
        <f>IF(AND(ISNUMBER(L118),ISNUMBER(M118)),IF(E118="空",(G118*(1+'参数'!$C$17)-F118),(F118-G118*(1-'参数'!$C$17)))*K118/L118,"")</f>
        <v/>
      </c>
      <c r="O118" s="38" t="n"/>
      <c r="P118" s="31" t="n"/>
      <c r="Q118" s="32" t="n"/>
      <c r="R118" s="39" t="str">
        <f>IF(N(U118)&gt;0,SUMPRODUCT(LARGE(('成交明细'!$A$5:$A$804=A118)*('成交明细'!$D$5:$D$804=IF(E118="空","卖","买"))*'成交明细'!$B$5:$B$804,COUNTIFS('成交明细'!$A$5:$A$804,A118,'成交明细'!$D$5:$D$804,IF(E118="空","卖","买")))),"")</f>
        <v/>
      </c>
      <c r="S118" s="39" t="str">
        <f>IF(AND(N(U118)&gt;0,N(W118)&gt;=N(U118)),SUMPRODUCT(MAX(('成交明细'!$A$5:$A$804=A118)*('成交明细'!$D$5:$D$804=IF(E118="空","买","卖"))*'成交明细'!$B$5:$B$804)),"")</f>
        <v/>
      </c>
      <c r="T118" s="32" t="n"/>
      <c r="U118" s="35" t="str">
        <f>IF(A118="","",SUMIFS('成交明细'!$F$5:$F$804,'成交明细'!$A$5:$A$804,A118,'成交明细'!$D$5:$D$804,IF(E118="空","卖","买")))</f>
        <v/>
      </c>
      <c r="V118" s="40" t="str">
        <f>IF(N(U118)&gt;0,SUMIFS('成交明细'!$H$5:$H$804,'成交明细'!$A$5:$A$804,A118,'成交明细'!$D$5:$D$804,IF(E118="空","卖","买"))/U118,"")</f>
        <v/>
      </c>
      <c r="W118" s="35" t="str">
        <f>IF(A118="","",SUMIFS('成交明细'!$F$5:$F$804,'成交明细'!$A$5:$A$804,A118,'成交明细'!$D$5:$D$804,IF(E118="空","买","卖")))</f>
        <v/>
      </c>
      <c r="X118" s="40" t="str">
        <f>IF(N(W118)&gt;0,SUMIFS('成交明细'!$H$5:$H$804,'成交明细'!$A$5:$A$804,A118,'成交明细'!$D$5:$D$804,IF(E118="空","买","卖"))/W118,"")</f>
        <v/>
      </c>
      <c r="Y118" s="41" t="str">
        <f>IF(A118="","",IF(Q118&lt;&gt;"已执行",IF(Q118="","未填执行情况",Q118),IF(N(U118)=0,"待录成交",IF(N(W118)&gt;N(U118),"平仓多于开仓",IF(N(W118)&lt;N(U118),"持仓中","已平仓")))))</f>
        <v/>
      </c>
      <c r="Z118" s="41" t="str">
        <f>IF(AND(ISNUMBER(R118),ISNUMBER(S118)),IF(R118=S118,"日内",""),"")</f>
        <v/>
      </c>
      <c r="AA118" s="42" t="str">
        <f>IF(Z118&lt;&gt;"日内","",COUNTIFS($Z$5:$Z$304,"日内",$S$5:$S$304,"&gt;"&amp;WORKDAY(S118,-5),$S$5:$S$304,"&lt;="&amp;S118))</f>
        <v/>
      </c>
      <c r="AB118" s="41" t="str">
        <f>IF(OR(NOT(ISNUMBER(M118)),NOT(ISNUMBER(R118))),"",IF(AND(M118&gt;=R118,OR(NOT(ISNUMBER(S118)),M118&lt;=S118)),"持仓跨财报",""))</f>
        <v/>
      </c>
      <c r="AC118" s="20">
        <f>IF(AND(E118="空",ISNUMBER(O118),ISNUMBER(S118)),ROUND(O118*(S118-R118)/360*V118*U118,2),0)</f>
        <v>0</v>
      </c>
      <c r="AD118" s="43" t="str">
        <f>IF(N(U118)=0,"",SUMIFS('成交明细'!$L$5:$L$804,'成交明细'!$A$5:$A$804,A118)+AC118)</f>
        <v/>
      </c>
      <c r="AE118" s="44" t="str">
        <f>IF(Y118&lt;&gt;"已平仓","",(SUMIFS('成交明细'!$H$5:$H$804,'成交明细'!$A$5:$A$804,A118,'成交明细'!$D$5:$D$804,"卖")-SUMIFS('成交明细'!$H$5:$H$804,'成交明细'!$A$5:$A$804,A118,'成交明细'!$D$5:$D$804,"买"))*1-AD118)</f>
        <v/>
      </c>
      <c r="AF118" s="45" t="str">
        <f>IF(AND(Y118="已平仓",ISNUMBER(L118)),(SUMIFS('成交明细'!$H$5:$H$804,'成交明细'!$A$5:$A$804,A118,'成交明细'!$D$5:$D$804,"卖")-SUMIFS('成交明细'!$H$5:$H$804,'成交明细'!$A$5:$A$804,A118,'成交明细'!$D$5:$D$804,"买"))*1/L118,"")</f>
        <v/>
      </c>
      <c r="AG118" s="45" t="str">
        <f>IF(AND(Y118="已平仓",ISNUMBER(L118)),AE118/L118,"")</f>
        <v/>
      </c>
      <c r="AH118" s="46" t="str">
        <f>IF(AND(ISNUMBER(V118),ISNUMBER(F118)),IF(E118="空",F118-V118,V118-F118),"")</f>
        <v/>
      </c>
      <c r="AI118" s="46" t="str">
        <f>IF(OR(NOT(ISNUMBER(AE118)),NOT(ISNUMBER(X118))),"",IF(AE118&lt;0,IF(E118="空",X118-G118,G118-X118),IF(NOT(ISNUMBER(H118)),"",IF(E118="空",X118-H118,H118-X118))))</f>
        <v/>
      </c>
      <c r="AJ118" s="32" t="n"/>
      <c r="AK118" s="32" t="n"/>
      <c r="AL118" s="31" t="n"/>
      <c r="AM118" s="45" t="str">
        <f>IF(A118="","",SUM(AG$5:AG118))</f>
        <v/>
      </c>
      <c r="AN118" s="37" t="str">
        <f>IF(A118="","",MAX(0,MAX(AM$5:AM118))-AM118)</f>
        <v/>
      </c>
    </row>
    <row r="119">
      <c r="A119" s="29" t="n"/>
      <c r="B119" s="30" t="n"/>
      <c r="C119" s="31" t="n"/>
      <c r="D119" s="32" t="n"/>
      <c r="E119" s="32" t="n"/>
      <c r="F119" s="33" t="n"/>
      <c r="G119" s="33" t="n"/>
      <c r="H119" s="33" t="n"/>
      <c r="I119" s="34" t="str">
        <f>IF(AND(ISNUMBER(F119),ISNUMBER(G119),ISNUMBER(H119)),IF(OR(AND(E119="多",F119&gt;G119),AND(E119="空",F119&lt;G119)),ABS(H119-F119)/ABS(F119-G119),"止损方向不对"),"")</f>
        <v/>
      </c>
      <c r="J119" s="35" t="str">
        <f>IF(AND(ISNUMBER(F119),ISNUMBER(G119)),IF(F119=G119,"",IF(INT(ROUND('参数'!$C$7/(ABS(F119-G119)*1+2*'参数'!$C$11+N('参数'!$C$14)*F119+N('参数'!$C$15))/1,6))*1&gt;0,INT(ROUND('参数'!$C$7/(ABS(F119-G119)*1+2*'参数'!$C$11+N('参数'!$C$14)*F119+N('参数'!$C$15))/1,6))*1,"预算不足，这笔不做")),"")</f>
        <v/>
      </c>
      <c r="K119" s="36" t="n"/>
      <c r="L119" s="20" t="str">
        <f>IF(AND(ISNUMBER(F119),ISNUMBER(G119),ISNUMBER(K119)),IF(AND(F119&lt;&gt;G119,K119&gt;0),ABS(F119-G119)*K119*1,""),"")</f>
        <v/>
      </c>
      <c r="M119" s="30" t="n"/>
      <c r="N119" s="37" t="str">
        <f>IF(AND(ISNUMBER(L119),ISNUMBER(M119)),IF(E119="空",(G119*(1+'参数'!$C$17)-F119),(F119-G119*(1-'参数'!$C$17)))*K119/L119,"")</f>
        <v/>
      </c>
      <c r="O119" s="38" t="n"/>
      <c r="P119" s="31" t="n"/>
      <c r="Q119" s="32" t="n"/>
      <c r="R119" s="39" t="str">
        <f>IF(N(U119)&gt;0,SUMPRODUCT(LARGE(('成交明细'!$A$5:$A$804=A119)*('成交明细'!$D$5:$D$804=IF(E119="空","卖","买"))*'成交明细'!$B$5:$B$804,COUNTIFS('成交明细'!$A$5:$A$804,A119,'成交明细'!$D$5:$D$804,IF(E119="空","卖","买")))),"")</f>
        <v/>
      </c>
      <c r="S119" s="39" t="str">
        <f>IF(AND(N(U119)&gt;0,N(W119)&gt;=N(U119)),SUMPRODUCT(MAX(('成交明细'!$A$5:$A$804=A119)*('成交明细'!$D$5:$D$804=IF(E119="空","买","卖"))*'成交明细'!$B$5:$B$804)),"")</f>
        <v/>
      </c>
      <c r="T119" s="32" t="n"/>
      <c r="U119" s="35" t="str">
        <f>IF(A119="","",SUMIFS('成交明细'!$F$5:$F$804,'成交明细'!$A$5:$A$804,A119,'成交明细'!$D$5:$D$804,IF(E119="空","卖","买")))</f>
        <v/>
      </c>
      <c r="V119" s="40" t="str">
        <f>IF(N(U119)&gt;0,SUMIFS('成交明细'!$H$5:$H$804,'成交明细'!$A$5:$A$804,A119,'成交明细'!$D$5:$D$804,IF(E119="空","卖","买"))/U119,"")</f>
        <v/>
      </c>
      <c r="W119" s="35" t="str">
        <f>IF(A119="","",SUMIFS('成交明细'!$F$5:$F$804,'成交明细'!$A$5:$A$804,A119,'成交明细'!$D$5:$D$804,IF(E119="空","买","卖")))</f>
        <v/>
      </c>
      <c r="X119" s="40" t="str">
        <f>IF(N(W119)&gt;0,SUMIFS('成交明细'!$H$5:$H$804,'成交明细'!$A$5:$A$804,A119,'成交明细'!$D$5:$D$804,IF(E119="空","买","卖"))/W119,"")</f>
        <v/>
      </c>
      <c r="Y119" s="41" t="str">
        <f>IF(A119="","",IF(Q119&lt;&gt;"已执行",IF(Q119="","未填执行情况",Q119),IF(N(U119)=0,"待录成交",IF(N(W119)&gt;N(U119),"平仓多于开仓",IF(N(W119)&lt;N(U119),"持仓中","已平仓")))))</f>
        <v/>
      </c>
      <c r="Z119" s="41" t="str">
        <f>IF(AND(ISNUMBER(R119),ISNUMBER(S119)),IF(R119=S119,"日内",""),"")</f>
        <v/>
      </c>
      <c r="AA119" s="42" t="str">
        <f>IF(Z119&lt;&gt;"日内","",COUNTIFS($Z$5:$Z$304,"日内",$S$5:$S$304,"&gt;"&amp;WORKDAY(S119,-5),$S$5:$S$304,"&lt;="&amp;S119))</f>
        <v/>
      </c>
      <c r="AB119" s="41" t="str">
        <f>IF(OR(NOT(ISNUMBER(M119)),NOT(ISNUMBER(R119))),"",IF(AND(M119&gt;=R119,OR(NOT(ISNUMBER(S119)),M119&lt;=S119)),"持仓跨财报",""))</f>
        <v/>
      </c>
      <c r="AC119" s="20">
        <f>IF(AND(E119="空",ISNUMBER(O119),ISNUMBER(S119)),ROUND(O119*(S119-R119)/360*V119*U119,2),0)</f>
        <v>0</v>
      </c>
      <c r="AD119" s="43" t="str">
        <f>IF(N(U119)=0,"",SUMIFS('成交明细'!$L$5:$L$804,'成交明细'!$A$5:$A$804,A119)+AC119)</f>
        <v/>
      </c>
      <c r="AE119" s="44" t="str">
        <f>IF(Y119&lt;&gt;"已平仓","",(SUMIFS('成交明细'!$H$5:$H$804,'成交明细'!$A$5:$A$804,A119,'成交明细'!$D$5:$D$804,"卖")-SUMIFS('成交明细'!$H$5:$H$804,'成交明细'!$A$5:$A$804,A119,'成交明细'!$D$5:$D$804,"买"))*1-AD119)</f>
        <v/>
      </c>
      <c r="AF119" s="45" t="str">
        <f>IF(AND(Y119="已平仓",ISNUMBER(L119)),(SUMIFS('成交明细'!$H$5:$H$804,'成交明细'!$A$5:$A$804,A119,'成交明细'!$D$5:$D$804,"卖")-SUMIFS('成交明细'!$H$5:$H$804,'成交明细'!$A$5:$A$804,A119,'成交明细'!$D$5:$D$804,"买"))*1/L119,"")</f>
        <v/>
      </c>
      <c r="AG119" s="45" t="str">
        <f>IF(AND(Y119="已平仓",ISNUMBER(L119)),AE119/L119,"")</f>
        <v/>
      </c>
      <c r="AH119" s="46" t="str">
        <f>IF(AND(ISNUMBER(V119),ISNUMBER(F119)),IF(E119="空",F119-V119,V119-F119),"")</f>
        <v/>
      </c>
      <c r="AI119" s="46" t="str">
        <f>IF(OR(NOT(ISNUMBER(AE119)),NOT(ISNUMBER(X119))),"",IF(AE119&lt;0,IF(E119="空",X119-G119,G119-X119),IF(NOT(ISNUMBER(H119)),"",IF(E119="空",X119-H119,H119-X119))))</f>
        <v/>
      </c>
      <c r="AJ119" s="32" t="n"/>
      <c r="AK119" s="32" t="n"/>
      <c r="AL119" s="31" t="n"/>
      <c r="AM119" s="45" t="str">
        <f>IF(A119="","",SUM(AG$5:AG119))</f>
        <v/>
      </c>
      <c r="AN119" s="37" t="str">
        <f>IF(A119="","",MAX(0,MAX(AM$5:AM119))-AM119)</f>
        <v/>
      </c>
    </row>
    <row r="120">
      <c r="A120" s="29" t="n"/>
      <c r="B120" s="30" t="n"/>
      <c r="C120" s="31" t="n"/>
      <c r="D120" s="32" t="n"/>
      <c r="E120" s="32" t="n"/>
      <c r="F120" s="33" t="n"/>
      <c r="G120" s="33" t="n"/>
      <c r="H120" s="33" t="n"/>
      <c r="I120" s="34" t="str">
        <f>IF(AND(ISNUMBER(F120),ISNUMBER(G120),ISNUMBER(H120)),IF(OR(AND(E120="多",F120&gt;G120),AND(E120="空",F120&lt;G120)),ABS(H120-F120)/ABS(F120-G120),"止损方向不对"),"")</f>
        <v/>
      </c>
      <c r="J120" s="35" t="str">
        <f>IF(AND(ISNUMBER(F120),ISNUMBER(G120)),IF(F120=G120,"",IF(INT(ROUND('参数'!$C$7/(ABS(F120-G120)*1+2*'参数'!$C$11+N('参数'!$C$14)*F120+N('参数'!$C$15))/1,6))*1&gt;0,INT(ROUND('参数'!$C$7/(ABS(F120-G120)*1+2*'参数'!$C$11+N('参数'!$C$14)*F120+N('参数'!$C$15))/1,6))*1,"预算不足，这笔不做")),"")</f>
        <v/>
      </c>
      <c r="K120" s="36" t="n"/>
      <c r="L120" s="20" t="str">
        <f>IF(AND(ISNUMBER(F120),ISNUMBER(G120),ISNUMBER(K120)),IF(AND(F120&lt;&gt;G120,K120&gt;0),ABS(F120-G120)*K120*1,""),"")</f>
        <v/>
      </c>
      <c r="M120" s="30" t="n"/>
      <c r="N120" s="37" t="str">
        <f>IF(AND(ISNUMBER(L120),ISNUMBER(M120)),IF(E120="空",(G120*(1+'参数'!$C$17)-F120),(F120-G120*(1-'参数'!$C$17)))*K120/L120,"")</f>
        <v/>
      </c>
      <c r="O120" s="38" t="n"/>
      <c r="P120" s="31" t="n"/>
      <c r="Q120" s="32" t="n"/>
      <c r="R120" s="39" t="str">
        <f>IF(N(U120)&gt;0,SUMPRODUCT(LARGE(('成交明细'!$A$5:$A$804=A120)*('成交明细'!$D$5:$D$804=IF(E120="空","卖","买"))*'成交明细'!$B$5:$B$804,COUNTIFS('成交明细'!$A$5:$A$804,A120,'成交明细'!$D$5:$D$804,IF(E120="空","卖","买")))),"")</f>
        <v/>
      </c>
      <c r="S120" s="39" t="str">
        <f>IF(AND(N(U120)&gt;0,N(W120)&gt;=N(U120)),SUMPRODUCT(MAX(('成交明细'!$A$5:$A$804=A120)*('成交明细'!$D$5:$D$804=IF(E120="空","买","卖"))*'成交明细'!$B$5:$B$804)),"")</f>
        <v/>
      </c>
      <c r="T120" s="32" t="n"/>
      <c r="U120" s="35" t="str">
        <f>IF(A120="","",SUMIFS('成交明细'!$F$5:$F$804,'成交明细'!$A$5:$A$804,A120,'成交明细'!$D$5:$D$804,IF(E120="空","卖","买")))</f>
        <v/>
      </c>
      <c r="V120" s="40" t="str">
        <f>IF(N(U120)&gt;0,SUMIFS('成交明细'!$H$5:$H$804,'成交明细'!$A$5:$A$804,A120,'成交明细'!$D$5:$D$804,IF(E120="空","卖","买"))/U120,"")</f>
        <v/>
      </c>
      <c r="W120" s="35" t="str">
        <f>IF(A120="","",SUMIFS('成交明细'!$F$5:$F$804,'成交明细'!$A$5:$A$804,A120,'成交明细'!$D$5:$D$804,IF(E120="空","买","卖")))</f>
        <v/>
      </c>
      <c r="X120" s="40" t="str">
        <f>IF(N(W120)&gt;0,SUMIFS('成交明细'!$H$5:$H$804,'成交明细'!$A$5:$A$804,A120,'成交明细'!$D$5:$D$804,IF(E120="空","买","卖"))/W120,"")</f>
        <v/>
      </c>
      <c r="Y120" s="41" t="str">
        <f>IF(A120="","",IF(Q120&lt;&gt;"已执行",IF(Q120="","未填执行情况",Q120),IF(N(U120)=0,"待录成交",IF(N(W120)&gt;N(U120),"平仓多于开仓",IF(N(W120)&lt;N(U120),"持仓中","已平仓")))))</f>
        <v/>
      </c>
      <c r="Z120" s="41" t="str">
        <f>IF(AND(ISNUMBER(R120),ISNUMBER(S120)),IF(R120=S120,"日内",""),"")</f>
        <v/>
      </c>
      <c r="AA120" s="42" t="str">
        <f>IF(Z120&lt;&gt;"日内","",COUNTIFS($Z$5:$Z$304,"日内",$S$5:$S$304,"&gt;"&amp;WORKDAY(S120,-5),$S$5:$S$304,"&lt;="&amp;S120))</f>
        <v/>
      </c>
      <c r="AB120" s="41" t="str">
        <f>IF(OR(NOT(ISNUMBER(M120)),NOT(ISNUMBER(R120))),"",IF(AND(M120&gt;=R120,OR(NOT(ISNUMBER(S120)),M120&lt;=S120)),"持仓跨财报",""))</f>
        <v/>
      </c>
      <c r="AC120" s="20">
        <f>IF(AND(E120="空",ISNUMBER(O120),ISNUMBER(S120)),ROUND(O120*(S120-R120)/360*V120*U120,2),0)</f>
        <v>0</v>
      </c>
      <c r="AD120" s="43" t="str">
        <f>IF(N(U120)=0,"",SUMIFS('成交明细'!$L$5:$L$804,'成交明细'!$A$5:$A$804,A120)+AC120)</f>
        <v/>
      </c>
      <c r="AE120" s="44" t="str">
        <f>IF(Y120&lt;&gt;"已平仓","",(SUMIFS('成交明细'!$H$5:$H$804,'成交明细'!$A$5:$A$804,A120,'成交明细'!$D$5:$D$804,"卖")-SUMIFS('成交明细'!$H$5:$H$804,'成交明细'!$A$5:$A$804,A120,'成交明细'!$D$5:$D$804,"买"))*1-AD120)</f>
        <v/>
      </c>
      <c r="AF120" s="45" t="str">
        <f>IF(AND(Y120="已平仓",ISNUMBER(L120)),(SUMIFS('成交明细'!$H$5:$H$804,'成交明细'!$A$5:$A$804,A120,'成交明细'!$D$5:$D$804,"卖")-SUMIFS('成交明细'!$H$5:$H$804,'成交明细'!$A$5:$A$804,A120,'成交明细'!$D$5:$D$804,"买"))*1/L120,"")</f>
        <v/>
      </c>
      <c r="AG120" s="45" t="str">
        <f>IF(AND(Y120="已平仓",ISNUMBER(L120)),AE120/L120,"")</f>
        <v/>
      </c>
      <c r="AH120" s="46" t="str">
        <f>IF(AND(ISNUMBER(V120),ISNUMBER(F120)),IF(E120="空",F120-V120,V120-F120),"")</f>
        <v/>
      </c>
      <c r="AI120" s="46" t="str">
        <f>IF(OR(NOT(ISNUMBER(AE120)),NOT(ISNUMBER(X120))),"",IF(AE120&lt;0,IF(E120="空",X120-G120,G120-X120),IF(NOT(ISNUMBER(H120)),"",IF(E120="空",X120-H120,H120-X120))))</f>
        <v/>
      </c>
      <c r="AJ120" s="32" t="n"/>
      <c r="AK120" s="32" t="n"/>
      <c r="AL120" s="31" t="n"/>
      <c r="AM120" s="45" t="str">
        <f>IF(A120="","",SUM(AG$5:AG120))</f>
        <v/>
      </c>
      <c r="AN120" s="37" t="str">
        <f>IF(A120="","",MAX(0,MAX(AM$5:AM120))-AM120)</f>
        <v/>
      </c>
    </row>
    <row r="121">
      <c r="A121" s="29" t="n"/>
      <c r="B121" s="30" t="n"/>
      <c r="C121" s="31" t="n"/>
      <c r="D121" s="32" t="n"/>
      <c r="E121" s="32" t="n"/>
      <c r="F121" s="33" t="n"/>
      <c r="G121" s="33" t="n"/>
      <c r="H121" s="33" t="n"/>
      <c r="I121" s="34" t="str">
        <f>IF(AND(ISNUMBER(F121),ISNUMBER(G121),ISNUMBER(H121)),IF(OR(AND(E121="多",F121&gt;G121),AND(E121="空",F121&lt;G121)),ABS(H121-F121)/ABS(F121-G121),"止损方向不对"),"")</f>
        <v/>
      </c>
      <c r="J121" s="35" t="str">
        <f>IF(AND(ISNUMBER(F121),ISNUMBER(G121)),IF(F121=G121,"",IF(INT(ROUND('参数'!$C$7/(ABS(F121-G121)*1+2*'参数'!$C$11+N('参数'!$C$14)*F121+N('参数'!$C$15))/1,6))*1&gt;0,INT(ROUND('参数'!$C$7/(ABS(F121-G121)*1+2*'参数'!$C$11+N('参数'!$C$14)*F121+N('参数'!$C$15))/1,6))*1,"预算不足，这笔不做")),"")</f>
        <v/>
      </c>
      <c r="K121" s="36" t="n"/>
      <c r="L121" s="20" t="str">
        <f>IF(AND(ISNUMBER(F121),ISNUMBER(G121),ISNUMBER(K121)),IF(AND(F121&lt;&gt;G121,K121&gt;0),ABS(F121-G121)*K121*1,""),"")</f>
        <v/>
      </c>
      <c r="M121" s="30" t="n"/>
      <c r="N121" s="37" t="str">
        <f>IF(AND(ISNUMBER(L121),ISNUMBER(M121)),IF(E121="空",(G121*(1+'参数'!$C$17)-F121),(F121-G121*(1-'参数'!$C$17)))*K121/L121,"")</f>
        <v/>
      </c>
      <c r="O121" s="38" t="n"/>
      <c r="P121" s="31" t="n"/>
      <c r="Q121" s="32" t="n"/>
      <c r="R121" s="39" t="str">
        <f>IF(N(U121)&gt;0,SUMPRODUCT(LARGE(('成交明细'!$A$5:$A$804=A121)*('成交明细'!$D$5:$D$804=IF(E121="空","卖","买"))*'成交明细'!$B$5:$B$804,COUNTIFS('成交明细'!$A$5:$A$804,A121,'成交明细'!$D$5:$D$804,IF(E121="空","卖","买")))),"")</f>
        <v/>
      </c>
      <c r="S121" s="39" t="str">
        <f>IF(AND(N(U121)&gt;0,N(W121)&gt;=N(U121)),SUMPRODUCT(MAX(('成交明细'!$A$5:$A$804=A121)*('成交明细'!$D$5:$D$804=IF(E121="空","买","卖"))*'成交明细'!$B$5:$B$804)),"")</f>
        <v/>
      </c>
      <c r="T121" s="32" t="n"/>
      <c r="U121" s="35" t="str">
        <f>IF(A121="","",SUMIFS('成交明细'!$F$5:$F$804,'成交明细'!$A$5:$A$804,A121,'成交明细'!$D$5:$D$804,IF(E121="空","卖","买")))</f>
        <v/>
      </c>
      <c r="V121" s="40" t="str">
        <f>IF(N(U121)&gt;0,SUMIFS('成交明细'!$H$5:$H$804,'成交明细'!$A$5:$A$804,A121,'成交明细'!$D$5:$D$804,IF(E121="空","卖","买"))/U121,"")</f>
        <v/>
      </c>
      <c r="W121" s="35" t="str">
        <f>IF(A121="","",SUMIFS('成交明细'!$F$5:$F$804,'成交明细'!$A$5:$A$804,A121,'成交明细'!$D$5:$D$804,IF(E121="空","买","卖")))</f>
        <v/>
      </c>
      <c r="X121" s="40" t="str">
        <f>IF(N(W121)&gt;0,SUMIFS('成交明细'!$H$5:$H$804,'成交明细'!$A$5:$A$804,A121,'成交明细'!$D$5:$D$804,IF(E121="空","买","卖"))/W121,"")</f>
        <v/>
      </c>
      <c r="Y121" s="41" t="str">
        <f>IF(A121="","",IF(Q121&lt;&gt;"已执行",IF(Q121="","未填执行情况",Q121),IF(N(U121)=0,"待录成交",IF(N(W121)&gt;N(U121),"平仓多于开仓",IF(N(W121)&lt;N(U121),"持仓中","已平仓")))))</f>
        <v/>
      </c>
      <c r="Z121" s="41" t="str">
        <f>IF(AND(ISNUMBER(R121),ISNUMBER(S121)),IF(R121=S121,"日内",""),"")</f>
        <v/>
      </c>
      <c r="AA121" s="42" t="str">
        <f>IF(Z121&lt;&gt;"日内","",COUNTIFS($Z$5:$Z$304,"日内",$S$5:$S$304,"&gt;"&amp;WORKDAY(S121,-5),$S$5:$S$304,"&lt;="&amp;S121))</f>
        <v/>
      </c>
      <c r="AB121" s="41" t="str">
        <f>IF(OR(NOT(ISNUMBER(M121)),NOT(ISNUMBER(R121))),"",IF(AND(M121&gt;=R121,OR(NOT(ISNUMBER(S121)),M121&lt;=S121)),"持仓跨财报",""))</f>
        <v/>
      </c>
      <c r="AC121" s="20">
        <f>IF(AND(E121="空",ISNUMBER(O121),ISNUMBER(S121)),ROUND(O121*(S121-R121)/360*V121*U121,2),0)</f>
        <v>0</v>
      </c>
      <c r="AD121" s="43" t="str">
        <f>IF(N(U121)=0,"",SUMIFS('成交明细'!$L$5:$L$804,'成交明细'!$A$5:$A$804,A121)+AC121)</f>
        <v/>
      </c>
      <c r="AE121" s="44" t="str">
        <f>IF(Y121&lt;&gt;"已平仓","",(SUMIFS('成交明细'!$H$5:$H$804,'成交明细'!$A$5:$A$804,A121,'成交明细'!$D$5:$D$804,"卖")-SUMIFS('成交明细'!$H$5:$H$804,'成交明细'!$A$5:$A$804,A121,'成交明细'!$D$5:$D$804,"买"))*1-AD121)</f>
        <v/>
      </c>
      <c r="AF121" s="45" t="str">
        <f>IF(AND(Y121="已平仓",ISNUMBER(L121)),(SUMIFS('成交明细'!$H$5:$H$804,'成交明细'!$A$5:$A$804,A121,'成交明细'!$D$5:$D$804,"卖")-SUMIFS('成交明细'!$H$5:$H$804,'成交明细'!$A$5:$A$804,A121,'成交明细'!$D$5:$D$804,"买"))*1/L121,"")</f>
        <v/>
      </c>
      <c r="AG121" s="45" t="str">
        <f>IF(AND(Y121="已平仓",ISNUMBER(L121)),AE121/L121,"")</f>
        <v/>
      </c>
      <c r="AH121" s="46" t="str">
        <f>IF(AND(ISNUMBER(V121),ISNUMBER(F121)),IF(E121="空",F121-V121,V121-F121),"")</f>
        <v/>
      </c>
      <c r="AI121" s="46" t="str">
        <f>IF(OR(NOT(ISNUMBER(AE121)),NOT(ISNUMBER(X121))),"",IF(AE121&lt;0,IF(E121="空",X121-G121,G121-X121),IF(NOT(ISNUMBER(H121)),"",IF(E121="空",X121-H121,H121-X121))))</f>
        <v/>
      </c>
      <c r="AJ121" s="32" t="n"/>
      <c r="AK121" s="32" t="n"/>
      <c r="AL121" s="31" t="n"/>
      <c r="AM121" s="45" t="str">
        <f>IF(A121="","",SUM(AG$5:AG121))</f>
        <v/>
      </c>
      <c r="AN121" s="37" t="str">
        <f>IF(A121="","",MAX(0,MAX(AM$5:AM121))-AM121)</f>
        <v/>
      </c>
    </row>
    <row r="122">
      <c r="A122" s="29" t="n"/>
      <c r="B122" s="30" t="n"/>
      <c r="C122" s="31" t="n"/>
      <c r="D122" s="32" t="n"/>
      <c r="E122" s="32" t="n"/>
      <c r="F122" s="33" t="n"/>
      <c r="G122" s="33" t="n"/>
      <c r="H122" s="33" t="n"/>
      <c r="I122" s="34" t="str">
        <f>IF(AND(ISNUMBER(F122),ISNUMBER(G122),ISNUMBER(H122)),IF(OR(AND(E122="多",F122&gt;G122),AND(E122="空",F122&lt;G122)),ABS(H122-F122)/ABS(F122-G122),"止损方向不对"),"")</f>
        <v/>
      </c>
      <c r="J122" s="35" t="str">
        <f>IF(AND(ISNUMBER(F122),ISNUMBER(G122)),IF(F122=G122,"",IF(INT(ROUND('参数'!$C$7/(ABS(F122-G122)*1+2*'参数'!$C$11+N('参数'!$C$14)*F122+N('参数'!$C$15))/1,6))*1&gt;0,INT(ROUND('参数'!$C$7/(ABS(F122-G122)*1+2*'参数'!$C$11+N('参数'!$C$14)*F122+N('参数'!$C$15))/1,6))*1,"预算不足，这笔不做")),"")</f>
        <v/>
      </c>
      <c r="K122" s="36" t="n"/>
      <c r="L122" s="20" t="str">
        <f>IF(AND(ISNUMBER(F122),ISNUMBER(G122),ISNUMBER(K122)),IF(AND(F122&lt;&gt;G122,K122&gt;0),ABS(F122-G122)*K122*1,""),"")</f>
        <v/>
      </c>
      <c r="M122" s="30" t="n"/>
      <c r="N122" s="37" t="str">
        <f>IF(AND(ISNUMBER(L122),ISNUMBER(M122)),IF(E122="空",(G122*(1+'参数'!$C$17)-F122),(F122-G122*(1-'参数'!$C$17)))*K122/L122,"")</f>
        <v/>
      </c>
      <c r="O122" s="38" t="n"/>
      <c r="P122" s="31" t="n"/>
      <c r="Q122" s="32" t="n"/>
      <c r="R122" s="39" t="str">
        <f>IF(N(U122)&gt;0,SUMPRODUCT(LARGE(('成交明细'!$A$5:$A$804=A122)*('成交明细'!$D$5:$D$804=IF(E122="空","卖","买"))*'成交明细'!$B$5:$B$804,COUNTIFS('成交明细'!$A$5:$A$804,A122,'成交明细'!$D$5:$D$804,IF(E122="空","卖","买")))),"")</f>
        <v/>
      </c>
      <c r="S122" s="39" t="str">
        <f>IF(AND(N(U122)&gt;0,N(W122)&gt;=N(U122)),SUMPRODUCT(MAX(('成交明细'!$A$5:$A$804=A122)*('成交明细'!$D$5:$D$804=IF(E122="空","买","卖"))*'成交明细'!$B$5:$B$804)),"")</f>
        <v/>
      </c>
      <c r="T122" s="32" t="n"/>
      <c r="U122" s="35" t="str">
        <f>IF(A122="","",SUMIFS('成交明细'!$F$5:$F$804,'成交明细'!$A$5:$A$804,A122,'成交明细'!$D$5:$D$804,IF(E122="空","卖","买")))</f>
        <v/>
      </c>
      <c r="V122" s="40" t="str">
        <f>IF(N(U122)&gt;0,SUMIFS('成交明细'!$H$5:$H$804,'成交明细'!$A$5:$A$804,A122,'成交明细'!$D$5:$D$804,IF(E122="空","卖","买"))/U122,"")</f>
        <v/>
      </c>
      <c r="W122" s="35" t="str">
        <f>IF(A122="","",SUMIFS('成交明细'!$F$5:$F$804,'成交明细'!$A$5:$A$804,A122,'成交明细'!$D$5:$D$804,IF(E122="空","买","卖")))</f>
        <v/>
      </c>
      <c r="X122" s="40" t="str">
        <f>IF(N(W122)&gt;0,SUMIFS('成交明细'!$H$5:$H$804,'成交明细'!$A$5:$A$804,A122,'成交明细'!$D$5:$D$804,IF(E122="空","买","卖"))/W122,"")</f>
        <v/>
      </c>
      <c r="Y122" s="41" t="str">
        <f>IF(A122="","",IF(Q122&lt;&gt;"已执行",IF(Q122="","未填执行情况",Q122),IF(N(U122)=0,"待录成交",IF(N(W122)&gt;N(U122),"平仓多于开仓",IF(N(W122)&lt;N(U122),"持仓中","已平仓")))))</f>
        <v/>
      </c>
      <c r="Z122" s="41" t="str">
        <f>IF(AND(ISNUMBER(R122),ISNUMBER(S122)),IF(R122=S122,"日内",""),"")</f>
        <v/>
      </c>
      <c r="AA122" s="42" t="str">
        <f>IF(Z122&lt;&gt;"日内","",COUNTIFS($Z$5:$Z$304,"日内",$S$5:$S$304,"&gt;"&amp;WORKDAY(S122,-5),$S$5:$S$304,"&lt;="&amp;S122))</f>
        <v/>
      </c>
      <c r="AB122" s="41" t="str">
        <f>IF(OR(NOT(ISNUMBER(M122)),NOT(ISNUMBER(R122))),"",IF(AND(M122&gt;=R122,OR(NOT(ISNUMBER(S122)),M122&lt;=S122)),"持仓跨财报",""))</f>
        <v/>
      </c>
      <c r="AC122" s="20">
        <f>IF(AND(E122="空",ISNUMBER(O122),ISNUMBER(S122)),ROUND(O122*(S122-R122)/360*V122*U122,2),0)</f>
        <v>0</v>
      </c>
      <c r="AD122" s="43" t="str">
        <f>IF(N(U122)=0,"",SUMIFS('成交明细'!$L$5:$L$804,'成交明细'!$A$5:$A$804,A122)+AC122)</f>
        <v/>
      </c>
      <c r="AE122" s="44" t="str">
        <f>IF(Y122&lt;&gt;"已平仓","",(SUMIFS('成交明细'!$H$5:$H$804,'成交明细'!$A$5:$A$804,A122,'成交明细'!$D$5:$D$804,"卖")-SUMIFS('成交明细'!$H$5:$H$804,'成交明细'!$A$5:$A$804,A122,'成交明细'!$D$5:$D$804,"买"))*1-AD122)</f>
        <v/>
      </c>
      <c r="AF122" s="45" t="str">
        <f>IF(AND(Y122="已平仓",ISNUMBER(L122)),(SUMIFS('成交明细'!$H$5:$H$804,'成交明细'!$A$5:$A$804,A122,'成交明细'!$D$5:$D$804,"卖")-SUMIFS('成交明细'!$H$5:$H$804,'成交明细'!$A$5:$A$804,A122,'成交明细'!$D$5:$D$804,"买"))*1/L122,"")</f>
        <v/>
      </c>
      <c r="AG122" s="45" t="str">
        <f>IF(AND(Y122="已平仓",ISNUMBER(L122)),AE122/L122,"")</f>
        <v/>
      </c>
      <c r="AH122" s="46" t="str">
        <f>IF(AND(ISNUMBER(V122),ISNUMBER(F122)),IF(E122="空",F122-V122,V122-F122),"")</f>
        <v/>
      </c>
      <c r="AI122" s="46" t="str">
        <f>IF(OR(NOT(ISNUMBER(AE122)),NOT(ISNUMBER(X122))),"",IF(AE122&lt;0,IF(E122="空",X122-G122,G122-X122),IF(NOT(ISNUMBER(H122)),"",IF(E122="空",X122-H122,H122-X122))))</f>
        <v/>
      </c>
      <c r="AJ122" s="32" t="n"/>
      <c r="AK122" s="32" t="n"/>
      <c r="AL122" s="31" t="n"/>
      <c r="AM122" s="45" t="str">
        <f>IF(A122="","",SUM(AG$5:AG122))</f>
        <v/>
      </c>
      <c r="AN122" s="37" t="str">
        <f>IF(A122="","",MAX(0,MAX(AM$5:AM122))-AM122)</f>
        <v/>
      </c>
    </row>
    <row r="123">
      <c r="A123" s="29" t="n"/>
      <c r="B123" s="30" t="n"/>
      <c r="C123" s="31" t="n"/>
      <c r="D123" s="32" t="n"/>
      <c r="E123" s="32" t="n"/>
      <c r="F123" s="33" t="n"/>
      <c r="G123" s="33" t="n"/>
      <c r="H123" s="33" t="n"/>
      <c r="I123" s="34" t="str">
        <f>IF(AND(ISNUMBER(F123),ISNUMBER(G123),ISNUMBER(H123)),IF(OR(AND(E123="多",F123&gt;G123),AND(E123="空",F123&lt;G123)),ABS(H123-F123)/ABS(F123-G123),"止损方向不对"),"")</f>
        <v/>
      </c>
      <c r="J123" s="35" t="str">
        <f>IF(AND(ISNUMBER(F123),ISNUMBER(G123)),IF(F123=G123,"",IF(INT(ROUND('参数'!$C$7/(ABS(F123-G123)*1+2*'参数'!$C$11+N('参数'!$C$14)*F123+N('参数'!$C$15))/1,6))*1&gt;0,INT(ROUND('参数'!$C$7/(ABS(F123-G123)*1+2*'参数'!$C$11+N('参数'!$C$14)*F123+N('参数'!$C$15))/1,6))*1,"预算不足，这笔不做")),"")</f>
        <v/>
      </c>
      <c r="K123" s="36" t="n"/>
      <c r="L123" s="20" t="str">
        <f>IF(AND(ISNUMBER(F123),ISNUMBER(G123),ISNUMBER(K123)),IF(AND(F123&lt;&gt;G123,K123&gt;0),ABS(F123-G123)*K123*1,""),"")</f>
        <v/>
      </c>
      <c r="M123" s="30" t="n"/>
      <c r="N123" s="37" t="str">
        <f>IF(AND(ISNUMBER(L123),ISNUMBER(M123)),IF(E123="空",(G123*(1+'参数'!$C$17)-F123),(F123-G123*(1-'参数'!$C$17)))*K123/L123,"")</f>
        <v/>
      </c>
      <c r="O123" s="38" t="n"/>
      <c r="P123" s="31" t="n"/>
      <c r="Q123" s="32" t="n"/>
      <c r="R123" s="39" t="str">
        <f>IF(N(U123)&gt;0,SUMPRODUCT(LARGE(('成交明细'!$A$5:$A$804=A123)*('成交明细'!$D$5:$D$804=IF(E123="空","卖","买"))*'成交明细'!$B$5:$B$804,COUNTIFS('成交明细'!$A$5:$A$804,A123,'成交明细'!$D$5:$D$804,IF(E123="空","卖","买")))),"")</f>
        <v/>
      </c>
      <c r="S123" s="39" t="str">
        <f>IF(AND(N(U123)&gt;0,N(W123)&gt;=N(U123)),SUMPRODUCT(MAX(('成交明细'!$A$5:$A$804=A123)*('成交明细'!$D$5:$D$804=IF(E123="空","买","卖"))*'成交明细'!$B$5:$B$804)),"")</f>
        <v/>
      </c>
      <c r="T123" s="32" t="n"/>
      <c r="U123" s="35" t="str">
        <f>IF(A123="","",SUMIFS('成交明细'!$F$5:$F$804,'成交明细'!$A$5:$A$804,A123,'成交明细'!$D$5:$D$804,IF(E123="空","卖","买")))</f>
        <v/>
      </c>
      <c r="V123" s="40" t="str">
        <f>IF(N(U123)&gt;0,SUMIFS('成交明细'!$H$5:$H$804,'成交明细'!$A$5:$A$804,A123,'成交明细'!$D$5:$D$804,IF(E123="空","卖","买"))/U123,"")</f>
        <v/>
      </c>
      <c r="W123" s="35" t="str">
        <f>IF(A123="","",SUMIFS('成交明细'!$F$5:$F$804,'成交明细'!$A$5:$A$804,A123,'成交明细'!$D$5:$D$804,IF(E123="空","买","卖")))</f>
        <v/>
      </c>
      <c r="X123" s="40" t="str">
        <f>IF(N(W123)&gt;0,SUMIFS('成交明细'!$H$5:$H$804,'成交明细'!$A$5:$A$804,A123,'成交明细'!$D$5:$D$804,IF(E123="空","买","卖"))/W123,"")</f>
        <v/>
      </c>
      <c r="Y123" s="41" t="str">
        <f>IF(A123="","",IF(Q123&lt;&gt;"已执行",IF(Q123="","未填执行情况",Q123),IF(N(U123)=0,"待录成交",IF(N(W123)&gt;N(U123),"平仓多于开仓",IF(N(W123)&lt;N(U123),"持仓中","已平仓")))))</f>
        <v/>
      </c>
      <c r="Z123" s="41" t="str">
        <f>IF(AND(ISNUMBER(R123),ISNUMBER(S123)),IF(R123=S123,"日内",""),"")</f>
        <v/>
      </c>
      <c r="AA123" s="42" t="str">
        <f>IF(Z123&lt;&gt;"日内","",COUNTIFS($Z$5:$Z$304,"日内",$S$5:$S$304,"&gt;"&amp;WORKDAY(S123,-5),$S$5:$S$304,"&lt;="&amp;S123))</f>
        <v/>
      </c>
      <c r="AB123" s="41" t="str">
        <f>IF(OR(NOT(ISNUMBER(M123)),NOT(ISNUMBER(R123))),"",IF(AND(M123&gt;=R123,OR(NOT(ISNUMBER(S123)),M123&lt;=S123)),"持仓跨财报",""))</f>
        <v/>
      </c>
      <c r="AC123" s="20">
        <f>IF(AND(E123="空",ISNUMBER(O123),ISNUMBER(S123)),ROUND(O123*(S123-R123)/360*V123*U123,2),0)</f>
        <v>0</v>
      </c>
      <c r="AD123" s="43" t="str">
        <f>IF(N(U123)=0,"",SUMIFS('成交明细'!$L$5:$L$804,'成交明细'!$A$5:$A$804,A123)+AC123)</f>
        <v/>
      </c>
      <c r="AE123" s="44" t="str">
        <f>IF(Y123&lt;&gt;"已平仓","",(SUMIFS('成交明细'!$H$5:$H$804,'成交明细'!$A$5:$A$804,A123,'成交明细'!$D$5:$D$804,"卖")-SUMIFS('成交明细'!$H$5:$H$804,'成交明细'!$A$5:$A$804,A123,'成交明细'!$D$5:$D$804,"买"))*1-AD123)</f>
        <v/>
      </c>
      <c r="AF123" s="45" t="str">
        <f>IF(AND(Y123="已平仓",ISNUMBER(L123)),(SUMIFS('成交明细'!$H$5:$H$804,'成交明细'!$A$5:$A$804,A123,'成交明细'!$D$5:$D$804,"卖")-SUMIFS('成交明细'!$H$5:$H$804,'成交明细'!$A$5:$A$804,A123,'成交明细'!$D$5:$D$804,"买"))*1/L123,"")</f>
        <v/>
      </c>
      <c r="AG123" s="45" t="str">
        <f>IF(AND(Y123="已平仓",ISNUMBER(L123)),AE123/L123,"")</f>
        <v/>
      </c>
      <c r="AH123" s="46" t="str">
        <f>IF(AND(ISNUMBER(V123),ISNUMBER(F123)),IF(E123="空",F123-V123,V123-F123),"")</f>
        <v/>
      </c>
      <c r="AI123" s="46" t="str">
        <f>IF(OR(NOT(ISNUMBER(AE123)),NOT(ISNUMBER(X123))),"",IF(AE123&lt;0,IF(E123="空",X123-G123,G123-X123),IF(NOT(ISNUMBER(H123)),"",IF(E123="空",X123-H123,H123-X123))))</f>
        <v/>
      </c>
      <c r="AJ123" s="32" t="n"/>
      <c r="AK123" s="32" t="n"/>
      <c r="AL123" s="31" t="n"/>
      <c r="AM123" s="45" t="str">
        <f>IF(A123="","",SUM(AG$5:AG123))</f>
        <v/>
      </c>
      <c r="AN123" s="37" t="str">
        <f>IF(A123="","",MAX(0,MAX(AM$5:AM123))-AM123)</f>
        <v/>
      </c>
    </row>
    <row r="124">
      <c r="A124" s="29" t="n"/>
      <c r="B124" s="30" t="n"/>
      <c r="C124" s="31" t="n"/>
      <c r="D124" s="32" t="n"/>
      <c r="E124" s="32" t="n"/>
      <c r="F124" s="33" t="n"/>
      <c r="G124" s="33" t="n"/>
      <c r="H124" s="33" t="n"/>
      <c r="I124" s="34" t="str">
        <f>IF(AND(ISNUMBER(F124),ISNUMBER(G124),ISNUMBER(H124)),IF(OR(AND(E124="多",F124&gt;G124),AND(E124="空",F124&lt;G124)),ABS(H124-F124)/ABS(F124-G124),"止损方向不对"),"")</f>
        <v/>
      </c>
      <c r="J124" s="35" t="str">
        <f>IF(AND(ISNUMBER(F124),ISNUMBER(G124)),IF(F124=G124,"",IF(INT(ROUND('参数'!$C$7/(ABS(F124-G124)*1+2*'参数'!$C$11+N('参数'!$C$14)*F124+N('参数'!$C$15))/1,6))*1&gt;0,INT(ROUND('参数'!$C$7/(ABS(F124-G124)*1+2*'参数'!$C$11+N('参数'!$C$14)*F124+N('参数'!$C$15))/1,6))*1,"预算不足，这笔不做")),"")</f>
        <v/>
      </c>
      <c r="K124" s="36" t="n"/>
      <c r="L124" s="20" t="str">
        <f>IF(AND(ISNUMBER(F124),ISNUMBER(G124),ISNUMBER(K124)),IF(AND(F124&lt;&gt;G124,K124&gt;0),ABS(F124-G124)*K124*1,""),"")</f>
        <v/>
      </c>
      <c r="M124" s="30" t="n"/>
      <c r="N124" s="37" t="str">
        <f>IF(AND(ISNUMBER(L124),ISNUMBER(M124)),IF(E124="空",(G124*(1+'参数'!$C$17)-F124),(F124-G124*(1-'参数'!$C$17)))*K124/L124,"")</f>
        <v/>
      </c>
      <c r="O124" s="38" t="n"/>
      <c r="P124" s="31" t="n"/>
      <c r="Q124" s="32" t="n"/>
      <c r="R124" s="39" t="str">
        <f>IF(N(U124)&gt;0,SUMPRODUCT(LARGE(('成交明细'!$A$5:$A$804=A124)*('成交明细'!$D$5:$D$804=IF(E124="空","卖","买"))*'成交明细'!$B$5:$B$804,COUNTIFS('成交明细'!$A$5:$A$804,A124,'成交明细'!$D$5:$D$804,IF(E124="空","卖","买")))),"")</f>
        <v/>
      </c>
      <c r="S124" s="39" t="str">
        <f>IF(AND(N(U124)&gt;0,N(W124)&gt;=N(U124)),SUMPRODUCT(MAX(('成交明细'!$A$5:$A$804=A124)*('成交明细'!$D$5:$D$804=IF(E124="空","买","卖"))*'成交明细'!$B$5:$B$804)),"")</f>
        <v/>
      </c>
      <c r="T124" s="32" t="n"/>
      <c r="U124" s="35" t="str">
        <f>IF(A124="","",SUMIFS('成交明细'!$F$5:$F$804,'成交明细'!$A$5:$A$804,A124,'成交明细'!$D$5:$D$804,IF(E124="空","卖","买")))</f>
        <v/>
      </c>
      <c r="V124" s="40" t="str">
        <f>IF(N(U124)&gt;0,SUMIFS('成交明细'!$H$5:$H$804,'成交明细'!$A$5:$A$804,A124,'成交明细'!$D$5:$D$804,IF(E124="空","卖","买"))/U124,"")</f>
        <v/>
      </c>
      <c r="W124" s="35" t="str">
        <f>IF(A124="","",SUMIFS('成交明细'!$F$5:$F$804,'成交明细'!$A$5:$A$804,A124,'成交明细'!$D$5:$D$804,IF(E124="空","买","卖")))</f>
        <v/>
      </c>
      <c r="X124" s="40" t="str">
        <f>IF(N(W124)&gt;0,SUMIFS('成交明细'!$H$5:$H$804,'成交明细'!$A$5:$A$804,A124,'成交明细'!$D$5:$D$804,IF(E124="空","买","卖"))/W124,"")</f>
        <v/>
      </c>
      <c r="Y124" s="41" t="str">
        <f>IF(A124="","",IF(Q124&lt;&gt;"已执行",IF(Q124="","未填执行情况",Q124),IF(N(U124)=0,"待录成交",IF(N(W124)&gt;N(U124),"平仓多于开仓",IF(N(W124)&lt;N(U124),"持仓中","已平仓")))))</f>
        <v/>
      </c>
      <c r="Z124" s="41" t="str">
        <f>IF(AND(ISNUMBER(R124),ISNUMBER(S124)),IF(R124=S124,"日内",""),"")</f>
        <v/>
      </c>
      <c r="AA124" s="42" t="str">
        <f>IF(Z124&lt;&gt;"日内","",COUNTIFS($Z$5:$Z$304,"日内",$S$5:$S$304,"&gt;"&amp;WORKDAY(S124,-5),$S$5:$S$304,"&lt;="&amp;S124))</f>
        <v/>
      </c>
      <c r="AB124" s="41" t="str">
        <f>IF(OR(NOT(ISNUMBER(M124)),NOT(ISNUMBER(R124))),"",IF(AND(M124&gt;=R124,OR(NOT(ISNUMBER(S124)),M124&lt;=S124)),"持仓跨财报",""))</f>
        <v/>
      </c>
      <c r="AC124" s="20">
        <f>IF(AND(E124="空",ISNUMBER(O124),ISNUMBER(S124)),ROUND(O124*(S124-R124)/360*V124*U124,2),0)</f>
        <v>0</v>
      </c>
      <c r="AD124" s="43" t="str">
        <f>IF(N(U124)=0,"",SUMIFS('成交明细'!$L$5:$L$804,'成交明细'!$A$5:$A$804,A124)+AC124)</f>
        <v/>
      </c>
      <c r="AE124" s="44" t="str">
        <f>IF(Y124&lt;&gt;"已平仓","",(SUMIFS('成交明细'!$H$5:$H$804,'成交明细'!$A$5:$A$804,A124,'成交明细'!$D$5:$D$804,"卖")-SUMIFS('成交明细'!$H$5:$H$804,'成交明细'!$A$5:$A$804,A124,'成交明细'!$D$5:$D$804,"买"))*1-AD124)</f>
        <v/>
      </c>
      <c r="AF124" s="45" t="str">
        <f>IF(AND(Y124="已平仓",ISNUMBER(L124)),(SUMIFS('成交明细'!$H$5:$H$804,'成交明细'!$A$5:$A$804,A124,'成交明细'!$D$5:$D$804,"卖")-SUMIFS('成交明细'!$H$5:$H$804,'成交明细'!$A$5:$A$804,A124,'成交明细'!$D$5:$D$804,"买"))*1/L124,"")</f>
        <v/>
      </c>
      <c r="AG124" s="45" t="str">
        <f>IF(AND(Y124="已平仓",ISNUMBER(L124)),AE124/L124,"")</f>
        <v/>
      </c>
      <c r="AH124" s="46" t="str">
        <f>IF(AND(ISNUMBER(V124),ISNUMBER(F124)),IF(E124="空",F124-V124,V124-F124),"")</f>
        <v/>
      </c>
      <c r="AI124" s="46" t="str">
        <f>IF(OR(NOT(ISNUMBER(AE124)),NOT(ISNUMBER(X124))),"",IF(AE124&lt;0,IF(E124="空",X124-G124,G124-X124),IF(NOT(ISNUMBER(H124)),"",IF(E124="空",X124-H124,H124-X124))))</f>
        <v/>
      </c>
      <c r="AJ124" s="32" t="n"/>
      <c r="AK124" s="32" t="n"/>
      <c r="AL124" s="31" t="n"/>
      <c r="AM124" s="45" t="str">
        <f>IF(A124="","",SUM(AG$5:AG124))</f>
        <v/>
      </c>
      <c r="AN124" s="37" t="str">
        <f>IF(A124="","",MAX(0,MAX(AM$5:AM124))-AM124)</f>
        <v/>
      </c>
    </row>
    <row r="125">
      <c r="A125" s="29" t="n"/>
      <c r="B125" s="30" t="n"/>
      <c r="C125" s="31" t="n"/>
      <c r="D125" s="32" t="n"/>
      <c r="E125" s="32" t="n"/>
      <c r="F125" s="33" t="n"/>
      <c r="G125" s="33" t="n"/>
      <c r="H125" s="33" t="n"/>
      <c r="I125" s="34" t="str">
        <f>IF(AND(ISNUMBER(F125),ISNUMBER(G125),ISNUMBER(H125)),IF(OR(AND(E125="多",F125&gt;G125),AND(E125="空",F125&lt;G125)),ABS(H125-F125)/ABS(F125-G125),"止损方向不对"),"")</f>
        <v/>
      </c>
      <c r="J125" s="35" t="str">
        <f>IF(AND(ISNUMBER(F125),ISNUMBER(G125)),IF(F125=G125,"",IF(INT(ROUND('参数'!$C$7/(ABS(F125-G125)*1+2*'参数'!$C$11+N('参数'!$C$14)*F125+N('参数'!$C$15))/1,6))*1&gt;0,INT(ROUND('参数'!$C$7/(ABS(F125-G125)*1+2*'参数'!$C$11+N('参数'!$C$14)*F125+N('参数'!$C$15))/1,6))*1,"预算不足，这笔不做")),"")</f>
        <v/>
      </c>
      <c r="K125" s="36" t="n"/>
      <c r="L125" s="20" t="str">
        <f>IF(AND(ISNUMBER(F125),ISNUMBER(G125),ISNUMBER(K125)),IF(AND(F125&lt;&gt;G125,K125&gt;0),ABS(F125-G125)*K125*1,""),"")</f>
        <v/>
      </c>
      <c r="M125" s="30" t="n"/>
      <c r="N125" s="37" t="str">
        <f>IF(AND(ISNUMBER(L125),ISNUMBER(M125)),IF(E125="空",(G125*(1+'参数'!$C$17)-F125),(F125-G125*(1-'参数'!$C$17)))*K125/L125,"")</f>
        <v/>
      </c>
      <c r="O125" s="38" t="n"/>
      <c r="P125" s="31" t="n"/>
      <c r="Q125" s="32" t="n"/>
      <c r="R125" s="39" t="str">
        <f>IF(N(U125)&gt;0,SUMPRODUCT(LARGE(('成交明细'!$A$5:$A$804=A125)*('成交明细'!$D$5:$D$804=IF(E125="空","卖","买"))*'成交明细'!$B$5:$B$804,COUNTIFS('成交明细'!$A$5:$A$804,A125,'成交明细'!$D$5:$D$804,IF(E125="空","卖","买")))),"")</f>
        <v/>
      </c>
      <c r="S125" s="39" t="str">
        <f>IF(AND(N(U125)&gt;0,N(W125)&gt;=N(U125)),SUMPRODUCT(MAX(('成交明细'!$A$5:$A$804=A125)*('成交明细'!$D$5:$D$804=IF(E125="空","买","卖"))*'成交明细'!$B$5:$B$804)),"")</f>
        <v/>
      </c>
      <c r="T125" s="32" t="n"/>
      <c r="U125" s="35" t="str">
        <f>IF(A125="","",SUMIFS('成交明细'!$F$5:$F$804,'成交明细'!$A$5:$A$804,A125,'成交明细'!$D$5:$D$804,IF(E125="空","卖","买")))</f>
        <v/>
      </c>
      <c r="V125" s="40" t="str">
        <f>IF(N(U125)&gt;0,SUMIFS('成交明细'!$H$5:$H$804,'成交明细'!$A$5:$A$804,A125,'成交明细'!$D$5:$D$804,IF(E125="空","卖","买"))/U125,"")</f>
        <v/>
      </c>
      <c r="W125" s="35" t="str">
        <f>IF(A125="","",SUMIFS('成交明细'!$F$5:$F$804,'成交明细'!$A$5:$A$804,A125,'成交明细'!$D$5:$D$804,IF(E125="空","买","卖")))</f>
        <v/>
      </c>
      <c r="X125" s="40" t="str">
        <f>IF(N(W125)&gt;0,SUMIFS('成交明细'!$H$5:$H$804,'成交明细'!$A$5:$A$804,A125,'成交明细'!$D$5:$D$804,IF(E125="空","买","卖"))/W125,"")</f>
        <v/>
      </c>
      <c r="Y125" s="41" t="str">
        <f>IF(A125="","",IF(Q125&lt;&gt;"已执行",IF(Q125="","未填执行情况",Q125),IF(N(U125)=0,"待录成交",IF(N(W125)&gt;N(U125),"平仓多于开仓",IF(N(W125)&lt;N(U125),"持仓中","已平仓")))))</f>
        <v/>
      </c>
      <c r="Z125" s="41" t="str">
        <f>IF(AND(ISNUMBER(R125),ISNUMBER(S125)),IF(R125=S125,"日内",""),"")</f>
        <v/>
      </c>
      <c r="AA125" s="42" t="str">
        <f>IF(Z125&lt;&gt;"日内","",COUNTIFS($Z$5:$Z$304,"日内",$S$5:$S$304,"&gt;"&amp;WORKDAY(S125,-5),$S$5:$S$304,"&lt;="&amp;S125))</f>
        <v/>
      </c>
      <c r="AB125" s="41" t="str">
        <f>IF(OR(NOT(ISNUMBER(M125)),NOT(ISNUMBER(R125))),"",IF(AND(M125&gt;=R125,OR(NOT(ISNUMBER(S125)),M125&lt;=S125)),"持仓跨财报",""))</f>
        <v/>
      </c>
      <c r="AC125" s="20">
        <f>IF(AND(E125="空",ISNUMBER(O125),ISNUMBER(S125)),ROUND(O125*(S125-R125)/360*V125*U125,2),0)</f>
        <v>0</v>
      </c>
      <c r="AD125" s="43" t="str">
        <f>IF(N(U125)=0,"",SUMIFS('成交明细'!$L$5:$L$804,'成交明细'!$A$5:$A$804,A125)+AC125)</f>
        <v/>
      </c>
      <c r="AE125" s="44" t="str">
        <f>IF(Y125&lt;&gt;"已平仓","",(SUMIFS('成交明细'!$H$5:$H$804,'成交明细'!$A$5:$A$804,A125,'成交明细'!$D$5:$D$804,"卖")-SUMIFS('成交明细'!$H$5:$H$804,'成交明细'!$A$5:$A$804,A125,'成交明细'!$D$5:$D$804,"买"))*1-AD125)</f>
        <v/>
      </c>
      <c r="AF125" s="45" t="str">
        <f>IF(AND(Y125="已平仓",ISNUMBER(L125)),(SUMIFS('成交明细'!$H$5:$H$804,'成交明细'!$A$5:$A$804,A125,'成交明细'!$D$5:$D$804,"卖")-SUMIFS('成交明细'!$H$5:$H$804,'成交明细'!$A$5:$A$804,A125,'成交明细'!$D$5:$D$804,"买"))*1/L125,"")</f>
        <v/>
      </c>
      <c r="AG125" s="45" t="str">
        <f>IF(AND(Y125="已平仓",ISNUMBER(L125)),AE125/L125,"")</f>
        <v/>
      </c>
      <c r="AH125" s="46" t="str">
        <f>IF(AND(ISNUMBER(V125),ISNUMBER(F125)),IF(E125="空",F125-V125,V125-F125),"")</f>
        <v/>
      </c>
      <c r="AI125" s="46" t="str">
        <f>IF(OR(NOT(ISNUMBER(AE125)),NOT(ISNUMBER(X125))),"",IF(AE125&lt;0,IF(E125="空",X125-G125,G125-X125),IF(NOT(ISNUMBER(H125)),"",IF(E125="空",X125-H125,H125-X125))))</f>
        <v/>
      </c>
      <c r="AJ125" s="32" t="n"/>
      <c r="AK125" s="32" t="n"/>
      <c r="AL125" s="31" t="n"/>
      <c r="AM125" s="45" t="str">
        <f>IF(A125="","",SUM(AG$5:AG125))</f>
        <v/>
      </c>
      <c r="AN125" s="37" t="str">
        <f>IF(A125="","",MAX(0,MAX(AM$5:AM125))-AM125)</f>
        <v/>
      </c>
    </row>
    <row r="126">
      <c r="A126" s="29" t="n"/>
      <c r="B126" s="30" t="n"/>
      <c r="C126" s="31" t="n"/>
      <c r="D126" s="32" t="n"/>
      <c r="E126" s="32" t="n"/>
      <c r="F126" s="33" t="n"/>
      <c r="G126" s="33" t="n"/>
      <c r="H126" s="33" t="n"/>
      <c r="I126" s="34" t="str">
        <f>IF(AND(ISNUMBER(F126),ISNUMBER(G126),ISNUMBER(H126)),IF(OR(AND(E126="多",F126&gt;G126),AND(E126="空",F126&lt;G126)),ABS(H126-F126)/ABS(F126-G126),"止损方向不对"),"")</f>
        <v/>
      </c>
      <c r="J126" s="35" t="str">
        <f>IF(AND(ISNUMBER(F126),ISNUMBER(G126)),IF(F126=G126,"",IF(INT(ROUND('参数'!$C$7/(ABS(F126-G126)*1+2*'参数'!$C$11+N('参数'!$C$14)*F126+N('参数'!$C$15))/1,6))*1&gt;0,INT(ROUND('参数'!$C$7/(ABS(F126-G126)*1+2*'参数'!$C$11+N('参数'!$C$14)*F126+N('参数'!$C$15))/1,6))*1,"预算不足，这笔不做")),"")</f>
        <v/>
      </c>
      <c r="K126" s="36" t="n"/>
      <c r="L126" s="20" t="str">
        <f>IF(AND(ISNUMBER(F126),ISNUMBER(G126),ISNUMBER(K126)),IF(AND(F126&lt;&gt;G126,K126&gt;0),ABS(F126-G126)*K126*1,""),"")</f>
        <v/>
      </c>
      <c r="M126" s="30" t="n"/>
      <c r="N126" s="37" t="str">
        <f>IF(AND(ISNUMBER(L126),ISNUMBER(M126)),IF(E126="空",(G126*(1+'参数'!$C$17)-F126),(F126-G126*(1-'参数'!$C$17)))*K126/L126,"")</f>
        <v/>
      </c>
      <c r="O126" s="38" t="n"/>
      <c r="P126" s="31" t="n"/>
      <c r="Q126" s="32" t="n"/>
      <c r="R126" s="39" t="str">
        <f>IF(N(U126)&gt;0,SUMPRODUCT(LARGE(('成交明细'!$A$5:$A$804=A126)*('成交明细'!$D$5:$D$804=IF(E126="空","卖","买"))*'成交明细'!$B$5:$B$804,COUNTIFS('成交明细'!$A$5:$A$804,A126,'成交明细'!$D$5:$D$804,IF(E126="空","卖","买")))),"")</f>
        <v/>
      </c>
      <c r="S126" s="39" t="str">
        <f>IF(AND(N(U126)&gt;0,N(W126)&gt;=N(U126)),SUMPRODUCT(MAX(('成交明细'!$A$5:$A$804=A126)*('成交明细'!$D$5:$D$804=IF(E126="空","买","卖"))*'成交明细'!$B$5:$B$804)),"")</f>
        <v/>
      </c>
      <c r="T126" s="32" t="n"/>
      <c r="U126" s="35" t="str">
        <f>IF(A126="","",SUMIFS('成交明细'!$F$5:$F$804,'成交明细'!$A$5:$A$804,A126,'成交明细'!$D$5:$D$804,IF(E126="空","卖","买")))</f>
        <v/>
      </c>
      <c r="V126" s="40" t="str">
        <f>IF(N(U126)&gt;0,SUMIFS('成交明细'!$H$5:$H$804,'成交明细'!$A$5:$A$804,A126,'成交明细'!$D$5:$D$804,IF(E126="空","卖","买"))/U126,"")</f>
        <v/>
      </c>
      <c r="W126" s="35" t="str">
        <f>IF(A126="","",SUMIFS('成交明细'!$F$5:$F$804,'成交明细'!$A$5:$A$804,A126,'成交明细'!$D$5:$D$804,IF(E126="空","买","卖")))</f>
        <v/>
      </c>
      <c r="X126" s="40" t="str">
        <f>IF(N(W126)&gt;0,SUMIFS('成交明细'!$H$5:$H$804,'成交明细'!$A$5:$A$804,A126,'成交明细'!$D$5:$D$804,IF(E126="空","买","卖"))/W126,"")</f>
        <v/>
      </c>
      <c r="Y126" s="41" t="str">
        <f>IF(A126="","",IF(Q126&lt;&gt;"已执行",IF(Q126="","未填执行情况",Q126),IF(N(U126)=0,"待录成交",IF(N(W126)&gt;N(U126),"平仓多于开仓",IF(N(W126)&lt;N(U126),"持仓中","已平仓")))))</f>
        <v/>
      </c>
      <c r="Z126" s="41" t="str">
        <f>IF(AND(ISNUMBER(R126),ISNUMBER(S126)),IF(R126=S126,"日内",""),"")</f>
        <v/>
      </c>
      <c r="AA126" s="42" t="str">
        <f>IF(Z126&lt;&gt;"日内","",COUNTIFS($Z$5:$Z$304,"日内",$S$5:$S$304,"&gt;"&amp;WORKDAY(S126,-5),$S$5:$S$304,"&lt;="&amp;S126))</f>
        <v/>
      </c>
      <c r="AB126" s="41" t="str">
        <f>IF(OR(NOT(ISNUMBER(M126)),NOT(ISNUMBER(R126))),"",IF(AND(M126&gt;=R126,OR(NOT(ISNUMBER(S126)),M126&lt;=S126)),"持仓跨财报",""))</f>
        <v/>
      </c>
      <c r="AC126" s="20">
        <f>IF(AND(E126="空",ISNUMBER(O126),ISNUMBER(S126)),ROUND(O126*(S126-R126)/360*V126*U126,2),0)</f>
        <v>0</v>
      </c>
      <c r="AD126" s="43" t="str">
        <f>IF(N(U126)=0,"",SUMIFS('成交明细'!$L$5:$L$804,'成交明细'!$A$5:$A$804,A126)+AC126)</f>
        <v/>
      </c>
      <c r="AE126" s="44" t="str">
        <f>IF(Y126&lt;&gt;"已平仓","",(SUMIFS('成交明细'!$H$5:$H$804,'成交明细'!$A$5:$A$804,A126,'成交明细'!$D$5:$D$804,"卖")-SUMIFS('成交明细'!$H$5:$H$804,'成交明细'!$A$5:$A$804,A126,'成交明细'!$D$5:$D$804,"买"))*1-AD126)</f>
        <v/>
      </c>
      <c r="AF126" s="45" t="str">
        <f>IF(AND(Y126="已平仓",ISNUMBER(L126)),(SUMIFS('成交明细'!$H$5:$H$804,'成交明细'!$A$5:$A$804,A126,'成交明细'!$D$5:$D$804,"卖")-SUMIFS('成交明细'!$H$5:$H$804,'成交明细'!$A$5:$A$804,A126,'成交明细'!$D$5:$D$804,"买"))*1/L126,"")</f>
        <v/>
      </c>
      <c r="AG126" s="45" t="str">
        <f>IF(AND(Y126="已平仓",ISNUMBER(L126)),AE126/L126,"")</f>
        <v/>
      </c>
      <c r="AH126" s="46" t="str">
        <f>IF(AND(ISNUMBER(V126),ISNUMBER(F126)),IF(E126="空",F126-V126,V126-F126),"")</f>
        <v/>
      </c>
      <c r="AI126" s="46" t="str">
        <f>IF(OR(NOT(ISNUMBER(AE126)),NOT(ISNUMBER(X126))),"",IF(AE126&lt;0,IF(E126="空",X126-G126,G126-X126),IF(NOT(ISNUMBER(H126)),"",IF(E126="空",X126-H126,H126-X126))))</f>
        <v/>
      </c>
      <c r="AJ126" s="32" t="n"/>
      <c r="AK126" s="32" t="n"/>
      <c r="AL126" s="31" t="n"/>
      <c r="AM126" s="45" t="str">
        <f>IF(A126="","",SUM(AG$5:AG126))</f>
        <v/>
      </c>
      <c r="AN126" s="37" t="str">
        <f>IF(A126="","",MAX(0,MAX(AM$5:AM126))-AM126)</f>
        <v/>
      </c>
    </row>
    <row r="127">
      <c r="A127" s="29" t="n"/>
      <c r="B127" s="30" t="n"/>
      <c r="C127" s="31" t="n"/>
      <c r="D127" s="32" t="n"/>
      <c r="E127" s="32" t="n"/>
      <c r="F127" s="33" t="n"/>
      <c r="G127" s="33" t="n"/>
      <c r="H127" s="33" t="n"/>
      <c r="I127" s="34" t="str">
        <f>IF(AND(ISNUMBER(F127),ISNUMBER(G127),ISNUMBER(H127)),IF(OR(AND(E127="多",F127&gt;G127),AND(E127="空",F127&lt;G127)),ABS(H127-F127)/ABS(F127-G127),"止损方向不对"),"")</f>
        <v/>
      </c>
      <c r="J127" s="35" t="str">
        <f>IF(AND(ISNUMBER(F127),ISNUMBER(G127)),IF(F127=G127,"",IF(INT(ROUND('参数'!$C$7/(ABS(F127-G127)*1+2*'参数'!$C$11+N('参数'!$C$14)*F127+N('参数'!$C$15))/1,6))*1&gt;0,INT(ROUND('参数'!$C$7/(ABS(F127-G127)*1+2*'参数'!$C$11+N('参数'!$C$14)*F127+N('参数'!$C$15))/1,6))*1,"预算不足，这笔不做")),"")</f>
        <v/>
      </c>
      <c r="K127" s="36" t="n"/>
      <c r="L127" s="20" t="str">
        <f>IF(AND(ISNUMBER(F127),ISNUMBER(G127),ISNUMBER(K127)),IF(AND(F127&lt;&gt;G127,K127&gt;0),ABS(F127-G127)*K127*1,""),"")</f>
        <v/>
      </c>
      <c r="M127" s="30" t="n"/>
      <c r="N127" s="37" t="str">
        <f>IF(AND(ISNUMBER(L127),ISNUMBER(M127)),IF(E127="空",(G127*(1+'参数'!$C$17)-F127),(F127-G127*(1-'参数'!$C$17)))*K127/L127,"")</f>
        <v/>
      </c>
      <c r="O127" s="38" t="n"/>
      <c r="P127" s="31" t="n"/>
      <c r="Q127" s="32" t="n"/>
      <c r="R127" s="39" t="str">
        <f>IF(N(U127)&gt;0,SUMPRODUCT(LARGE(('成交明细'!$A$5:$A$804=A127)*('成交明细'!$D$5:$D$804=IF(E127="空","卖","买"))*'成交明细'!$B$5:$B$804,COUNTIFS('成交明细'!$A$5:$A$804,A127,'成交明细'!$D$5:$D$804,IF(E127="空","卖","买")))),"")</f>
        <v/>
      </c>
      <c r="S127" s="39" t="str">
        <f>IF(AND(N(U127)&gt;0,N(W127)&gt;=N(U127)),SUMPRODUCT(MAX(('成交明细'!$A$5:$A$804=A127)*('成交明细'!$D$5:$D$804=IF(E127="空","买","卖"))*'成交明细'!$B$5:$B$804)),"")</f>
        <v/>
      </c>
      <c r="T127" s="32" t="n"/>
      <c r="U127" s="35" t="str">
        <f>IF(A127="","",SUMIFS('成交明细'!$F$5:$F$804,'成交明细'!$A$5:$A$804,A127,'成交明细'!$D$5:$D$804,IF(E127="空","卖","买")))</f>
        <v/>
      </c>
      <c r="V127" s="40" t="str">
        <f>IF(N(U127)&gt;0,SUMIFS('成交明细'!$H$5:$H$804,'成交明细'!$A$5:$A$804,A127,'成交明细'!$D$5:$D$804,IF(E127="空","卖","买"))/U127,"")</f>
        <v/>
      </c>
      <c r="W127" s="35" t="str">
        <f>IF(A127="","",SUMIFS('成交明细'!$F$5:$F$804,'成交明细'!$A$5:$A$804,A127,'成交明细'!$D$5:$D$804,IF(E127="空","买","卖")))</f>
        <v/>
      </c>
      <c r="X127" s="40" t="str">
        <f>IF(N(W127)&gt;0,SUMIFS('成交明细'!$H$5:$H$804,'成交明细'!$A$5:$A$804,A127,'成交明细'!$D$5:$D$804,IF(E127="空","买","卖"))/W127,"")</f>
        <v/>
      </c>
      <c r="Y127" s="41" t="str">
        <f>IF(A127="","",IF(Q127&lt;&gt;"已执行",IF(Q127="","未填执行情况",Q127),IF(N(U127)=0,"待录成交",IF(N(W127)&gt;N(U127),"平仓多于开仓",IF(N(W127)&lt;N(U127),"持仓中","已平仓")))))</f>
        <v/>
      </c>
      <c r="Z127" s="41" t="str">
        <f>IF(AND(ISNUMBER(R127),ISNUMBER(S127)),IF(R127=S127,"日内",""),"")</f>
        <v/>
      </c>
      <c r="AA127" s="42" t="str">
        <f>IF(Z127&lt;&gt;"日内","",COUNTIFS($Z$5:$Z$304,"日内",$S$5:$S$304,"&gt;"&amp;WORKDAY(S127,-5),$S$5:$S$304,"&lt;="&amp;S127))</f>
        <v/>
      </c>
      <c r="AB127" s="41" t="str">
        <f>IF(OR(NOT(ISNUMBER(M127)),NOT(ISNUMBER(R127))),"",IF(AND(M127&gt;=R127,OR(NOT(ISNUMBER(S127)),M127&lt;=S127)),"持仓跨财报",""))</f>
        <v/>
      </c>
      <c r="AC127" s="20">
        <f>IF(AND(E127="空",ISNUMBER(O127),ISNUMBER(S127)),ROUND(O127*(S127-R127)/360*V127*U127,2),0)</f>
        <v>0</v>
      </c>
      <c r="AD127" s="43" t="str">
        <f>IF(N(U127)=0,"",SUMIFS('成交明细'!$L$5:$L$804,'成交明细'!$A$5:$A$804,A127)+AC127)</f>
        <v/>
      </c>
      <c r="AE127" s="44" t="str">
        <f>IF(Y127&lt;&gt;"已平仓","",(SUMIFS('成交明细'!$H$5:$H$804,'成交明细'!$A$5:$A$804,A127,'成交明细'!$D$5:$D$804,"卖")-SUMIFS('成交明细'!$H$5:$H$804,'成交明细'!$A$5:$A$804,A127,'成交明细'!$D$5:$D$804,"买"))*1-AD127)</f>
        <v/>
      </c>
      <c r="AF127" s="45" t="str">
        <f>IF(AND(Y127="已平仓",ISNUMBER(L127)),(SUMIFS('成交明细'!$H$5:$H$804,'成交明细'!$A$5:$A$804,A127,'成交明细'!$D$5:$D$804,"卖")-SUMIFS('成交明细'!$H$5:$H$804,'成交明细'!$A$5:$A$804,A127,'成交明细'!$D$5:$D$804,"买"))*1/L127,"")</f>
        <v/>
      </c>
      <c r="AG127" s="45" t="str">
        <f>IF(AND(Y127="已平仓",ISNUMBER(L127)),AE127/L127,"")</f>
        <v/>
      </c>
      <c r="AH127" s="46" t="str">
        <f>IF(AND(ISNUMBER(V127),ISNUMBER(F127)),IF(E127="空",F127-V127,V127-F127),"")</f>
        <v/>
      </c>
      <c r="AI127" s="46" t="str">
        <f>IF(OR(NOT(ISNUMBER(AE127)),NOT(ISNUMBER(X127))),"",IF(AE127&lt;0,IF(E127="空",X127-G127,G127-X127),IF(NOT(ISNUMBER(H127)),"",IF(E127="空",X127-H127,H127-X127))))</f>
        <v/>
      </c>
      <c r="AJ127" s="32" t="n"/>
      <c r="AK127" s="32" t="n"/>
      <c r="AL127" s="31" t="n"/>
      <c r="AM127" s="45" t="str">
        <f>IF(A127="","",SUM(AG$5:AG127))</f>
        <v/>
      </c>
      <c r="AN127" s="37" t="str">
        <f>IF(A127="","",MAX(0,MAX(AM$5:AM127))-AM127)</f>
        <v/>
      </c>
    </row>
    <row r="128">
      <c r="A128" s="29" t="n"/>
      <c r="B128" s="30" t="n"/>
      <c r="C128" s="31" t="n"/>
      <c r="D128" s="32" t="n"/>
      <c r="E128" s="32" t="n"/>
      <c r="F128" s="33" t="n"/>
      <c r="G128" s="33" t="n"/>
      <c r="H128" s="33" t="n"/>
      <c r="I128" s="34" t="str">
        <f>IF(AND(ISNUMBER(F128),ISNUMBER(G128),ISNUMBER(H128)),IF(OR(AND(E128="多",F128&gt;G128),AND(E128="空",F128&lt;G128)),ABS(H128-F128)/ABS(F128-G128),"止损方向不对"),"")</f>
        <v/>
      </c>
      <c r="J128" s="35" t="str">
        <f>IF(AND(ISNUMBER(F128),ISNUMBER(G128)),IF(F128=G128,"",IF(INT(ROUND('参数'!$C$7/(ABS(F128-G128)*1+2*'参数'!$C$11+N('参数'!$C$14)*F128+N('参数'!$C$15))/1,6))*1&gt;0,INT(ROUND('参数'!$C$7/(ABS(F128-G128)*1+2*'参数'!$C$11+N('参数'!$C$14)*F128+N('参数'!$C$15))/1,6))*1,"预算不足，这笔不做")),"")</f>
        <v/>
      </c>
      <c r="K128" s="36" t="n"/>
      <c r="L128" s="20" t="str">
        <f>IF(AND(ISNUMBER(F128),ISNUMBER(G128),ISNUMBER(K128)),IF(AND(F128&lt;&gt;G128,K128&gt;0),ABS(F128-G128)*K128*1,""),"")</f>
        <v/>
      </c>
      <c r="M128" s="30" t="n"/>
      <c r="N128" s="37" t="str">
        <f>IF(AND(ISNUMBER(L128),ISNUMBER(M128)),IF(E128="空",(G128*(1+'参数'!$C$17)-F128),(F128-G128*(1-'参数'!$C$17)))*K128/L128,"")</f>
        <v/>
      </c>
      <c r="O128" s="38" t="n"/>
      <c r="P128" s="31" t="n"/>
      <c r="Q128" s="32" t="n"/>
      <c r="R128" s="39" t="str">
        <f>IF(N(U128)&gt;0,SUMPRODUCT(LARGE(('成交明细'!$A$5:$A$804=A128)*('成交明细'!$D$5:$D$804=IF(E128="空","卖","买"))*'成交明细'!$B$5:$B$804,COUNTIFS('成交明细'!$A$5:$A$804,A128,'成交明细'!$D$5:$D$804,IF(E128="空","卖","买")))),"")</f>
        <v/>
      </c>
      <c r="S128" s="39" t="str">
        <f>IF(AND(N(U128)&gt;0,N(W128)&gt;=N(U128)),SUMPRODUCT(MAX(('成交明细'!$A$5:$A$804=A128)*('成交明细'!$D$5:$D$804=IF(E128="空","买","卖"))*'成交明细'!$B$5:$B$804)),"")</f>
        <v/>
      </c>
      <c r="T128" s="32" t="n"/>
      <c r="U128" s="35" t="str">
        <f>IF(A128="","",SUMIFS('成交明细'!$F$5:$F$804,'成交明细'!$A$5:$A$804,A128,'成交明细'!$D$5:$D$804,IF(E128="空","卖","买")))</f>
        <v/>
      </c>
      <c r="V128" s="40" t="str">
        <f>IF(N(U128)&gt;0,SUMIFS('成交明细'!$H$5:$H$804,'成交明细'!$A$5:$A$804,A128,'成交明细'!$D$5:$D$804,IF(E128="空","卖","买"))/U128,"")</f>
        <v/>
      </c>
      <c r="W128" s="35" t="str">
        <f>IF(A128="","",SUMIFS('成交明细'!$F$5:$F$804,'成交明细'!$A$5:$A$804,A128,'成交明细'!$D$5:$D$804,IF(E128="空","买","卖")))</f>
        <v/>
      </c>
      <c r="X128" s="40" t="str">
        <f>IF(N(W128)&gt;0,SUMIFS('成交明细'!$H$5:$H$804,'成交明细'!$A$5:$A$804,A128,'成交明细'!$D$5:$D$804,IF(E128="空","买","卖"))/W128,"")</f>
        <v/>
      </c>
      <c r="Y128" s="41" t="str">
        <f>IF(A128="","",IF(Q128&lt;&gt;"已执行",IF(Q128="","未填执行情况",Q128),IF(N(U128)=0,"待录成交",IF(N(W128)&gt;N(U128),"平仓多于开仓",IF(N(W128)&lt;N(U128),"持仓中","已平仓")))))</f>
        <v/>
      </c>
      <c r="Z128" s="41" t="str">
        <f>IF(AND(ISNUMBER(R128),ISNUMBER(S128)),IF(R128=S128,"日内",""),"")</f>
        <v/>
      </c>
      <c r="AA128" s="42" t="str">
        <f>IF(Z128&lt;&gt;"日内","",COUNTIFS($Z$5:$Z$304,"日内",$S$5:$S$304,"&gt;"&amp;WORKDAY(S128,-5),$S$5:$S$304,"&lt;="&amp;S128))</f>
        <v/>
      </c>
      <c r="AB128" s="41" t="str">
        <f>IF(OR(NOT(ISNUMBER(M128)),NOT(ISNUMBER(R128))),"",IF(AND(M128&gt;=R128,OR(NOT(ISNUMBER(S128)),M128&lt;=S128)),"持仓跨财报",""))</f>
        <v/>
      </c>
      <c r="AC128" s="20">
        <f>IF(AND(E128="空",ISNUMBER(O128),ISNUMBER(S128)),ROUND(O128*(S128-R128)/360*V128*U128,2),0)</f>
        <v>0</v>
      </c>
      <c r="AD128" s="43" t="str">
        <f>IF(N(U128)=0,"",SUMIFS('成交明细'!$L$5:$L$804,'成交明细'!$A$5:$A$804,A128)+AC128)</f>
        <v/>
      </c>
      <c r="AE128" s="44" t="str">
        <f>IF(Y128&lt;&gt;"已平仓","",(SUMIFS('成交明细'!$H$5:$H$804,'成交明细'!$A$5:$A$804,A128,'成交明细'!$D$5:$D$804,"卖")-SUMIFS('成交明细'!$H$5:$H$804,'成交明细'!$A$5:$A$804,A128,'成交明细'!$D$5:$D$804,"买"))*1-AD128)</f>
        <v/>
      </c>
      <c r="AF128" s="45" t="str">
        <f>IF(AND(Y128="已平仓",ISNUMBER(L128)),(SUMIFS('成交明细'!$H$5:$H$804,'成交明细'!$A$5:$A$804,A128,'成交明细'!$D$5:$D$804,"卖")-SUMIFS('成交明细'!$H$5:$H$804,'成交明细'!$A$5:$A$804,A128,'成交明细'!$D$5:$D$804,"买"))*1/L128,"")</f>
        <v/>
      </c>
      <c r="AG128" s="45" t="str">
        <f>IF(AND(Y128="已平仓",ISNUMBER(L128)),AE128/L128,"")</f>
        <v/>
      </c>
      <c r="AH128" s="46" t="str">
        <f>IF(AND(ISNUMBER(V128),ISNUMBER(F128)),IF(E128="空",F128-V128,V128-F128),"")</f>
        <v/>
      </c>
      <c r="AI128" s="46" t="str">
        <f>IF(OR(NOT(ISNUMBER(AE128)),NOT(ISNUMBER(X128))),"",IF(AE128&lt;0,IF(E128="空",X128-G128,G128-X128),IF(NOT(ISNUMBER(H128)),"",IF(E128="空",X128-H128,H128-X128))))</f>
        <v/>
      </c>
      <c r="AJ128" s="32" t="n"/>
      <c r="AK128" s="32" t="n"/>
      <c r="AL128" s="31" t="n"/>
      <c r="AM128" s="45" t="str">
        <f>IF(A128="","",SUM(AG$5:AG128))</f>
        <v/>
      </c>
      <c r="AN128" s="37" t="str">
        <f>IF(A128="","",MAX(0,MAX(AM$5:AM128))-AM128)</f>
        <v/>
      </c>
    </row>
    <row r="129">
      <c r="A129" s="29" t="n"/>
      <c r="B129" s="30" t="n"/>
      <c r="C129" s="31" t="n"/>
      <c r="D129" s="32" t="n"/>
      <c r="E129" s="32" t="n"/>
      <c r="F129" s="33" t="n"/>
      <c r="G129" s="33" t="n"/>
      <c r="H129" s="33" t="n"/>
      <c r="I129" s="34" t="str">
        <f>IF(AND(ISNUMBER(F129),ISNUMBER(G129),ISNUMBER(H129)),IF(OR(AND(E129="多",F129&gt;G129),AND(E129="空",F129&lt;G129)),ABS(H129-F129)/ABS(F129-G129),"止损方向不对"),"")</f>
        <v/>
      </c>
      <c r="J129" s="35" t="str">
        <f>IF(AND(ISNUMBER(F129),ISNUMBER(G129)),IF(F129=G129,"",IF(INT(ROUND('参数'!$C$7/(ABS(F129-G129)*1+2*'参数'!$C$11+N('参数'!$C$14)*F129+N('参数'!$C$15))/1,6))*1&gt;0,INT(ROUND('参数'!$C$7/(ABS(F129-G129)*1+2*'参数'!$C$11+N('参数'!$C$14)*F129+N('参数'!$C$15))/1,6))*1,"预算不足，这笔不做")),"")</f>
        <v/>
      </c>
      <c r="K129" s="36" t="n"/>
      <c r="L129" s="20" t="str">
        <f>IF(AND(ISNUMBER(F129),ISNUMBER(G129),ISNUMBER(K129)),IF(AND(F129&lt;&gt;G129,K129&gt;0),ABS(F129-G129)*K129*1,""),"")</f>
        <v/>
      </c>
      <c r="M129" s="30" t="n"/>
      <c r="N129" s="37" t="str">
        <f>IF(AND(ISNUMBER(L129),ISNUMBER(M129)),IF(E129="空",(G129*(1+'参数'!$C$17)-F129),(F129-G129*(1-'参数'!$C$17)))*K129/L129,"")</f>
        <v/>
      </c>
      <c r="O129" s="38" t="n"/>
      <c r="P129" s="31" t="n"/>
      <c r="Q129" s="32" t="n"/>
      <c r="R129" s="39" t="str">
        <f>IF(N(U129)&gt;0,SUMPRODUCT(LARGE(('成交明细'!$A$5:$A$804=A129)*('成交明细'!$D$5:$D$804=IF(E129="空","卖","买"))*'成交明细'!$B$5:$B$804,COUNTIFS('成交明细'!$A$5:$A$804,A129,'成交明细'!$D$5:$D$804,IF(E129="空","卖","买")))),"")</f>
        <v/>
      </c>
      <c r="S129" s="39" t="str">
        <f>IF(AND(N(U129)&gt;0,N(W129)&gt;=N(U129)),SUMPRODUCT(MAX(('成交明细'!$A$5:$A$804=A129)*('成交明细'!$D$5:$D$804=IF(E129="空","买","卖"))*'成交明细'!$B$5:$B$804)),"")</f>
        <v/>
      </c>
      <c r="T129" s="32" t="n"/>
      <c r="U129" s="35" t="str">
        <f>IF(A129="","",SUMIFS('成交明细'!$F$5:$F$804,'成交明细'!$A$5:$A$804,A129,'成交明细'!$D$5:$D$804,IF(E129="空","卖","买")))</f>
        <v/>
      </c>
      <c r="V129" s="40" t="str">
        <f>IF(N(U129)&gt;0,SUMIFS('成交明细'!$H$5:$H$804,'成交明细'!$A$5:$A$804,A129,'成交明细'!$D$5:$D$804,IF(E129="空","卖","买"))/U129,"")</f>
        <v/>
      </c>
      <c r="W129" s="35" t="str">
        <f>IF(A129="","",SUMIFS('成交明细'!$F$5:$F$804,'成交明细'!$A$5:$A$804,A129,'成交明细'!$D$5:$D$804,IF(E129="空","买","卖")))</f>
        <v/>
      </c>
      <c r="X129" s="40" t="str">
        <f>IF(N(W129)&gt;0,SUMIFS('成交明细'!$H$5:$H$804,'成交明细'!$A$5:$A$804,A129,'成交明细'!$D$5:$D$804,IF(E129="空","买","卖"))/W129,"")</f>
        <v/>
      </c>
      <c r="Y129" s="41" t="str">
        <f>IF(A129="","",IF(Q129&lt;&gt;"已执行",IF(Q129="","未填执行情况",Q129),IF(N(U129)=0,"待录成交",IF(N(W129)&gt;N(U129),"平仓多于开仓",IF(N(W129)&lt;N(U129),"持仓中","已平仓")))))</f>
        <v/>
      </c>
      <c r="Z129" s="41" t="str">
        <f>IF(AND(ISNUMBER(R129),ISNUMBER(S129)),IF(R129=S129,"日内",""),"")</f>
        <v/>
      </c>
      <c r="AA129" s="42" t="str">
        <f>IF(Z129&lt;&gt;"日内","",COUNTIFS($Z$5:$Z$304,"日内",$S$5:$S$304,"&gt;"&amp;WORKDAY(S129,-5),$S$5:$S$304,"&lt;="&amp;S129))</f>
        <v/>
      </c>
      <c r="AB129" s="41" t="str">
        <f>IF(OR(NOT(ISNUMBER(M129)),NOT(ISNUMBER(R129))),"",IF(AND(M129&gt;=R129,OR(NOT(ISNUMBER(S129)),M129&lt;=S129)),"持仓跨财报",""))</f>
        <v/>
      </c>
      <c r="AC129" s="20">
        <f>IF(AND(E129="空",ISNUMBER(O129),ISNUMBER(S129)),ROUND(O129*(S129-R129)/360*V129*U129,2),0)</f>
        <v>0</v>
      </c>
      <c r="AD129" s="43" t="str">
        <f>IF(N(U129)=0,"",SUMIFS('成交明细'!$L$5:$L$804,'成交明细'!$A$5:$A$804,A129)+AC129)</f>
        <v/>
      </c>
      <c r="AE129" s="44" t="str">
        <f>IF(Y129&lt;&gt;"已平仓","",(SUMIFS('成交明细'!$H$5:$H$804,'成交明细'!$A$5:$A$804,A129,'成交明细'!$D$5:$D$804,"卖")-SUMIFS('成交明细'!$H$5:$H$804,'成交明细'!$A$5:$A$804,A129,'成交明细'!$D$5:$D$804,"买"))*1-AD129)</f>
        <v/>
      </c>
      <c r="AF129" s="45" t="str">
        <f>IF(AND(Y129="已平仓",ISNUMBER(L129)),(SUMIFS('成交明细'!$H$5:$H$804,'成交明细'!$A$5:$A$804,A129,'成交明细'!$D$5:$D$804,"卖")-SUMIFS('成交明细'!$H$5:$H$804,'成交明细'!$A$5:$A$804,A129,'成交明细'!$D$5:$D$804,"买"))*1/L129,"")</f>
        <v/>
      </c>
      <c r="AG129" s="45" t="str">
        <f>IF(AND(Y129="已平仓",ISNUMBER(L129)),AE129/L129,"")</f>
        <v/>
      </c>
      <c r="AH129" s="46" t="str">
        <f>IF(AND(ISNUMBER(V129),ISNUMBER(F129)),IF(E129="空",F129-V129,V129-F129),"")</f>
        <v/>
      </c>
      <c r="AI129" s="46" t="str">
        <f>IF(OR(NOT(ISNUMBER(AE129)),NOT(ISNUMBER(X129))),"",IF(AE129&lt;0,IF(E129="空",X129-G129,G129-X129),IF(NOT(ISNUMBER(H129)),"",IF(E129="空",X129-H129,H129-X129))))</f>
        <v/>
      </c>
      <c r="AJ129" s="32" t="n"/>
      <c r="AK129" s="32" t="n"/>
      <c r="AL129" s="31" t="n"/>
      <c r="AM129" s="45" t="str">
        <f>IF(A129="","",SUM(AG$5:AG129))</f>
        <v/>
      </c>
      <c r="AN129" s="37" t="str">
        <f>IF(A129="","",MAX(0,MAX(AM$5:AM129))-AM129)</f>
        <v/>
      </c>
    </row>
    <row r="130">
      <c r="A130" s="29" t="n"/>
      <c r="B130" s="30" t="n"/>
      <c r="C130" s="31" t="n"/>
      <c r="D130" s="32" t="n"/>
      <c r="E130" s="32" t="n"/>
      <c r="F130" s="33" t="n"/>
      <c r="G130" s="33" t="n"/>
      <c r="H130" s="33" t="n"/>
      <c r="I130" s="34" t="str">
        <f>IF(AND(ISNUMBER(F130),ISNUMBER(G130),ISNUMBER(H130)),IF(OR(AND(E130="多",F130&gt;G130),AND(E130="空",F130&lt;G130)),ABS(H130-F130)/ABS(F130-G130),"止损方向不对"),"")</f>
        <v/>
      </c>
      <c r="J130" s="35" t="str">
        <f>IF(AND(ISNUMBER(F130),ISNUMBER(G130)),IF(F130=G130,"",IF(INT(ROUND('参数'!$C$7/(ABS(F130-G130)*1+2*'参数'!$C$11+N('参数'!$C$14)*F130+N('参数'!$C$15))/1,6))*1&gt;0,INT(ROUND('参数'!$C$7/(ABS(F130-G130)*1+2*'参数'!$C$11+N('参数'!$C$14)*F130+N('参数'!$C$15))/1,6))*1,"预算不足，这笔不做")),"")</f>
        <v/>
      </c>
      <c r="K130" s="36" t="n"/>
      <c r="L130" s="20" t="str">
        <f>IF(AND(ISNUMBER(F130),ISNUMBER(G130),ISNUMBER(K130)),IF(AND(F130&lt;&gt;G130,K130&gt;0),ABS(F130-G130)*K130*1,""),"")</f>
        <v/>
      </c>
      <c r="M130" s="30" t="n"/>
      <c r="N130" s="37" t="str">
        <f>IF(AND(ISNUMBER(L130),ISNUMBER(M130)),IF(E130="空",(G130*(1+'参数'!$C$17)-F130),(F130-G130*(1-'参数'!$C$17)))*K130/L130,"")</f>
        <v/>
      </c>
      <c r="O130" s="38" t="n"/>
      <c r="P130" s="31" t="n"/>
      <c r="Q130" s="32" t="n"/>
      <c r="R130" s="39" t="str">
        <f>IF(N(U130)&gt;0,SUMPRODUCT(LARGE(('成交明细'!$A$5:$A$804=A130)*('成交明细'!$D$5:$D$804=IF(E130="空","卖","买"))*'成交明细'!$B$5:$B$804,COUNTIFS('成交明细'!$A$5:$A$804,A130,'成交明细'!$D$5:$D$804,IF(E130="空","卖","买")))),"")</f>
        <v/>
      </c>
      <c r="S130" s="39" t="str">
        <f>IF(AND(N(U130)&gt;0,N(W130)&gt;=N(U130)),SUMPRODUCT(MAX(('成交明细'!$A$5:$A$804=A130)*('成交明细'!$D$5:$D$804=IF(E130="空","买","卖"))*'成交明细'!$B$5:$B$804)),"")</f>
        <v/>
      </c>
      <c r="T130" s="32" t="n"/>
      <c r="U130" s="35" t="str">
        <f>IF(A130="","",SUMIFS('成交明细'!$F$5:$F$804,'成交明细'!$A$5:$A$804,A130,'成交明细'!$D$5:$D$804,IF(E130="空","卖","买")))</f>
        <v/>
      </c>
      <c r="V130" s="40" t="str">
        <f>IF(N(U130)&gt;0,SUMIFS('成交明细'!$H$5:$H$804,'成交明细'!$A$5:$A$804,A130,'成交明细'!$D$5:$D$804,IF(E130="空","卖","买"))/U130,"")</f>
        <v/>
      </c>
      <c r="W130" s="35" t="str">
        <f>IF(A130="","",SUMIFS('成交明细'!$F$5:$F$804,'成交明细'!$A$5:$A$804,A130,'成交明细'!$D$5:$D$804,IF(E130="空","买","卖")))</f>
        <v/>
      </c>
      <c r="X130" s="40" t="str">
        <f>IF(N(W130)&gt;0,SUMIFS('成交明细'!$H$5:$H$804,'成交明细'!$A$5:$A$804,A130,'成交明细'!$D$5:$D$804,IF(E130="空","买","卖"))/W130,"")</f>
        <v/>
      </c>
      <c r="Y130" s="41" t="str">
        <f>IF(A130="","",IF(Q130&lt;&gt;"已执行",IF(Q130="","未填执行情况",Q130),IF(N(U130)=0,"待录成交",IF(N(W130)&gt;N(U130),"平仓多于开仓",IF(N(W130)&lt;N(U130),"持仓中","已平仓")))))</f>
        <v/>
      </c>
      <c r="Z130" s="41" t="str">
        <f>IF(AND(ISNUMBER(R130),ISNUMBER(S130)),IF(R130=S130,"日内",""),"")</f>
        <v/>
      </c>
      <c r="AA130" s="42" t="str">
        <f>IF(Z130&lt;&gt;"日内","",COUNTIFS($Z$5:$Z$304,"日内",$S$5:$S$304,"&gt;"&amp;WORKDAY(S130,-5),$S$5:$S$304,"&lt;="&amp;S130))</f>
        <v/>
      </c>
      <c r="AB130" s="41" t="str">
        <f>IF(OR(NOT(ISNUMBER(M130)),NOT(ISNUMBER(R130))),"",IF(AND(M130&gt;=R130,OR(NOT(ISNUMBER(S130)),M130&lt;=S130)),"持仓跨财报",""))</f>
        <v/>
      </c>
      <c r="AC130" s="20">
        <f>IF(AND(E130="空",ISNUMBER(O130),ISNUMBER(S130)),ROUND(O130*(S130-R130)/360*V130*U130,2),0)</f>
        <v>0</v>
      </c>
      <c r="AD130" s="43" t="str">
        <f>IF(N(U130)=0,"",SUMIFS('成交明细'!$L$5:$L$804,'成交明细'!$A$5:$A$804,A130)+AC130)</f>
        <v/>
      </c>
      <c r="AE130" s="44" t="str">
        <f>IF(Y130&lt;&gt;"已平仓","",(SUMIFS('成交明细'!$H$5:$H$804,'成交明细'!$A$5:$A$804,A130,'成交明细'!$D$5:$D$804,"卖")-SUMIFS('成交明细'!$H$5:$H$804,'成交明细'!$A$5:$A$804,A130,'成交明细'!$D$5:$D$804,"买"))*1-AD130)</f>
        <v/>
      </c>
      <c r="AF130" s="45" t="str">
        <f>IF(AND(Y130="已平仓",ISNUMBER(L130)),(SUMIFS('成交明细'!$H$5:$H$804,'成交明细'!$A$5:$A$804,A130,'成交明细'!$D$5:$D$804,"卖")-SUMIFS('成交明细'!$H$5:$H$804,'成交明细'!$A$5:$A$804,A130,'成交明细'!$D$5:$D$804,"买"))*1/L130,"")</f>
        <v/>
      </c>
      <c r="AG130" s="45" t="str">
        <f>IF(AND(Y130="已平仓",ISNUMBER(L130)),AE130/L130,"")</f>
        <v/>
      </c>
      <c r="AH130" s="46" t="str">
        <f>IF(AND(ISNUMBER(V130),ISNUMBER(F130)),IF(E130="空",F130-V130,V130-F130),"")</f>
        <v/>
      </c>
      <c r="AI130" s="46" t="str">
        <f>IF(OR(NOT(ISNUMBER(AE130)),NOT(ISNUMBER(X130))),"",IF(AE130&lt;0,IF(E130="空",X130-G130,G130-X130),IF(NOT(ISNUMBER(H130)),"",IF(E130="空",X130-H130,H130-X130))))</f>
        <v/>
      </c>
      <c r="AJ130" s="32" t="n"/>
      <c r="AK130" s="32" t="n"/>
      <c r="AL130" s="31" t="n"/>
      <c r="AM130" s="45" t="str">
        <f>IF(A130="","",SUM(AG$5:AG130))</f>
        <v/>
      </c>
      <c r="AN130" s="37" t="str">
        <f>IF(A130="","",MAX(0,MAX(AM$5:AM130))-AM130)</f>
        <v/>
      </c>
    </row>
    <row r="131">
      <c r="A131" s="29" t="n"/>
      <c r="B131" s="30" t="n"/>
      <c r="C131" s="31" t="n"/>
      <c r="D131" s="32" t="n"/>
      <c r="E131" s="32" t="n"/>
      <c r="F131" s="33" t="n"/>
      <c r="G131" s="33" t="n"/>
      <c r="H131" s="33" t="n"/>
      <c r="I131" s="34" t="str">
        <f>IF(AND(ISNUMBER(F131),ISNUMBER(G131),ISNUMBER(H131)),IF(OR(AND(E131="多",F131&gt;G131),AND(E131="空",F131&lt;G131)),ABS(H131-F131)/ABS(F131-G131),"止损方向不对"),"")</f>
        <v/>
      </c>
      <c r="J131" s="35" t="str">
        <f>IF(AND(ISNUMBER(F131),ISNUMBER(G131)),IF(F131=G131,"",IF(INT(ROUND('参数'!$C$7/(ABS(F131-G131)*1+2*'参数'!$C$11+N('参数'!$C$14)*F131+N('参数'!$C$15))/1,6))*1&gt;0,INT(ROUND('参数'!$C$7/(ABS(F131-G131)*1+2*'参数'!$C$11+N('参数'!$C$14)*F131+N('参数'!$C$15))/1,6))*1,"预算不足，这笔不做")),"")</f>
        <v/>
      </c>
      <c r="K131" s="36" t="n"/>
      <c r="L131" s="20" t="str">
        <f>IF(AND(ISNUMBER(F131),ISNUMBER(G131),ISNUMBER(K131)),IF(AND(F131&lt;&gt;G131,K131&gt;0),ABS(F131-G131)*K131*1,""),"")</f>
        <v/>
      </c>
      <c r="M131" s="30" t="n"/>
      <c r="N131" s="37" t="str">
        <f>IF(AND(ISNUMBER(L131),ISNUMBER(M131)),IF(E131="空",(G131*(1+'参数'!$C$17)-F131),(F131-G131*(1-'参数'!$C$17)))*K131/L131,"")</f>
        <v/>
      </c>
      <c r="O131" s="38" t="n"/>
      <c r="P131" s="31" t="n"/>
      <c r="Q131" s="32" t="n"/>
      <c r="R131" s="39" t="str">
        <f>IF(N(U131)&gt;0,SUMPRODUCT(LARGE(('成交明细'!$A$5:$A$804=A131)*('成交明细'!$D$5:$D$804=IF(E131="空","卖","买"))*'成交明细'!$B$5:$B$804,COUNTIFS('成交明细'!$A$5:$A$804,A131,'成交明细'!$D$5:$D$804,IF(E131="空","卖","买")))),"")</f>
        <v/>
      </c>
      <c r="S131" s="39" t="str">
        <f>IF(AND(N(U131)&gt;0,N(W131)&gt;=N(U131)),SUMPRODUCT(MAX(('成交明细'!$A$5:$A$804=A131)*('成交明细'!$D$5:$D$804=IF(E131="空","买","卖"))*'成交明细'!$B$5:$B$804)),"")</f>
        <v/>
      </c>
      <c r="T131" s="32" t="n"/>
      <c r="U131" s="35" t="str">
        <f>IF(A131="","",SUMIFS('成交明细'!$F$5:$F$804,'成交明细'!$A$5:$A$804,A131,'成交明细'!$D$5:$D$804,IF(E131="空","卖","买")))</f>
        <v/>
      </c>
      <c r="V131" s="40" t="str">
        <f>IF(N(U131)&gt;0,SUMIFS('成交明细'!$H$5:$H$804,'成交明细'!$A$5:$A$804,A131,'成交明细'!$D$5:$D$804,IF(E131="空","卖","买"))/U131,"")</f>
        <v/>
      </c>
      <c r="W131" s="35" t="str">
        <f>IF(A131="","",SUMIFS('成交明细'!$F$5:$F$804,'成交明细'!$A$5:$A$804,A131,'成交明细'!$D$5:$D$804,IF(E131="空","买","卖")))</f>
        <v/>
      </c>
      <c r="X131" s="40" t="str">
        <f>IF(N(W131)&gt;0,SUMIFS('成交明细'!$H$5:$H$804,'成交明细'!$A$5:$A$804,A131,'成交明细'!$D$5:$D$804,IF(E131="空","买","卖"))/W131,"")</f>
        <v/>
      </c>
      <c r="Y131" s="41" t="str">
        <f>IF(A131="","",IF(Q131&lt;&gt;"已执行",IF(Q131="","未填执行情况",Q131),IF(N(U131)=0,"待录成交",IF(N(W131)&gt;N(U131),"平仓多于开仓",IF(N(W131)&lt;N(U131),"持仓中","已平仓")))))</f>
        <v/>
      </c>
      <c r="Z131" s="41" t="str">
        <f>IF(AND(ISNUMBER(R131),ISNUMBER(S131)),IF(R131=S131,"日内",""),"")</f>
        <v/>
      </c>
      <c r="AA131" s="42" t="str">
        <f>IF(Z131&lt;&gt;"日内","",COUNTIFS($Z$5:$Z$304,"日内",$S$5:$S$304,"&gt;"&amp;WORKDAY(S131,-5),$S$5:$S$304,"&lt;="&amp;S131))</f>
        <v/>
      </c>
      <c r="AB131" s="41" t="str">
        <f>IF(OR(NOT(ISNUMBER(M131)),NOT(ISNUMBER(R131))),"",IF(AND(M131&gt;=R131,OR(NOT(ISNUMBER(S131)),M131&lt;=S131)),"持仓跨财报",""))</f>
        <v/>
      </c>
      <c r="AC131" s="20">
        <f>IF(AND(E131="空",ISNUMBER(O131),ISNUMBER(S131)),ROUND(O131*(S131-R131)/360*V131*U131,2),0)</f>
        <v>0</v>
      </c>
      <c r="AD131" s="43" t="str">
        <f>IF(N(U131)=0,"",SUMIFS('成交明细'!$L$5:$L$804,'成交明细'!$A$5:$A$804,A131)+AC131)</f>
        <v/>
      </c>
      <c r="AE131" s="44" t="str">
        <f>IF(Y131&lt;&gt;"已平仓","",(SUMIFS('成交明细'!$H$5:$H$804,'成交明细'!$A$5:$A$804,A131,'成交明细'!$D$5:$D$804,"卖")-SUMIFS('成交明细'!$H$5:$H$804,'成交明细'!$A$5:$A$804,A131,'成交明细'!$D$5:$D$804,"买"))*1-AD131)</f>
        <v/>
      </c>
      <c r="AF131" s="45" t="str">
        <f>IF(AND(Y131="已平仓",ISNUMBER(L131)),(SUMIFS('成交明细'!$H$5:$H$804,'成交明细'!$A$5:$A$804,A131,'成交明细'!$D$5:$D$804,"卖")-SUMIFS('成交明细'!$H$5:$H$804,'成交明细'!$A$5:$A$804,A131,'成交明细'!$D$5:$D$804,"买"))*1/L131,"")</f>
        <v/>
      </c>
      <c r="AG131" s="45" t="str">
        <f>IF(AND(Y131="已平仓",ISNUMBER(L131)),AE131/L131,"")</f>
        <v/>
      </c>
      <c r="AH131" s="46" t="str">
        <f>IF(AND(ISNUMBER(V131),ISNUMBER(F131)),IF(E131="空",F131-V131,V131-F131),"")</f>
        <v/>
      </c>
      <c r="AI131" s="46" t="str">
        <f>IF(OR(NOT(ISNUMBER(AE131)),NOT(ISNUMBER(X131))),"",IF(AE131&lt;0,IF(E131="空",X131-G131,G131-X131),IF(NOT(ISNUMBER(H131)),"",IF(E131="空",X131-H131,H131-X131))))</f>
        <v/>
      </c>
      <c r="AJ131" s="32" t="n"/>
      <c r="AK131" s="32" t="n"/>
      <c r="AL131" s="31" t="n"/>
      <c r="AM131" s="45" t="str">
        <f>IF(A131="","",SUM(AG$5:AG131))</f>
        <v/>
      </c>
      <c r="AN131" s="37" t="str">
        <f>IF(A131="","",MAX(0,MAX(AM$5:AM131))-AM131)</f>
        <v/>
      </c>
    </row>
    <row r="132">
      <c r="A132" s="29" t="n"/>
      <c r="B132" s="30" t="n"/>
      <c r="C132" s="31" t="n"/>
      <c r="D132" s="32" t="n"/>
      <c r="E132" s="32" t="n"/>
      <c r="F132" s="33" t="n"/>
      <c r="G132" s="33" t="n"/>
      <c r="H132" s="33" t="n"/>
      <c r="I132" s="34" t="str">
        <f>IF(AND(ISNUMBER(F132),ISNUMBER(G132),ISNUMBER(H132)),IF(OR(AND(E132="多",F132&gt;G132),AND(E132="空",F132&lt;G132)),ABS(H132-F132)/ABS(F132-G132),"止损方向不对"),"")</f>
        <v/>
      </c>
      <c r="J132" s="35" t="str">
        <f>IF(AND(ISNUMBER(F132),ISNUMBER(G132)),IF(F132=G132,"",IF(INT(ROUND('参数'!$C$7/(ABS(F132-G132)*1+2*'参数'!$C$11+N('参数'!$C$14)*F132+N('参数'!$C$15))/1,6))*1&gt;0,INT(ROUND('参数'!$C$7/(ABS(F132-G132)*1+2*'参数'!$C$11+N('参数'!$C$14)*F132+N('参数'!$C$15))/1,6))*1,"预算不足，这笔不做")),"")</f>
        <v/>
      </c>
      <c r="K132" s="36" t="n"/>
      <c r="L132" s="20" t="str">
        <f>IF(AND(ISNUMBER(F132),ISNUMBER(G132),ISNUMBER(K132)),IF(AND(F132&lt;&gt;G132,K132&gt;0),ABS(F132-G132)*K132*1,""),"")</f>
        <v/>
      </c>
      <c r="M132" s="30" t="n"/>
      <c r="N132" s="37" t="str">
        <f>IF(AND(ISNUMBER(L132),ISNUMBER(M132)),IF(E132="空",(G132*(1+'参数'!$C$17)-F132),(F132-G132*(1-'参数'!$C$17)))*K132/L132,"")</f>
        <v/>
      </c>
      <c r="O132" s="38" t="n"/>
      <c r="P132" s="31" t="n"/>
      <c r="Q132" s="32" t="n"/>
      <c r="R132" s="39" t="str">
        <f>IF(N(U132)&gt;0,SUMPRODUCT(LARGE(('成交明细'!$A$5:$A$804=A132)*('成交明细'!$D$5:$D$804=IF(E132="空","卖","买"))*'成交明细'!$B$5:$B$804,COUNTIFS('成交明细'!$A$5:$A$804,A132,'成交明细'!$D$5:$D$804,IF(E132="空","卖","买")))),"")</f>
        <v/>
      </c>
      <c r="S132" s="39" t="str">
        <f>IF(AND(N(U132)&gt;0,N(W132)&gt;=N(U132)),SUMPRODUCT(MAX(('成交明细'!$A$5:$A$804=A132)*('成交明细'!$D$5:$D$804=IF(E132="空","买","卖"))*'成交明细'!$B$5:$B$804)),"")</f>
        <v/>
      </c>
      <c r="T132" s="32" t="n"/>
      <c r="U132" s="35" t="str">
        <f>IF(A132="","",SUMIFS('成交明细'!$F$5:$F$804,'成交明细'!$A$5:$A$804,A132,'成交明细'!$D$5:$D$804,IF(E132="空","卖","买")))</f>
        <v/>
      </c>
      <c r="V132" s="40" t="str">
        <f>IF(N(U132)&gt;0,SUMIFS('成交明细'!$H$5:$H$804,'成交明细'!$A$5:$A$804,A132,'成交明细'!$D$5:$D$804,IF(E132="空","卖","买"))/U132,"")</f>
        <v/>
      </c>
      <c r="W132" s="35" t="str">
        <f>IF(A132="","",SUMIFS('成交明细'!$F$5:$F$804,'成交明细'!$A$5:$A$804,A132,'成交明细'!$D$5:$D$804,IF(E132="空","买","卖")))</f>
        <v/>
      </c>
      <c r="X132" s="40" t="str">
        <f>IF(N(W132)&gt;0,SUMIFS('成交明细'!$H$5:$H$804,'成交明细'!$A$5:$A$804,A132,'成交明细'!$D$5:$D$804,IF(E132="空","买","卖"))/W132,"")</f>
        <v/>
      </c>
      <c r="Y132" s="41" t="str">
        <f>IF(A132="","",IF(Q132&lt;&gt;"已执行",IF(Q132="","未填执行情况",Q132),IF(N(U132)=0,"待录成交",IF(N(W132)&gt;N(U132),"平仓多于开仓",IF(N(W132)&lt;N(U132),"持仓中","已平仓")))))</f>
        <v/>
      </c>
      <c r="Z132" s="41" t="str">
        <f>IF(AND(ISNUMBER(R132),ISNUMBER(S132)),IF(R132=S132,"日内",""),"")</f>
        <v/>
      </c>
      <c r="AA132" s="42" t="str">
        <f>IF(Z132&lt;&gt;"日内","",COUNTIFS($Z$5:$Z$304,"日内",$S$5:$S$304,"&gt;"&amp;WORKDAY(S132,-5),$S$5:$S$304,"&lt;="&amp;S132))</f>
        <v/>
      </c>
      <c r="AB132" s="41" t="str">
        <f>IF(OR(NOT(ISNUMBER(M132)),NOT(ISNUMBER(R132))),"",IF(AND(M132&gt;=R132,OR(NOT(ISNUMBER(S132)),M132&lt;=S132)),"持仓跨财报",""))</f>
        <v/>
      </c>
      <c r="AC132" s="20">
        <f>IF(AND(E132="空",ISNUMBER(O132),ISNUMBER(S132)),ROUND(O132*(S132-R132)/360*V132*U132,2),0)</f>
        <v>0</v>
      </c>
      <c r="AD132" s="43" t="str">
        <f>IF(N(U132)=0,"",SUMIFS('成交明细'!$L$5:$L$804,'成交明细'!$A$5:$A$804,A132)+AC132)</f>
        <v/>
      </c>
      <c r="AE132" s="44" t="str">
        <f>IF(Y132&lt;&gt;"已平仓","",(SUMIFS('成交明细'!$H$5:$H$804,'成交明细'!$A$5:$A$804,A132,'成交明细'!$D$5:$D$804,"卖")-SUMIFS('成交明细'!$H$5:$H$804,'成交明细'!$A$5:$A$804,A132,'成交明细'!$D$5:$D$804,"买"))*1-AD132)</f>
        <v/>
      </c>
      <c r="AF132" s="45" t="str">
        <f>IF(AND(Y132="已平仓",ISNUMBER(L132)),(SUMIFS('成交明细'!$H$5:$H$804,'成交明细'!$A$5:$A$804,A132,'成交明细'!$D$5:$D$804,"卖")-SUMIFS('成交明细'!$H$5:$H$804,'成交明细'!$A$5:$A$804,A132,'成交明细'!$D$5:$D$804,"买"))*1/L132,"")</f>
        <v/>
      </c>
      <c r="AG132" s="45" t="str">
        <f>IF(AND(Y132="已平仓",ISNUMBER(L132)),AE132/L132,"")</f>
        <v/>
      </c>
      <c r="AH132" s="46" t="str">
        <f>IF(AND(ISNUMBER(V132),ISNUMBER(F132)),IF(E132="空",F132-V132,V132-F132),"")</f>
        <v/>
      </c>
      <c r="AI132" s="46" t="str">
        <f>IF(OR(NOT(ISNUMBER(AE132)),NOT(ISNUMBER(X132))),"",IF(AE132&lt;0,IF(E132="空",X132-G132,G132-X132),IF(NOT(ISNUMBER(H132)),"",IF(E132="空",X132-H132,H132-X132))))</f>
        <v/>
      </c>
      <c r="AJ132" s="32" t="n"/>
      <c r="AK132" s="32" t="n"/>
      <c r="AL132" s="31" t="n"/>
      <c r="AM132" s="45" t="str">
        <f>IF(A132="","",SUM(AG$5:AG132))</f>
        <v/>
      </c>
      <c r="AN132" s="37" t="str">
        <f>IF(A132="","",MAX(0,MAX(AM$5:AM132))-AM132)</f>
        <v/>
      </c>
    </row>
    <row r="133">
      <c r="A133" s="29" t="n"/>
      <c r="B133" s="30" t="n"/>
      <c r="C133" s="31" t="n"/>
      <c r="D133" s="32" t="n"/>
      <c r="E133" s="32" t="n"/>
      <c r="F133" s="33" t="n"/>
      <c r="G133" s="33" t="n"/>
      <c r="H133" s="33" t="n"/>
      <c r="I133" s="34" t="str">
        <f>IF(AND(ISNUMBER(F133),ISNUMBER(G133),ISNUMBER(H133)),IF(OR(AND(E133="多",F133&gt;G133),AND(E133="空",F133&lt;G133)),ABS(H133-F133)/ABS(F133-G133),"止损方向不对"),"")</f>
        <v/>
      </c>
      <c r="J133" s="35" t="str">
        <f>IF(AND(ISNUMBER(F133),ISNUMBER(G133)),IF(F133=G133,"",IF(INT(ROUND('参数'!$C$7/(ABS(F133-G133)*1+2*'参数'!$C$11+N('参数'!$C$14)*F133+N('参数'!$C$15))/1,6))*1&gt;0,INT(ROUND('参数'!$C$7/(ABS(F133-G133)*1+2*'参数'!$C$11+N('参数'!$C$14)*F133+N('参数'!$C$15))/1,6))*1,"预算不足，这笔不做")),"")</f>
        <v/>
      </c>
      <c r="K133" s="36" t="n"/>
      <c r="L133" s="20" t="str">
        <f>IF(AND(ISNUMBER(F133),ISNUMBER(G133),ISNUMBER(K133)),IF(AND(F133&lt;&gt;G133,K133&gt;0),ABS(F133-G133)*K133*1,""),"")</f>
        <v/>
      </c>
      <c r="M133" s="30" t="n"/>
      <c r="N133" s="37" t="str">
        <f>IF(AND(ISNUMBER(L133),ISNUMBER(M133)),IF(E133="空",(G133*(1+'参数'!$C$17)-F133),(F133-G133*(1-'参数'!$C$17)))*K133/L133,"")</f>
        <v/>
      </c>
      <c r="O133" s="38" t="n"/>
      <c r="P133" s="31" t="n"/>
      <c r="Q133" s="32" t="n"/>
      <c r="R133" s="39" t="str">
        <f>IF(N(U133)&gt;0,SUMPRODUCT(LARGE(('成交明细'!$A$5:$A$804=A133)*('成交明细'!$D$5:$D$804=IF(E133="空","卖","买"))*'成交明细'!$B$5:$B$804,COUNTIFS('成交明细'!$A$5:$A$804,A133,'成交明细'!$D$5:$D$804,IF(E133="空","卖","买")))),"")</f>
        <v/>
      </c>
      <c r="S133" s="39" t="str">
        <f>IF(AND(N(U133)&gt;0,N(W133)&gt;=N(U133)),SUMPRODUCT(MAX(('成交明细'!$A$5:$A$804=A133)*('成交明细'!$D$5:$D$804=IF(E133="空","买","卖"))*'成交明细'!$B$5:$B$804)),"")</f>
        <v/>
      </c>
      <c r="T133" s="32" t="n"/>
      <c r="U133" s="35" t="str">
        <f>IF(A133="","",SUMIFS('成交明细'!$F$5:$F$804,'成交明细'!$A$5:$A$804,A133,'成交明细'!$D$5:$D$804,IF(E133="空","卖","买")))</f>
        <v/>
      </c>
      <c r="V133" s="40" t="str">
        <f>IF(N(U133)&gt;0,SUMIFS('成交明细'!$H$5:$H$804,'成交明细'!$A$5:$A$804,A133,'成交明细'!$D$5:$D$804,IF(E133="空","卖","买"))/U133,"")</f>
        <v/>
      </c>
      <c r="W133" s="35" t="str">
        <f>IF(A133="","",SUMIFS('成交明细'!$F$5:$F$804,'成交明细'!$A$5:$A$804,A133,'成交明细'!$D$5:$D$804,IF(E133="空","买","卖")))</f>
        <v/>
      </c>
      <c r="X133" s="40" t="str">
        <f>IF(N(W133)&gt;0,SUMIFS('成交明细'!$H$5:$H$804,'成交明细'!$A$5:$A$804,A133,'成交明细'!$D$5:$D$804,IF(E133="空","买","卖"))/W133,"")</f>
        <v/>
      </c>
      <c r="Y133" s="41" t="str">
        <f>IF(A133="","",IF(Q133&lt;&gt;"已执行",IF(Q133="","未填执行情况",Q133),IF(N(U133)=0,"待录成交",IF(N(W133)&gt;N(U133),"平仓多于开仓",IF(N(W133)&lt;N(U133),"持仓中","已平仓")))))</f>
        <v/>
      </c>
      <c r="Z133" s="41" t="str">
        <f>IF(AND(ISNUMBER(R133),ISNUMBER(S133)),IF(R133=S133,"日内",""),"")</f>
        <v/>
      </c>
      <c r="AA133" s="42" t="str">
        <f>IF(Z133&lt;&gt;"日内","",COUNTIFS($Z$5:$Z$304,"日内",$S$5:$S$304,"&gt;"&amp;WORKDAY(S133,-5),$S$5:$S$304,"&lt;="&amp;S133))</f>
        <v/>
      </c>
      <c r="AB133" s="41" t="str">
        <f>IF(OR(NOT(ISNUMBER(M133)),NOT(ISNUMBER(R133))),"",IF(AND(M133&gt;=R133,OR(NOT(ISNUMBER(S133)),M133&lt;=S133)),"持仓跨财报",""))</f>
        <v/>
      </c>
      <c r="AC133" s="20">
        <f>IF(AND(E133="空",ISNUMBER(O133),ISNUMBER(S133)),ROUND(O133*(S133-R133)/360*V133*U133,2),0)</f>
        <v>0</v>
      </c>
      <c r="AD133" s="43" t="str">
        <f>IF(N(U133)=0,"",SUMIFS('成交明细'!$L$5:$L$804,'成交明细'!$A$5:$A$804,A133)+AC133)</f>
        <v/>
      </c>
      <c r="AE133" s="44" t="str">
        <f>IF(Y133&lt;&gt;"已平仓","",(SUMIFS('成交明细'!$H$5:$H$804,'成交明细'!$A$5:$A$804,A133,'成交明细'!$D$5:$D$804,"卖")-SUMIFS('成交明细'!$H$5:$H$804,'成交明细'!$A$5:$A$804,A133,'成交明细'!$D$5:$D$804,"买"))*1-AD133)</f>
        <v/>
      </c>
      <c r="AF133" s="45" t="str">
        <f>IF(AND(Y133="已平仓",ISNUMBER(L133)),(SUMIFS('成交明细'!$H$5:$H$804,'成交明细'!$A$5:$A$804,A133,'成交明细'!$D$5:$D$804,"卖")-SUMIFS('成交明细'!$H$5:$H$804,'成交明细'!$A$5:$A$804,A133,'成交明细'!$D$5:$D$804,"买"))*1/L133,"")</f>
        <v/>
      </c>
      <c r="AG133" s="45" t="str">
        <f>IF(AND(Y133="已平仓",ISNUMBER(L133)),AE133/L133,"")</f>
        <v/>
      </c>
      <c r="AH133" s="46" t="str">
        <f>IF(AND(ISNUMBER(V133),ISNUMBER(F133)),IF(E133="空",F133-V133,V133-F133),"")</f>
        <v/>
      </c>
      <c r="AI133" s="46" t="str">
        <f>IF(OR(NOT(ISNUMBER(AE133)),NOT(ISNUMBER(X133))),"",IF(AE133&lt;0,IF(E133="空",X133-G133,G133-X133),IF(NOT(ISNUMBER(H133)),"",IF(E133="空",X133-H133,H133-X133))))</f>
        <v/>
      </c>
      <c r="AJ133" s="32" t="n"/>
      <c r="AK133" s="32" t="n"/>
      <c r="AL133" s="31" t="n"/>
      <c r="AM133" s="45" t="str">
        <f>IF(A133="","",SUM(AG$5:AG133))</f>
        <v/>
      </c>
      <c r="AN133" s="37" t="str">
        <f>IF(A133="","",MAX(0,MAX(AM$5:AM133))-AM133)</f>
        <v/>
      </c>
    </row>
    <row r="134">
      <c r="A134" s="29" t="n"/>
      <c r="B134" s="30" t="n"/>
      <c r="C134" s="31" t="n"/>
      <c r="D134" s="32" t="n"/>
      <c r="E134" s="32" t="n"/>
      <c r="F134" s="33" t="n"/>
      <c r="G134" s="33" t="n"/>
      <c r="H134" s="33" t="n"/>
      <c r="I134" s="34" t="str">
        <f>IF(AND(ISNUMBER(F134),ISNUMBER(G134),ISNUMBER(H134)),IF(OR(AND(E134="多",F134&gt;G134),AND(E134="空",F134&lt;G134)),ABS(H134-F134)/ABS(F134-G134),"止损方向不对"),"")</f>
        <v/>
      </c>
      <c r="J134" s="35" t="str">
        <f>IF(AND(ISNUMBER(F134),ISNUMBER(G134)),IF(F134=G134,"",IF(INT(ROUND('参数'!$C$7/(ABS(F134-G134)*1+2*'参数'!$C$11+N('参数'!$C$14)*F134+N('参数'!$C$15))/1,6))*1&gt;0,INT(ROUND('参数'!$C$7/(ABS(F134-G134)*1+2*'参数'!$C$11+N('参数'!$C$14)*F134+N('参数'!$C$15))/1,6))*1,"预算不足，这笔不做")),"")</f>
        <v/>
      </c>
      <c r="K134" s="36" t="n"/>
      <c r="L134" s="20" t="str">
        <f>IF(AND(ISNUMBER(F134),ISNUMBER(G134),ISNUMBER(K134)),IF(AND(F134&lt;&gt;G134,K134&gt;0),ABS(F134-G134)*K134*1,""),"")</f>
        <v/>
      </c>
      <c r="M134" s="30" t="n"/>
      <c r="N134" s="37" t="str">
        <f>IF(AND(ISNUMBER(L134),ISNUMBER(M134)),IF(E134="空",(G134*(1+'参数'!$C$17)-F134),(F134-G134*(1-'参数'!$C$17)))*K134/L134,"")</f>
        <v/>
      </c>
      <c r="O134" s="38" t="n"/>
      <c r="P134" s="31" t="n"/>
      <c r="Q134" s="32" t="n"/>
      <c r="R134" s="39" t="str">
        <f>IF(N(U134)&gt;0,SUMPRODUCT(LARGE(('成交明细'!$A$5:$A$804=A134)*('成交明细'!$D$5:$D$804=IF(E134="空","卖","买"))*'成交明细'!$B$5:$B$804,COUNTIFS('成交明细'!$A$5:$A$804,A134,'成交明细'!$D$5:$D$804,IF(E134="空","卖","买")))),"")</f>
        <v/>
      </c>
      <c r="S134" s="39" t="str">
        <f>IF(AND(N(U134)&gt;0,N(W134)&gt;=N(U134)),SUMPRODUCT(MAX(('成交明细'!$A$5:$A$804=A134)*('成交明细'!$D$5:$D$804=IF(E134="空","买","卖"))*'成交明细'!$B$5:$B$804)),"")</f>
        <v/>
      </c>
      <c r="T134" s="32" t="n"/>
      <c r="U134" s="35" t="str">
        <f>IF(A134="","",SUMIFS('成交明细'!$F$5:$F$804,'成交明细'!$A$5:$A$804,A134,'成交明细'!$D$5:$D$804,IF(E134="空","卖","买")))</f>
        <v/>
      </c>
      <c r="V134" s="40" t="str">
        <f>IF(N(U134)&gt;0,SUMIFS('成交明细'!$H$5:$H$804,'成交明细'!$A$5:$A$804,A134,'成交明细'!$D$5:$D$804,IF(E134="空","卖","买"))/U134,"")</f>
        <v/>
      </c>
      <c r="W134" s="35" t="str">
        <f>IF(A134="","",SUMIFS('成交明细'!$F$5:$F$804,'成交明细'!$A$5:$A$804,A134,'成交明细'!$D$5:$D$804,IF(E134="空","买","卖")))</f>
        <v/>
      </c>
      <c r="X134" s="40" t="str">
        <f>IF(N(W134)&gt;0,SUMIFS('成交明细'!$H$5:$H$804,'成交明细'!$A$5:$A$804,A134,'成交明细'!$D$5:$D$804,IF(E134="空","买","卖"))/W134,"")</f>
        <v/>
      </c>
      <c r="Y134" s="41" t="str">
        <f>IF(A134="","",IF(Q134&lt;&gt;"已执行",IF(Q134="","未填执行情况",Q134),IF(N(U134)=0,"待录成交",IF(N(W134)&gt;N(U134),"平仓多于开仓",IF(N(W134)&lt;N(U134),"持仓中","已平仓")))))</f>
        <v/>
      </c>
      <c r="Z134" s="41" t="str">
        <f>IF(AND(ISNUMBER(R134),ISNUMBER(S134)),IF(R134=S134,"日内",""),"")</f>
        <v/>
      </c>
      <c r="AA134" s="42" t="str">
        <f>IF(Z134&lt;&gt;"日内","",COUNTIFS($Z$5:$Z$304,"日内",$S$5:$S$304,"&gt;"&amp;WORKDAY(S134,-5),$S$5:$S$304,"&lt;="&amp;S134))</f>
        <v/>
      </c>
      <c r="AB134" s="41" t="str">
        <f>IF(OR(NOT(ISNUMBER(M134)),NOT(ISNUMBER(R134))),"",IF(AND(M134&gt;=R134,OR(NOT(ISNUMBER(S134)),M134&lt;=S134)),"持仓跨财报",""))</f>
        <v/>
      </c>
      <c r="AC134" s="20">
        <f>IF(AND(E134="空",ISNUMBER(O134),ISNUMBER(S134)),ROUND(O134*(S134-R134)/360*V134*U134,2),0)</f>
        <v>0</v>
      </c>
      <c r="AD134" s="43" t="str">
        <f>IF(N(U134)=0,"",SUMIFS('成交明细'!$L$5:$L$804,'成交明细'!$A$5:$A$804,A134)+AC134)</f>
        <v/>
      </c>
      <c r="AE134" s="44" t="str">
        <f>IF(Y134&lt;&gt;"已平仓","",(SUMIFS('成交明细'!$H$5:$H$804,'成交明细'!$A$5:$A$804,A134,'成交明细'!$D$5:$D$804,"卖")-SUMIFS('成交明细'!$H$5:$H$804,'成交明细'!$A$5:$A$804,A134,'成交明细'!$D$5:$D$804,"买"))*1-AD134)</f>
        <v/>
      </c>
      <c r="AF134" s="45" t="str">
        <f>IF(AND(Y134="已平仓",ISNUMBER(L134)),(SUMIFS('成交明细'!$H$5:$H$804,'成交明细'!$A$5:$A$804,A134,'成交明细'!$D$5:$D$804,"卖")-SUMIFS('成交明细'!$H$5:$H$804,'成交明细'!$A$5:$A$804,A134,'成交明细'!$D$5:$D$804,"买"))*1/L134,"")</f>
        <v/>
      </c>
      <c r="AG134" s="45" t="str">
        <f>IF(AND(Y134="已平仓",ISNUMBER(L134)),AE134/L134,"")</f>
        <v/>
      </c>
      <c r="AH134" s="46" t="str">
        <f>IF(AND(ISNUMBER(V134),ISNUMBER(F134)),IF(E134="空",F134-V134,V134-F134),"")</f>
        <v/>
      </c>
      <c r="AI134" s="46" t="str">
        <f>IF(OR(NOT(ISNUMBER(AE134)),NOT(ISNUMBER(X134))),"",IF(AE134&lt;0,IF(E134="空",X134-G134,G134-X134),IF(NOT(ISNUMBER(H134)),"",IF(E134="空",X134-H134,H134-X134))))</f>
        <v/>
      </c>
      <c r="AJ134" s="32" t="n"/>
      <c r="AK134" s="32" t="n"/>
      <c r="AL134" s="31" t="n"/>
      <c r="AM134" s="45" t="str">
        <f>IF(A134="","",SUM(AG$5:AG134))</f>
        <v/>
      </c>
      <c r="AN134" s="37" t="str">
        <f>IF(A134="","",MAX(0,MAX(AM$5:AM134))-AM134)</f>
        <v/>
      </c>
    </row>
    <row r="135">
      <c r="A135" s="29" t="n"/>
      <c r="B135" s="30" t="n"/>
      <c r="C135" s="31" t="n"/>
      <c r="D135" s="32" t="n"/>
      <c r="E135" s="32" t="n"/>
      <c r="F135" s="33" t="n"/>
      <c r="G135" s="33" t="n"/>
      <c r="H135" s="33" t="n"/>
      <c r="I135" s="34" t="str">
        <f>IF(AND(ISNUMBER(F135),ISNUMBER(G135),ISNUMBER(H135)),IF(OR(AND(E135="多",F135&gt;G135),AND(E135="空",F135&lt;G135)),ABS(H135-F135)/ABS(F135-G135),"止损方向不对"),"")</f>
        <v/>
      </c>
      <c r="J135" s="35" t="str">
        <f>IF(AND(ISNUMBER(F135),ISNUMBER(G135)),IF(F135=G135,"",IF(INT(ROUND('参数'!$C$7/(ABS(F135-G135)*1+2*'参数'!$C$11+N('参数'!$C$14)*F135+N('参数'!$C$15))/1,6))*1&gt;0,INT(ROUND('参数'!$C$7/(ABS(F135-G135)*1+2*'参数'!$C$11+N('参数'!$C$14)*F135+N('参数'!$C$15))/1,6))*1,"预算不足，这笔不做")),"")</f>
        <v/>
      </c>
      <c r="K135" s="36" t="n"/>
      <c r="L135" s="20" t="str">
        <f>IF(AND(ISNUMBER(F135),ISNUMBER(G135),ISNUMBER(K135)),IF(AND(F135&lt;&gt;G135,K135&gt;0),ABS(F135-G135)*K135*1,""),"")</f>
        <v/>
      </c>
      <c r="M135" s="30" t="n"/>
      <c r="N135" s="37" t="str">
        <f>IF(AND(ISNUMBER(L135),ISNUMBER(M135)),IF(E135="空",(G135*(1+'参数'!$C$17)-F135),(F135-G135*(1-'参数'!$C$17)))*K135/L135,"")</f>
        <v/>
      </c>
      <c r="O135" s="38" t="n"/>
      <c r="P135" s="31" t="n"/>
      <c r="Q135" s="32" t="n"/>
      <c r="R135" s="39" t="str">
        <f>IF(N(U135)&gt;0,SUMPRODUCT(LARGE(('成交明细'!$A$5:$A$804=A135)*('成交明细'!$D$5:$D$804=IF(E135="空","卖","买"))*'成交明细'!$B$5:$B$804,COUNTIFS('成交明细'!$A$5:$A$804,A135,'成交明细'!$D$5:$D$804,IF(E135="空","卖","买")))),"")</f>
        <v/>
      </c>
      <c r="S135" s="39" t="str">
        <f>IF(AND(N(U135)&gt;0,N(W135)&gt;=N(U135)),SUMPRODUCT(MAX(('成交明细'!$A$5:$A$804=A135)*('成交明细'!$D$5:$D$804=IF(E135="空","买","卖"))*'成交明细'!$B$5:$B$804)),"")</f>
        <v/>
      </c>
      <c r="T135" s="32" t="n"/>
      <c r="U135" s="35" t="str">
        <f>IF(A135="","",SUMIFS('成交明细'!$F$5:$F$804,'成交明细'!$A$5:$A$804,A135,'成交明细'!$D$5:$D$804,IF(E135="空","卖","买")))</f>
        <v/>
      </c>
      <c r="V135" s="40" t="str">
        <f>IF(N(U135)&gt;0,SUMIFS('成交明细'!$H$5:$H$804,'成交明细'!$A$5:$A$804,A135,'成交明细'!$D$5:$D$804,IF(E135="空","卖","买"))/U135,"")</f>
        <v/>
      </c>
      <c r="W135" s="35" t="str">
        <f>IF(A135="","",SUMIFS('成交明细'!$F$5:$F$804,'成交明细'!$A$5:$A$804,A135,'成交明细'!$D$5:$D$804,IF(E135="空","买","卖")))</f>
        <v/>
      </c>
      <c r="X135" s="40" t="str">
        <f>IF(N(W135)&gt;0,SUMIFS('成交明细'!$H$5:$H$804,'成交明细'!$A$5:$A$804,A135,'成交明细'!$D$5:$D$804,IF(E135="空","买","卖"))/W135,"")</f>
        <v/>
      </c>
      <c r="Y135" s="41" t="str">
        <f>IF(A135="","",IF(Q135&lt;&gt;"已执行",IF(Q135="","未填执行情况",Q135),IF(N(U135)=0,"待录成交",IF(N(W135)&gt;N(U135),"平仓多于开仓",IF(N(W135)&lt;N(U135),"持仓中","已平仓")))))</f>
        <v/>
      </c>
      <c r="Z135" s="41" t="str">
        <f>IF(AND(ISNUMBER(R135),ISNUMBER(S135)),IF(R135=S135,"日内",""),"")</f>
        <v/>
      </c>
      <c r="AA135" s="42" t="str">
        <f>IF(Z135&lt;&gt;"日内","",COUNTIFS($Z$5:$Z$304,"日内",$S$5:$S$304,"&gt;"&amp;WORKDAY(S135,-5),$S$5:$S$304,"&lt;="&amp;S135))</f>
        <v/>
      </c>
      <c r="AB135" s="41" t="str">
        <f>IF(OR(NOT(ISNUMBER(M135)),NOT(ISNUMBER(R135))),"",IF(AND(M135&gt;=R135,OR(NOT(ISNUMBER(S135)),M135&lt;=S135)),"持仓跨财报",""))</f>
        <v/>
      </c>
      <c r="AC135" s="20">
        <f>IF(AND(E135="空",ISNUMBER(O135),ISNUMBER(S135)),ROUND(O135*(S135-R135)/360*V135*U135,2),0)</f>
        <v>0</v>
      </c>
      <c r="AD135" s="43" t="str">
        <f>IF(N(U135)=0,"",SUMIFS('成交明细'!$L$5:$L$804,'成交明细'!$A$5:$A$804,A135)+AC135)</f>
        <v/>
      </c>
      <c r="AE135" s="44" t="str">
        <f>IF(Y135&lt;&gt;"已平仓","",(SUMIFS('成交明细'!$H$5:$H$804,'成交明细'!$A$5:$A$804,A135,'成交明细'!$D$5:$D$804,"卖")-SUMIFS('成交明细'!$H$5:$H$804,'成交明细'!$A$5:$A$804,A135,'成交明细'!$D$5:$D$804,"买"))*1-AD135)</f>
        <v/>
      </c>
      <c r="AF135" s="45" t="str">
        <f>IF(AND(Y135="已平仓",ISNUMBER(L135)),(SUMIFS('成交明细'!$H$5:$H$804,'成交明细'!$A$5:$A$804,A135,'成交明细'!$D$5:$D$804,"卖")-SUMIFS('成交明细'!$H$5:$H$804,'成交明细'!$A$5:$A$804,A135,'成交明细'!$D$5:$D$804,"买"))*1/L135,"")</f>
        <v/>
      </c>
      <c r="AG135" s="45" t="str">
        <f>IF(AND(Y135="已平仓",ISNUMBER(L135)),AE135/L135,"")</f>
        <v/>
      </c>
      <c r="AH135" s="46" t="str">
        <f>IF(AND(ISNUMBER(V135),ISNUMBER(F135)),IF(E135="空",F135-V135,V135-F135),"")</f>
        <v/>
      </c>
      <c r="AI135" s="46" t="str">
        <f>IF(OR(NOT(ISNUMBER(AE135)),NOT(ISNUMBER(X135))),"",IF(AE135&lt;0,IF(E135="空",X135-G135,G135-X135),IF(NOT(ISNUMBER(H135)),"",IF(E135="空",X135-H135,H135-X135))))</f>
        <v/>
      </c>
      <c r="AJ135" s="32" t="n"/>
      <c r="AK135" s="32" t="n"/>
      <c r="AL135" s="31" t="n"/>
      <c r="AM135" s="45" t="str">
        <f>IF(A135="","",SUM(AG$5:AG135))</f>
        <v/>
      </c>
      <c r="AN135" s="37" t="str">
        <f>IF(A135="","",MAX(0,MAX(AM$5:AM135))-AM135)</f>
        <v/>
      </c>
    </row>
    <row r="136">
      <c r="A136" s="29" t="n"/>
      <c r="B136" s="30" t="n"/>
      <c r="C136" s="31" t="n"/>
      <c r="D136" s="32" t="n"/>
      <c r="E136" s="32" t="n"/>
      <c r="F136" s="33" t="n"/>
      <c r="G136" s="33" t="n"/>
      <c r="H136" s="33" t="n"/>
      <c r="I136" s="34" t="str">
        <f>IF(AND(ISNUMBER(F136),ISNUMBER(G136),ISNUMBER(H136)),IF(OR(AND(E136="多",F136&gt;G136),AND(E136="空",F136&lt;G136)),ABS(H136-F136)/ABS(F136-G136),"止损方向不对"),"")</f>
        <v/>
      </c>
      <c r="J136" s="35" t="str">
        <f>IF(AND(ISNUMBER(F136),ISNUMBER(G136)),IF(F136=G136,"",IF(INT(ROUND('参数'!$C$7/(ABS(F136-G136)*1+2*'参数'!$C$11+N('参数'!$C$14)*F136+N('参数'!$C$15))/1,6))*1&gt;0,INT(ROUND('参数'!$C$7/(ABS(F136-G136)*1+2*'参数'!$C$11+N('参数'!$C$14)*F136+N('参数'!$C$15))/1,6))*1,"预算不足，这笔不做")),"")</f>
        <v/>
      </c>
      <c r="K136" s="36" t="n"/>
      <c r="L136" s="20" t="str">
        <f>IF(AND(ISNUMBER(F136),ISNUMBER(G136),ISNUMBER(K136)),IF(AND(F136&lt;&gt;G136,K136&gt;0),ABS(F136-G136)*K136*1,""),"")</f>
        <v/>
      </c>
      <c r="M136" s="30" t="n"/>
      <c r="N136" s="37" t="str">
        <f>IF(AND(ISNUMBER(L136),ISNUMBER(M136)),IF(E136="空",(G136*(1+'参数'!$C$17)-F136),(F136-G136*(1-'参数'!$C$17)))*K136/L136,"")</f>
        <v/>
      </c>
      <c r="O136" s="38" t="n"/>
      <c r="P136" s="31" t="n"/>
      <c r="Q136" s="32" t="n"/>
      <c r="R136" s="39" t="str">
        <f>IF(N(U136)&gt;0,SUMPRODUCT(LARGE(('成交明细'!$A$5:$A$804=A136)*('成交明细'!$D$5:$D$804=IF(E136="空","卖","买"))*'成交明细'!$B$5:$B$804,COUNTIFS('成交明细'!$A$5:$A$804,A136,'成交明细'!$D$5:$D$804,IF(E136="空","卖","买")))),"")</f>
        <v/>
      </c>
      <c r="S136" s="39" t="str">
        <f>IF(AND(N(U136)&gt;0,N(W136)&gt;=N(U136)),SUMPRODUCT(MAX(('成交明细'!$A$5:$A$804=A136)*('成交明细'!$D$5:$D$804=IF(E136="空","买","卖"))*'成交明细'!$B$5:$B$804)),"")</f>
        <v/>
      </c>
      <c r="T136" s="32" t="n"/>
      <c r="U136" s="35" t="str">
        <f>IF(A136="","",SUMIFS('成交明细'!$F$5:$F$804,'成交明细'!$A$5:$A$804,A136,'成交明细'!$D$5:$D$804,IF(E136="空","卖","买")))</f>
        <v/>
      </c>
      <c r="V136" s="40" t="str">
        <f>IF(N(U136)&gt;0,SUMIFS('成交明细'!$H$5:$H$804,'成交明细'!$A$5:$A$804,A136,'成交明细'!$D$5:$D$804,IF(E136="空","卖","买"))/U136,"")</f>
        <v/>
      </c>
      <c r="W136" s="35" t="str">
        <f>IF(A136="","",SUMIFS('成交明细'!$F$5:$F$804,'成交明细'!$A$5:$A$804,A136,'成交明细'!$D$5:$D$804,IF(E136="空","买","卖")))</f>
        <v/>
      </c>
      <c r="X136" s="40" t="str">
        <f>IF(N(W136)&gt;0,SUMIFS('成交明细'!$H$5:$H$804,'成交明细'!$A$5:$A$804,A136,'成交明细'!$D$5:$D$804,IF(E136="空","买","卖"))/W136,"")</f>
        <v/>
      </c>
      <c r="Y136" s="41" t="str">
        <f>IF(A136="","",IF(Q136&lt;&gt;"已执行",IF(Q136="","未填执行情况",Q136),IF(N(U136)=0,"待录成交",IF(N(W136)&gt;N(U136),"平仓多于开仓",IF(N(W136)&lt;N(U136),"持仓中","已平仓")))))</f>
        <v/>
      </c>
      <c r="Z136" s="41" t="str">
        <f>IF(AND(ISNUMBER(R136),ISNUMBER(S136)),IF(R136=S136,"日内",""),"")</f>
        <v/>
      </c>
      <c r="AA136" s="42" t="str">
        <f>IF(Z136&lt;&gt;"日内","",COUNTIFS($Z$5:$Z$304,"日内",$S$5:$S$304,"&gt;"&amp;WORKDAY(S136,-5),$S$5:$S$304,"&lt;="&amp;S136))</f>
        <v/>
      </c>
      <c r="AB136" s="41" t="str">
        <f>IF(OR(NOT(ISNUMBER(M136)),NOT(ISNUMBER(R136))),"",IF(AND(M136&gt;=R136,OR(NOT(ISNUMBER(S136)),M136&lt;=S136)),"持仓跨财报",""))</f>
        <v/>
      </c>
      <c r="AC136" s="20">
        <f>IF(AND(E136="空",ISNUMBER(O136),ISNUMBER(S136)),ROUND(O136*(S136-R136)/360*V136*U136,2),0)</f>
        <v>0</v>
      </c>
      <c r="AD136" s="43" t="str">
        <f>IF(N(U136)=0,"",SUMIFS('成交明细'!$L$5:$L$804,'成交明细'!$A$5:$A$804,A136)+AC136)</f>
        <v/>
      </c>
      <c r="AE136" s="44" t="str">
        <f>IF(Y136&lt;&gt;"已平仓","",(SUMIFS('成交明细'!$H$5:$H$804,'成交明细'!$A$5:$A$804,A136,'成交明细'!$D$5:$D$804,"卖")-SUMIFS('成交明细'!$H$5:$H$804,'成交明细'!$A$5:$A$804,A136,'成交明细'!$D$5:$D$804,"买"))*1-AD136)</f>
        <v/>
      </c>
      <c r="AF136" s="45" t="str">
        <f>IF(AND(Y136="已平仓",ISNUMBER(L136)),(SUMIFS('成交明细'!$H$5:$H$804,'成交明细'!$A$5:$A$804,A136,'成交明细'!$D$5:$D$804,"卖")-SUMIFS('成交明细'!$H$5:$H$804,'成交明细'!$A$5:$A$804,A136,'成交明细'!$D$5:$D$804,"买"))*1/L136,"")</f>
        <v/>
      </c>
      <c r="AG136" s="45" t="str">
        <f>IF(AND(Y136="已平仓",ISNUMBER(L136)),AE136/L136,"")</f>
        <v/>
      </c>
      <c r="AH136" s="46" t="str">
        <f>IF(AND(ISNUMBER(V136),ISNUMBER(F136)),IF(E136="空",F136-V136,V136-F136),"")</f>
        <v/>
      </c>
      <c r="AI136" s="46" t="str">
        <f>IF(OR(NOT(ISNUMBER(AE136)),NOT(ISNUMBER(X136))),"",IF(AE136&lt;0,IF(E136="空",X136-G136,G136-X136),IF(NOT(ISNUMBER(H136)),"",IF(E136="空",X136-H136,H136-X136))))</f>
        <v/>
      </c>
      <c r="AJ136" s="32" t="n"/>
      <c r="AK136" s="32" t="n"/>
      <c r="AL136" s="31" t="n"/>
      <c r="AM136" s="45" t="str">
        <f>IF(A136="","",SUM(AG$5:AG136))</f>
        <v/>
      </c>
      <c r="AN136" s="37" t="str">
        <f>IF(A136="","",MAX(0,MAX(AM$5:AM136))-AM136)</f>
        <v/>
      </c>
    </row>
    <row r="137">
      <c r="A137" s="29" t="n"/>
      <c r="B137" s="30" t="n"/>
      <c r="C137" s="31" t="n"/>
      <c r="D137" s="32" t="n"/>
      <c r="E137" s="32" t="n"/>
      <c r="F137" s="33" t="n"/>
      <c r="G137" s="33" t="n"/>
      <c r="H137" s="33" t="n"/>
      <c r="I137" s="34" t="str">
        <f>IF(AND(ISNUMBER(F137),ISNUMBER(G137),ISNUMBER(H137)),IF(OR(AND(E137="多",F137&gt;G137),AND(E137="空",F137&lt;G137)),ABS(H137-F137)/ABS(F137-G137),"止损方向不对"),"")</f>
        <v/>
      </c>
      <c r="J137" s="35" t="str">
        <f>IF(AND(ISNUMBER(F137),ISNUMBER(G137)),IF(F137=G137,"",IF(INT(ROUND('参数'!$C$7/(ABS(F137-G137)*1+2*'参数'!$C$11+N('参数'!$C$14)*F137+N('参数'!$C$15))/1,6))*1&gt;0,INT(ROUND('参数'!$C$7/(ABS(F137-G137)*1+2*'参数'!$C$11+N('参数'!$C$14)*F137+N('参数'!$C$15))/1,6))*1,"预算不足，这笔不做")),"")</f>
        <v/>
      </c>
      <c r="K137" s="36" t="n"/>
      <c r="L137" s="20" t="str">
        <f>IF(AND(ISNUMBER(F137),ISNUMBER(G137),ISNUMBER(K137)),IF(AND(F137&lt;&gt;G137,K137&gt;0),ABS(F137-G137)*K137*1,""),"")</f>
        <v/>
      </c>
      <c r="M137" s="30" t="n"/>
      <c r="N137" s="37" t="str">
        <f>IF(AND(ISNUMBER(L137),ISNUMBER(M137)),IF(E137="空",(G137*(1+'参数'!$C$17)-F137),(F137-G137*(1-'参数'!$C$17)))*K137/L137,"")</f>
        <v/>
      </c>
      <c r="O137" s="38" t="n"/>
      <c r="P137" s="31" t="n"/>
      <c r="Q137" s="32" t="n"/>
      <c r="R137" s="39" t="str">
        <f>IF(N(U137)&gt;0,SUMPRODUCT(LARGE(('成交明细'!$A$5:$A$804=A137)*('成交明细'!$D$5:$D$804=IF(E137="空","卖","买"))*'成交明细'!$B$5:$B$804,COUNTIFS('成交明细'!$A$5:$A$804,A137,'成交明细'!$D$5:$D$804,IF(E137="空","卖","买")))),"")</f>
        <v/>
      </c>
      <c r="S137" s="39" t="str">
        <f>IF(AND(N(U137)&gt;0,N(W137)&gt;=N(U137)),SUMPRODUCT(MAX(('成交明细'!$A$5:$A$804=A137)*('成交明细'!$D$5:$D$804=IF(E137="空","买","卖"))*'成交明细'!$B$5:$B$804)),"")</f>
        <v/>
      </c>
      <c r="T137" s="32" t="n"/>
      <c r="U137" s="35" t="str">
        <f>IF(A137="","",SUMIFS('成交明细'!$F$5:$F$804,'成交明细'!$A$5:$A$804,A137,'成交明细'!$D$5:$D$804,IF(E137="空","卖","买")))</f>
        <v/>
      </c>
      <c r="V137" s="40" t="str">
        <f>IF(N(U137)&gt;0,SUMIFS('成交明细'!$H$5:$H$804,'成交明细'!$A$5:$A$804,A137,'成交明细'!$D$5:$D$804,IF(E137="空","卖","买"))/U137,"")</f>
        <v/>
      </c>
      <c r="W137" s="35" t="str">
        <f>IF(A137="","",SUMIFS('成交明细'!$F$5:$F$804,'成交明细'!$A$5:$A$804,A137,'成交明细'!$D$5:$D$804,IF(E137="空","买","卖")))</f>
        <v/>
      </c>
      <c r="X137" s="40" t="str">
        <f>IF(N(W137)&gt;0,SUMIFS('成交明细'!$H$5:$H$804,'成交明细'!$A$5:$A$804,A137,'成交明细'!$D$5:$D$804,IF(E137="空","买","卖"))/W137,"")</f>
        <v/>
      </c>
      <c r="Y137" s="41" t="str">
        <f>IF(A137="","",IF(Q137&lt;&gt;"已执行",IF(Q137="","未填执行情况",Q137),IF(N(U137)=0,"待录成交",IF(N(W137)&gt;N(U137),"平仓多于开仓",IF(N(W137)&lt;N(U137),"持仓中","已平仓")))))</f>
        <v/>
      </c>
      <c r="Z137" s="41" t="str">
        <f>IF(AND(ISNUMBER(R137),ISNUMBER(S137)),IF(R137=S137,"日内",""),"")</f>
        <v/>
      </c>
      <c r="AA137" s="42" t="str">
        <f>IF(Z137&lt;&gt;"日内","",COUNTIFS($Z$5:$Z$304,"日内",$S$5:$S$304,"&gt;"&amp;WORKDAY(S137,-5),$S$5:$S$304,"&lt;="&amp;S137))</f>
        <v/>
      </c>
      <c r="AB137" s="41" t="str">
        <f>IF(OR(NOT(ISNUMBER(M137)),NOT(ISNUMBER(R137))),"",IF(AND(M137&gt;=R137,OR(NOT(ISNUMBER(S137)),M137&lt;=S137)),"持仓跨财报",""))</f>
        <v/>
      </c>
      <c r="AC137" s="20">
        <f>IF(AND(E137="空",ISNUMBER(O137),ISNUMBER(S137)),ROUND(O137*(S137-R137)/360*V137*U137,2),0)</f>
        <v>0</v>
      </c>
      <c r="AD137" s="43" t="str">
        <f>IF(N(U137)=0,"",SUMIFS('成交明细'!$L$5:$L$804,'成交明细'!$A$5:$A$804,A137)+AC137)</f>
        <v/>
      </c>
      <c r="AE137" s="44" t="str">
        <f>IF(Y137&lt;&gt;"已平仓","",(SUMIFS('成交明细'!$H$5:$H$804,'成交明细'!$A$5:$A$804,A137,'成交明细'!$D$5:$D$804,"卖")-SUMIFS('成交明细'!$H$5:$H$804,'成交明细'!$A$5:$A$804,A137,'成交明细'!$D$5:$D$804,"买"))*1-AD137)</f>
        <v/>
      </c>
      <c r="AF137" s="45" t="str">
        <f>IF(AND(Y137="已平仓",ISNUMBER(L137)),(SUMIFS('成交明细'!$H$5:$H$804,'成交明细'!$A$5:$A$804,A137,'成交明细'!$D$5:$D$804,"卖")-SUMIFS('成交明细'!$H$5:$H$804,'成交明细'!$A$5:$A$804,A137,'成交明细'!$D$5:$D$804,"买"))*1/L137,"")</f>
        <v/>
      </c>
      <c r="AG137" s="45" t="str">
        <f>IF(AND(Y137="已平仓",ISNUMBER(L137)),AE137/L137,"")</f>
        <v/>
      </c>
      <c r="AH137" s="46" t="str">
        <f>IF(AND(ISNUMBER(V137),ISNUMBER(F137)),IF(E137="空",F137-V137,V137-F137),"")</f>
        <v/>
      </c>
      <c r="AI137" s="46" t="str">
        <f>IF(OR(NOT(ISNUMBER(AE137)),NOT(ISNUMBER(X137))),"",IF(AE137&lt;0,IF(E137="空",X137-G137,G137-X137),IF(NOT(ISNUMBER(H137)),"",IF(E137="空",X137-H137,H137-X137))))</f>
        <v/>
      </c>
      <c r="AJ137" s="32" t="n"/>
      <c r="AK137" s="32" t="n"/>
      <c r="AL137" s="31" t="n"/>
      <c r="AM137" s="45" t="str">
        <f>IF(A137="","",SUM(AG$5:AG137))</f>
        <v/>
      </c>
      <c r="AN137" s="37" t="str">
        <f>IF(A137="","",MAX(0,MAX(AM$5:AM137))-AM137)</f>
        <v/>
      </c>
    </row>
    <row r="138">
      <c r="A138" s="29" t="n"/>
      <c r="B138" s="30" t="n"/>
      <c r="C138" s="31" t="n"/>
      <c r="D138" s="32" t="n"/>
      <c r="E138" s="32" t="n"/>
      <c r="F138" s="33" t="n"/>
      <c r="G138" s="33" t="n"/>
      <c r="H138" s="33" t="n"/>
      <c r="I138" s="34" t="str">
        <f>IF(AND(ISNUMBER(F138),ISNUMBER(G138),ISNUMBER(H138)),IF(OR(AND(E138="多",F138&gt;G138),AND(E138="空",F138&lt;G138)),ABS(H138-F138)/ABS(F138-G138),"止损方向不对"),"")</f>
        <v/>
      </c>
      <c r="J138" s="35" t="str">
        <f>IF(AND(ISNUMBER(F138),ISNUMBER(G138)),IF(F138=G138,"",IF(INT(ROUND('参数'!$C$7/(ABS(F138-G138)*1+2*'参数'!$C$11+N('参数'!$C$14)*F138+N('参数'!$C$15))/1,6))*1&gt;0,INT(ROUND('参数'!$C$7/(ABS(F138-G138)*1+2*'参数'!$C$11+N('参数'!$C$14)*F138+N('参数'!$C$15))/1,6))*1,"预算不足，这笔不做")),"")</f>
        <v/>
      </c>
      <c r="K138" s="36" t="n"/>
      <c r="L138" s="20" t="str">
        <f>IF(AND(ISNUMBER(F138),ISNUMBER(G138),ISNUMBER(K138)),IF(AND(F138&lt;&gt;G138,K138&gt;0),ABS(F138-G138)*K138*1,""),"")</f>
        <v/>
      </c>
      <c r="M138" s="30" t="n"/>
      <c r="N138" s="37" t="str">
        <f>IF(AND(ISNUMBER(L138),ISNUMBER(M138)),IF(E138="空",(G138*(1+'参数'!$C$17)-F138),(F138-G138*(1-'参数'!$C$17)))*K138/L138,"")</f>
        <v/>
      </c>
      <c r="O138" s="38" t="n"/>
      <c r="P138" s="31" t="n"/>
      <c r="Q138" s="32" t="n"/>
      <c r="R138" s="39" t="str">
        <f>IF(N(U138)&gt;0,SUMPRODUCT(LARGE(('成交明细'!$A$5:$A$804=A138)*('成交明细'!$D$5:$D$804=IF(E138="空","卖","买"))*'成交明细'!$B$5:$B$804,COUNTIFS('成交明细'!$A$5:$A$804,A138,'成交明细'!$D$5:$D$804,IF(E138="空","卖","买")))),"")</f>
        <v/>
      </c>
      <c r="S138" s="39" t="str">
        <f>IF(AND(N(U138)&gt;0,N(W138)&gt;=N(U138)),SUMPRODUCT(MAX(('成交明细'!$A$5:$A$804=A138)*('成交明细'!$D$5:$D$804=IF(E138="空","买","卖"))*'成交明细'!$B$5:$B$804)),"")</f>
        <v/>
      </c>
      <c r="T138" s="32" t="n"/>
      <c r="U138" s="35" t="str">
        <f>IF(A138="","",SUMIFS('成交明细'!$F$5:$F$804,'成交明细'!$A$5:$A$804,A138,'成交明细'!$D$5:$D$804,IF(E138="空","卖","买")))</f>
        <v/>
      </c>
      <c r="V138" s="40" t="str">
        <f>IF(N(U138)&gt;0,SUMIFS('成交明细'!$H$5:$H$804,'成交明细'!$A$5:$A$804,A138,'成交明细'!$D$5:$D$804,IF(E138="空","卖","买"))/U138,"")</f>
        <v/>
      </c>
      <c r="W138" s="35" t="str">
        <f>IF(A138="","",SUMIFS('成交明细'!$F$5:$F$804,'成交明细'!$A$5:$A$804,A138,'成交明细'!$D$5:$D$804,IF(E138="空","买","卖")))</f>
        <v/>
      </c>
      <c r="X138" s="40" t="str">
        <f>IF(N(W138)&gt;0,SUMIFS('成交明细'!$H$5:$H$804,'成交明细'!$A$5:$A$804,A138,'成交明细'!$D$5:$D$804,IF(E138="空","买","卖"))/W138,"")</f>
        <v/>
      </c>
      <c r="Y138" s="41" t="str">
        <f>IF(A138="","",IF(Q138&lt;&gt;"已执行",IF(Q138="","未填执行情况",Q138),IF(N(U138)=0,"待录成交",IF(N(W138)&gt;N(U138),"平仓多于开仓",IF(N(W138)&lt;N(U138),"持仓中","已平仓")))))</f>
        <v/>
      </c>
      <c r="Z138" s="41" t="str">
        <f>IF(AND(ISNUMBER(R138),ISNUMBER(S138)),IF(R138=S138,"日内",""),"")</f>
        <v/>
      </c>
      <c r="AA138" s="42" t="str">
        <f>IF(Z138&lt;&gt;"日内","",COUNTIFS($Z$5:$Z$304,"日内",$S$5:$S$304,"&gt;"&amp;WORKDAY(S138,-5),$S$5:$S$304,"&lt;="&amp;S138))</f>
        <v/>
      </c>
      <c r="AB138" s="41" t="str">
        <f>IF(OR(NOT(ISNUMBER(M138)),NOT(ISNUMBER(R138))),"",IF(AND(M138&gt;=R138,OR(NOT(ISNUMBER(S138)),M138&lt;=S138)),"持仓跨财报",""))</f>
        <v/>
      </c>
      <c r="AC138" s="20">
        <f>IF(AND(E138="空",ISNUMBER(O138),ISNUMBER(S138)),ROUND(O138*(S138-R138)/360*V138*U138,2),0)</f>
        <v>0</v>
      </c>
      <c r="AD138" s="43" t="str">
        <f>IF(N(U138)=0,"",SUMIFS('成交明细'!$L$5:$L$804,'成交明细'!$A$5:$A$804,A138)+AC138)</f>
        <v/>
      </c>
      <c r="AE138" s="44" t="str">
        <f>IF(Y138&lt;&gt;"已平仓","",(SUMIFS('成交明细'!$H$5:$H$804,'成交明细'!$A$5:$A$804,A138,'成交明细'!$D$5:$D$804,"卖")-SUMIFS('成交明细'!$H$5:$H$804,'成交明细'!$A$5:$A$804,A138,'成交明细'!$D$5:$D$804,"买"))*1-AD138)</f>
        <v/>
      </c>
      <c r="AF138" s="45" t="str">
        <f>IF(AND(Y138="已平仓",ISNUMBER(L138)),(SUMIFS('成交明细'!$H$5:$H$804,'成交明细'!$A$5:$A$804,A138,'成交明细'!$D$5:$D$804,"卖")-SUMIFS('成交明细'!$H$5:$H$804,'成交明细'!$A$5:$A$804,A138,'成交明细'!$D$5:$D$804,"买"))*1/L138,"")</f>
        <v/>
      </c>
      <c r="AG138" s="45" t="str">
        <f>IF(AND(Y138="已平仓",ISNUMBER(L138)),AE138/L138,"")</f>
        <v/>
      </c>
      <c r="AH138" s="46" t="str">
        <f>IF(AND(ISNUMBER(V138),ISNUMBER(F138)),IF(E138="空",F138-V138,V138-F138),"")</f>
        <v/>
      </c>
      <c r="AI138" s="46" t="str">
        <f>IF(OR(NOT(ISNUMBER(AE138)),NOT(ISNUMBER(X138))),"",IF(AE138&lt;0,IF(E138="空",X138-G138,G138-X138),IF(NOT(ISNUMBER(H138)),"",IF(E138="空",X138-H138,H138-X138))))</f>
        <v/>
      </c>
      <c r="AJ138" s="32" t="n"/>
      <c r="AK138" s="32" t="n"/>
      <c r="AL138" s="31" t="n"/>
      <c r="AM138" s="45" t="str">
        <f>IF(A138="","",SUM(AG$5:AG138))</f>
        <v/>
      </c>
      <c r="AN138" s="37" t="str">
        <f>IF(A138="","",MAX(0,MAX(AM$5:AM138))-AM138)</f>
        <v/>
      </c>
    </row>
    <row r="139">
      <c r="A139" s="29" t="n"/>
      <c r="B139" s="30" t="n"/>
      <c r="C139" s="31" t="n"/>
      <c r="D139" s="32" t="n"/>
      <c r="E139" s="32" t="n"/>
      <c r="F139" s="33" t="n"/>
      <c r="G139" s="33" t="n"/>
      <c r="H139" s="33" t="n"/>
      <c r="I139" s="34" t="str">
        <f>IF(AND(ISNUMBER(F139),ISNUMBER(G139),ISNUMBER(H139)),IF(OR(AND(E139="多",F139&gt;G139),AND(E139="空",F139&lt;G139)),ABS(H139-F139)/ABS(F139-G139),"止损方向不对"),"")</f>
        <v/>
      </c>
      <c r="J139" s="35" t="str">
        <f>IF(AND(ISNUMBER(F139),ISNUMBER(G139)),IF(F139=G139,"",IF(INT(ROUND('参数'!$C$7/(ABS(F139-G139)*1+2*'参数'!$C$11+N('参数'!$C$14)*F139+N('参数'!$C$15))/1,6))*1&gt;0,INT(ROUND('参数'!$C$7/(ABS(F139-G139)*1+2*'参数'!$C$11+N('参数'!$C$14)*F139+N('参数'!$C$15))/1,6))*1,"预算不足，这笔不做")),"")</f>
        <v/>
      </c>
      <c r="K139" s="36" t="n"/>
      <c r="L139" s="20" t="str">
        <f>IF(AND(ISNUMBER(F139),ISNUMBER(G139),ISNUMBER(K139)),IF(AND(F139&lt;&gt;G139,K139&gt;0),ABS(F139-G139)*K139*1,""),"")</f>
        <v/>
      </c>
      <c r="M139" s="30" t="n"/>
      <c r="N139" s="37" t="str">
        <f>IF(AND(ISNUMBER(L139),ISNUMBER(M139)),IF(E139="空",(G139*(1+'参数'!$C$17)-F139),(F139-G139*(1-'参数'!$C$17)))*K139/L139,"")</f>
        <v/>
      </c>
      <c r="O139" s="38" t="n"/>
      <c r="P139" s="31" t="n"/>
      <c r="Q139" s="32" t="n"/>
      <c r="R139" s="39" t="str">
        <f>IF(N(U139)&gt;0,SUMPRODUCT(LARGE(('成交明细'!$A$5:$A$804=A139)*('成交明细'!$D$5:$D$804=IF(E139="空","卖","买"))*'成交明细'!$B$5:$B$804,COUNTIFS('成交明细'!$A$5:$A$804,A139,'成交明细'!$D$5:$D$804,IF(E139="空","卖","买")))),"")</f>
        <v/>
      </c>
      <c r="S139" s="39" t="str">
        <f>IF(AND(N(U139)&gt;0,N(W139)&gt;=N(U139)),SUMPRODUCT(MAX(('成交明细'!$A$5:$A$804=A139)*('成交明细'!$D$5:$D$804=IF(E139="空","买","卖"))*'成交明细'!$B$5:$B$804)),"")</f>
        <v/>
      </c>
      <c r="T139" s="32" t="n"/>
      <c r="U139" s="35" t="str">
        <f>IF(A139="","",SUMIFS('成交明细'!$F$5:$F$804,'成交明细'!$A$5:$A$804,A139,'成交明细'!$D$5:$D$804,IF(E139="空","卖","买")))</f>
        <v/>
      </c>
      <c r="V139" s="40" t="str">
        <f>IF(N(U139)&gt;0,SUMIFS('成交明细'!$H$5:$H$804,'成交明细'!$A$5:$A$804,A139,'成交明细'!$D$5:$D$804,IF(E139="空","卖","买"))/U139,"")</f>
        <v/>
      </c>
      <c r="W139" s="35" t="str">
        <f>IF(A139="","",SUMIFS('成交明细'!$F$5:$F$804,'成交明细'!$A$5:$A$804,A139,'成交明细'!$D$5:$D$804,IF(E139="空","买","卖")))</f>
        <v/>
      </c>
      <c r="X139" s="40" t="str">
        <f>IF(N(W139)&gt;0,SUMIFS('成交明细'!$H$5:$H$804,'成交明细'!$A$5:$A$804,A139,'成交明细'!$D$5:$D$804,IF(E139="空","买","卖"))/W139,"")</f>
        <v/>
      </c>
      <c r="Y139" s="41" t="str">
        <f>IF(A139="","",IF(Q139&lt;&gt;"已执行",IF(Q139="","未填执行情况",Q139),IF(N(U139)=0,"待录成交",IF(N(W139)&gt;N(U139),"平仓多于开仓",IF(N(W139)&lt;N(U139),"持仓中","已平仓")))))</f>
        <v/>
      </c>
      <c r="Z139" s="41" t="str">
        <f>IF(AND(ISNUMBER(R139),ISNUMBER(S139)),IF(R139=S139,"日内",""),"")</f>
        <v/>
      </c>
      <c r="AA139" s="42" t="str">
        <f>IF(Z139&lt;&gt;"日内","",COUNTIFS($Z$5:$Z$304,"日内",$S$5:$S$304,"&gt;"&amp;WORKDAY(S139,-5),$S$5:$S$304,"&lt;="&amp;S139))</f>
        <v/>
      </c>
      <c r="AB139" s="41" t="str">
        <f>IF(OR(NOT(ISNUMBER(M139)),NOT(ISNUMBER(R139))),"",IF(AND(M139&gt;=R139,OR(NOT(ISNUMBER(S139)),M139&lt;=S139)),"持仓跨财报",""))</f>
        <v/>
      </c>
      <c r="AC139" s="20">
        <f>IF(AND(E139="空",ISNUMBER(O139),ISNUMBER(S139)),ROUND(O139*(S139-R139)/360*V139*U139,2),0)</f>
        <v>0</v>
      </c>
      <c r="AD139" s="43" t="str">
        <f>IF(N(U139)=0,"",SUMIFS('成交明细'!$L$5:$L$804,'成交明细'!$A$5:$A$804,A139)+AC139)</f>
        <v/>
      </c>
      <c r="AE139" s="44" t="str">
        <f>IF(Y139&lt;&gt;"已平仓","",(SUMIFS('成交明细'!$H$5:$H$804,'成交明细'!$A$5:$A$804,A139,'成交明细'!$D$5:$D$804,"卖")-SUMIFS('成交明细'!$H$5:$H$804,'成交明细'!$A$5:$A$804,A139,'成交明细'!$D$5:$D$804,"买"))*1-AD139)</f>
        <v/>
      </c>
      <c r="AF139" s="45" t="str">
        <f>IF(AND(Y139="已平仓",ISNUMBER(L139)),(SUMIFS('成交明细'!$H$5:$H$804,'成交明细'!$A$5:$A$804,A139,'成交明细'!$D$5:$D$804,"卖")-SUMIFS('成交明细'!$H$5:$H$804,'成交明细'!$A$5:$A$804,A139,'成交明细'!$D$5:$D$804,"买"))*1/L139,"")</f>
        <v/>
      </c>
      <c r="AG139" s="45" t="str">
        <f>IF(AND(Y139="已平仓",ISNUMBER(L139)),AE139/L139,"")</f>
        <v/>
      </c>
      <c r="AH139" s="46" t="str">
        <f>IF(AND(ISNUMBER(V139),ISNUMBER(F139)),IF(E139="空",F139-V139,V139-F139),"")</f>
        <v/>
      </c>
      <c r="AI139" s="46" t="str">
        <f>IF(OR(NOT(ISNUMBER(AE139)),NOT(ISNUMBER(X139))),"",IF(AE139&lt;0,IF(E139="空",X139-G139,G139-X139),IF(NOT(ISNUMBER(H139)),"",IF(E139="空",X139-H139,H139-X139))))</f>
        <v/>
      </c>
      <c r="AJ139" s="32" t="n"/>
      <c r="AK139" s="32" t="n"/>
      <c r="AL139" s="31" t="n"/>
      <c r="AM139" s="45" t="str">
        <f>IF(A139="","",SUM(AG$5:AG139))</f>
        <v/>
      </c>
      <c r="AN139" s="37" t="str">
        <f>IF(A139="","",MAX(0,MAX(AM$5:AM139))-AM139)</f>
        <v/>
      </c>
    </row>
    <row r="140">
      <c r="A140" s="29" t="n"/>
      <c r="B140" s="30" t="n"/>
      <c r="C140" s="31" t="n"/>
      <c r="D140" s="32" t="n"/>
      <c r="E140" s="32" t="n"/>
      <c r="F140" s="33" t="n"/>
      <c r="G140" s="33" t="n"/>
      <c r="H140" s="33" t="n"/>
      <c r="I140" s="34" t="str">
        <f>IF(AND(ISNUMBER(F140),ISNUMBER(G140),ISNUMBER(H140)),IF(OR(AND(E140="多",F140&gt;G140),AND(E140="空",F140&lt;G140)),ABS(H140-F140)/ABS(F140-G140),"止损方向不对"),"")</f>
        <v/>
      </c>
      <c r="J140" s="35" t="str">
        <f>IF(AND(ISNUMBER(F140),ISNUMBER(G140)),IF(F140=G140,"",IF(INT(ROUND('参数'!$C$7/(ABS(F140-G140)*1+2*'参数'!$C$11+N('参数'!$C$14)*F140+N('参数'!$C$15))/1,6))*1&gt;0,INT(ROUND('参数'!$C$7/(ABS(F140-G140)*1+2*'参数'!$C$11+N('参数'!$C$14)*F140+N('参数'!$C$15))/1,6))*1,"预算不足，这笔不做")),"")</f>
        <v/>
      </c>
      <c r="K140" s="36" t="n"/>
      <c r="L140" s="20" t="str">
        <f>IF(AND(ISNUMBER(F140),ISNUMBER(G140),ISNUMBER(K140)),IF(AND(F140&lt;&gt;G140,K140&gt;0),ABS(F140-G140)*K140*1,""),"")</f>
        <v/>
      </c>
      <c r="M140" s="30" t="n"/>
      <c r="N140" s="37" t="str">
        <f>IF(AND(ISNUMBER(L140),ISNUMBER(M140)),IF(E140="空",(G140*(1+'参数'!$C$17)-F140),(F140-G140*(1-'参数'!$C$17)))*K140/L140,"")</f>
        <v/>
      </c>
      <c r="O140" s="38" t="n"/>
      <c r="P140" s="31" t="n"/>
      <c r="Q140" s="32" t="n"/>
      <c r="R140" s="39" t="str">
        <f>IF(N(U140)&gt;0,SUMPRODUCT(LARGE(('成交明细'!$A$5:$A$804=A140)*('成交明细'!$D$5:$D$804=IF(E140="空","卖","买"))*'成交明细'!$B$5:$B$804,COUNTIFS('成交明细'!$A$5:$A$804,A140,'成交明细'!$D$5:$D$804,IF(E140="空","卖","买")))),"")</f>
        <v/>
      </c>
      <c r="S140" s="39" t="str">
        <f>IF(AND(N(U140)&gt;0,N(W140)&gt;=N(U140)),SUMPRODUCT(MAX(('成交明细'!$A$5:$A$804=A140)*('成交明细'!$D$5:$D$804=IF(E140="空","买","卖"))*'成交明细'!$B$5:$B$804)),"")</f>
        <v/>
      </c>
      <c r="T140" s="32" t="n"/>
      <c r="U140" s="35" t="str">
        <f>IF(A140="","",SUMIFS('成交明细'!$F$5:$F$804,'成交明细'!$A$5:$A$804,A140,'成交明细'!$D$5:$D$804,IF(E140="空","卖","买")))</f>
        <v/>
      </c>
      <c r="V140" s="40" t="str">
        <f>IF(N(U140)&gt;0,SUMIFS('成交明细'!$H$5:$H$804,'成交明细'!$A$5:$A$804,A140,'成交明细'!$D$5:$D$804,IF(E140="空","卖","买"))/U140,"")</f>
        <v/>
      </c>
      <c r="W140" s="35" t="str">
        <f>IF(A140="","",SUMIFS('成交明细'!$F$5:$F$804,'成交明细'!$A$5:$A$804,A140,'成交明细'!$D$5:$D$804,IF(E140="空","买","卖")))</f>
        <v/>
      </c>
      <c r="X140" s="40" t="str">
        <f>IF(N(W140)&gt;0,SUMIFS('成交明细'!$H$5:$H$804,'成交明细'!$A$5:$A$804,A140,'成交明细'!$D$5:$D$804,IF(E140="空","买","卖"))/W140,"")</f>
        <v/>
      </c>
      <c r="Y140" s="41" t="str">
        <f>IF(A140="","",IF(Q140&lt;&gt;"已执行",IF(Q140="","未填执行情况",Q140),IF(N(U140)=0,"待录成交",IF(N(W140)&gt;N(U140),"平仓多于开仓",IF(N(W140)&lt;N(U140),"持仓中","已平仓")))))</f>
        <v/>
      </c>
      <c r="Z140" s="41" t="str">
        <f>IF(AND(ISNUMBER(R140),ISNUMBER(S140)),IF(R140=S140,"日内",""),"")</f>
        <v/>
      </c>
      <c r="AA140" s="42" t="str">
        <f>IF(Z140&lt;&gt;"日内","",COUNTIFS($Z$5:$Z$304,"日内",$S$5:$S$304,"&gt;"&amp;WORKDAY(S140,-5),$S$5:$S$304,"&lt;="&amp;S140))</f>
        <v/>
      </c>
      <c r="AB140" s="41" t="str">
        <f>IF(OR(NOT(ISNUMBER(M140)),NOT(ISNUMBER(R140))),"",IF(AND(M140&gt;=R140,OR(NOT(ISNUMBER(S140)),M140&lt;=S140)),"持仓跨财报",""))</f>
        <v/>
      </c>
      <c r="AC140" s="20">
        <f>IF(AND(E140="空",ISNUMBER(O140),ISNUMBER(S140)),ROUND(O140*(S140-R140)/360*V140*U140,2),0)</f>
        <v>0</v>
      </c>
      <c r="AD140" s="43" t="str">
        <f>IF(N(U140)=0,"",SUMIFS('成交明细'!$L$5:$L$804,'成交明细'!$A$5:$A$804,A140)+AC140)</f>
        <v/>
      </c>
      <c r="AE140" s="44" t="str">
        <f>IF(Y140&lt;&gt;"已平仓","",(SUMIFS('成交明细'!$H$5:$H$804,'成交明细'!$A$5:$A$804,A140,'成交明细'!$D$5:$D$804,"卖")-SUMIFS('成交明细'!$H$5:$H$804,'成交明细'!$A$5:$A$804,A140,'成交明细'!$D$5:$D$804,"买"))*1-AD140)</f>
        <v/>
      </c>
      <c r="AF140" s="45" t="str">
        <f>IF(AND(Y140="已平仓",ISNUMBER(L140)),(SUMIFS('成交明细'!$H$5:$H$804,'成交明细'!$A$5:$A$804,A140,'成交明细'!$D$5:$D$804,"卖")-SUMIFS('成交明细'!$H$5:$H$804,'成交明细'!$A$5:$A$804,A140,'成交明细'!$D$5:$D$804,"买"))*1/L140,"")</f>
        <v/>
      </c>
      <c r="AG140" s="45" t="str">
        <f>IF(AND(Y140="已平仓",ISNUMBER(L140)),AE140/L140,"")</f>
        <v/>
      </c>
      <c r="AH140" s="46" t="str">
        <f>IF(AND(ISNUMBER(V140),ISNUMBER(F140)),IF(E140="空",F140-V140,V140-F140),"")</f>
        <v/>
      </c>
      <c r="AI140" s="46" t="str">
        <f>IF(OR(NOT(ISNUMBER(AE140)),NOT(ISNUMBER(X140))),"",IF(AE140&lt;0,IF(E140="空",X140-G140,G140-X140),IF(NOT(ISNUMBER(H140)),"",IF(E140="空",X140-H140,H140-X140))))</f>
        <v/>
      </c>
      <c r="AJ140" s="32" t="n"/>
      <c r="AK140" s="32" t="n"/>
      <c r="AL140" s="31" t="n"/>
      <c r="AM140" s="45" t="str">
        <f>IF(A140="","",SUM(AG$5:AG140))</f>
        <v/>
      </c>
      <c r="AN140" s="37" t="str">
        <f>IF(A140="","",MAX(0,MAX(AM$5:AM140))-AM140)</f>
        <v/>
      </c>
    </row>
    <row r="141">
      <c r="A141" s="29" t="n"/>
      <c r="B141" s="30" t="n"/>
      <c r="C141" s="31" t="n"/>
      <c r="D141" s="32" t="n"/>
      <c r="E141" s="32" t="n"/>
      <c r="F141" s="33" t="n"/>
      <c r="G141" s="33" t="n"/>
      <c r="H141" s="33" t="n"/>
      <c r="I141" s="34" t="str">
        <f>IF(AND(ISNUMBER(F141),ISNUMBER(G141),ISNUMBER(H141)),IF(OR(AND(E141="多",F141&gt;G141),AND(E141="空",F141&lt;G141)),ABS(H141-F141)/ABS(F141-G141),"止损方向不对"),"")</f>
        <v/>
      </c>
      <c r="J141" s="35" t="str">
        <f>IF(AND(ISNUMBER(F141),ISNUMBER(G141)),IF(F141=G141,"",IF(INT(ROUND('参数'!$C$7/(ABS(F141-G141)*1+2*'参数'!$C$11+N('参数'!$C$14)*F141+N('参数'!$C$15))/1,6))*1&gt;0,INT(ROUND('参数'!$C$7/(ABS(F141-G141)*1+2*'参数'!$C$11+N('参数'!$C$14)*F141+N('参数'!$C$15))/1,6))*1,"预算不足，这笔不做")),"")</f>
        <v/>
      </c>
      <c r="K141" s="36" t="n"/>
      <c r="L141" s="20" t="str">
        <f>IF(AND(ISNUMBER(F141),ISNUMBER(G141),ISNUMBER(K141)),IF(AND(F141&lt;&gt;G141,K141&gt;0),ABS(F141-G141)*K141*1,""),"")</f>
        <v/>
      </c>
      <c r="M141" s="30" t="n"/>
      <c r="N141" s="37" t="str">
        <f>IF(AND(ISNUMBER(L141),ISNUMBER(M141)),IF(E141="空",(G141*(1+'参数'!$C$17)-F141),(F141-G141*(1-'参数'!$C$17)))*K141/L141,"")</f>
        <v/>
      </c>
      <c r="O141" s="38" t="n"/>
      <c r="P141" s="31" t="n"/>
      <c r="Q141" s="32" t="n"/>
      <c r="R141" s="39" t="str">
        <f>IF(N(U141)&gt;0,SUMPRODUCT(LARGE(('成交明细'!$A$5:$A$804=A141)*('成交明细'!$D$5:$D$804=IF(E141="空","卖","买"))*'成交明细'!$B$5:$B$804,COUNTIFS('成交明细'!$A$5:$A$804,A141,'成交明细'!$D$5:$D$804,IF(E141="空","卖","买")))),"")</f>
        <v/>
      </c>
      <c r="S141" s="39" t="str">
        <f>IF(AND(N(U141)&gt;0,N(W141)&gt;=N(U141)),SUMPRODUCT(MAX(('成交明细'!$A$5:$A$804=A141)*('成交明细'!$D$5:$D$804=IF(E141="空","买","卖"))*'成交明细'!$B$5:$B$804)),"")</f>
        <v/>
      </c>
      <c r="T141" s="32" t="n"/>
      <c r="U141" s="35" t="str">
        <f>IF(A141="","",SUMIFS('成交明细'!$F$5:$F$804,'成交明细'!$A$5:$A$804,A141,'成交明细'!$D$5:$D$804,IF(E141="空","卖","买")))</f>
        <v/>
      </c>
      <c r="V141" s="40" t="str">
        <f>IF(N(U141)&gt;0,SUMIFS('成交明细'!$H$5:$H$804,'成交明细'!$A$5:$A$804,A141,'成交明细'!$D$5:$D$804,IF(E141="空","卖","买"))/U141,"")</f>
        <v/>
      </c>
      <c r="W141" s="35" t="str">
        <f>IF(A141="","",SUMIFS('成交明细'!$F$5:$F$804,'成交明细'!$A$5:$A$804,A141,'成交明细'!$D$5:$D$804,IF(E141="空","买","卖")))</f>
        <v/>
      </c>
      <c r="X141" s="40" t="str">
        <f>IF(N(W141)&gt;0,SUMIFS('成交明细'!$H$5:$H$804,'成交明细'!$A$5:$A$804,A141,'成交明细'!$D$5:$D$804,IF(E141="空","买","卖"))/W141,"")</f>
        <v/>
      </c>
      <c r="Y141" s="41" t="str">
        <f>IF(A141="","",IF(Q141&lt;&gt;"已执行",IF(Q141="","未填执行情况",Q141),IF(N(U141)=0,"待录成交",IF(N(W141)&gt;N(U141),"平仓多于开仓",IF(N(W141)&lt;N(U141),"持仓中","已平仓")))))</f>
        <v/>
      </c>
      <c r="Z141" s="41" t="str">
        <f>IF(AND(ISNUMBER(R141),ISNUMBER(S141)),IF(R141=S141,"日内",""),"")</f>
        <v/>
      </c>
      <c r="AA141" s="42" t="str">
        <f>IF(Z141&lt;&gt;"日内","",COUNTIFS($Z$5:$Z$304,"日内",$S$5:$S$304,"&gt;"&amp;WORKDAY(S141,-5),$S$5:$S$304,"&lt;="&amp;S141))</f>
        <v/>
      </c>
      <c r="AB141" s="41" t="str">
        <f>IF(OR(NOT(ISNUMBER(M141)),NOT(ISNUMBER(R141))),"",IF(AND(M141&gt;=R141,OR(NOT(ISNUMBER(S141)),M141&lt;=S141)),"持仓跨财报",""))</f>
        <v/>
      </c>
      <c r="AC141" s="20">
        <f>IF(AND(E141="空",ISNUMBER(O141),ISNUMBER(S141)),ROUND(O141*(S141-R141)/360*V141*U141,2),0)</f>
        <v>0</v>
      </c>
      <c r="AD141" s="43" t="str">
        <f>IF(N(U141)=0,"",SUMIFS('成交明细'!$L$5:$L$804,'成交明细'!$A$5:$A$804,A141)+AC141)</f>
        <v/>
      </c>
      <c r="AE141" s="44" t="str">
        <f>IF(Y141&lt;&gt;"已平仓","",(SUMIFS('成交明细'!$H$5:$H$804,'成交明细'!$A$5:$A$804,A141,'成交明细'!$D$5:$D$804,"卖")-SUMIFS('成交明细'!$H$5:$H$804,'成交明细'!$A$5:$A$804,A141,'成交明细'!$D$5:$D$804,"买"))*1-AD141)</f>
        <v/>
      </c>
      <c r="AF141" s="45" t="str">
        <f>IF(AND(Y141="已平仓",ISNUMBER(L141)),(SUMIFS('成交明细'!$H$5:$H$804,'成交明细'!$A$5:$A$804,A141,'成交明细'!$D$5:$D$804,"卖")-SUMIFS('成交明细'!$H$5:$H$804,'成交明细'!$A$5:$A$804,A141,'成交明细'!$D$5:$D$804,"买"))*1/L141,"")</f>
        <v/>
      </c>
      <c r="AG141" s="45" t="str">
        <f>IF(AND(Y141="已平仓",ISNUMBER(L141)),AE141/L141,"")</f>
        <v/>
      </c>
      <c r="AH141" s="46" t="str">
        <f>IF(AND(ISNUMBER(V141),ISNUMBER(F141)),IF(E141="空",F141-V141,V141-F141),"")</f>
        <v/>
      </c>
      <c r="AI141" s="46" t="str">
        <f>IF(OR(NOT(ISNUMBER(AE141)),NOT(ISNUMBER(X141))),"",IF(AE141&lt;0,IF(E141="空",X141-G141,G141-X141),IF(NOT(ISNUMBER(H141)),"",IF(E141="空",X141-H141,H141-X141))))</f>
        <v/>
      </c>
      <c r="AJ141" s="32" t="n"/>
      <c r="AK141" s="32" t="n"/>
      <c r="AL141" s="31" t="n"/>
      <c r="AM141" s="45" t="str">
        <f>IF(A141="","",SUM(AG$5:AG141))</f>
        <v/>
      </c>
      <c r="AN141" s="37" t="str">
        <f>IF(A141="","",MAX(0,MAX(AM$5:AM141))-AM141)</f>
        <v/>
      </c>
    </row>
    <row r="142">
      <c r="A142" s="29" t="n"/>
      <c r="B142" s="30" t="n"/>
      <c r="C142" s="31" t="n"/>
      <c r="D142" s="32" t="n"/>
      <c r="E142" s="32" t="n"/>
      <c r="F142" s="33" t="n"/>
      <c r="G142" s="33" t="n"/>
      <c r="H142" s="33" t="n"/>
      <c r="I142" s="34" t="str">
        <f>IF(AND(ISNUMBER(F142),ISNUMBER(G142),ISNUMBER(H142)),IF(OR(AND(E142="多",F142&gt;G142),AND(E142="空",F142&lt;G142)),ABS(H142-F142)/ABS(F142-G142),"止损方向不对"),"")</f>
        <v/>
      </c>
      <c r="J142" s="35" t="str">
        <f>IF(AND(ISNUMBER(F142),ISNUMBER(G142)),IF(F142=G142,"",IF(INT(ROUND('参数'!$C$7/(ABS(F142-G142)*1+2*'参数'!$C$11+N('参数'!$C$14)*F142+N('参数'!$C$15))/1,6))*1&gt;0,INT(ROUND('参数'!$C$7/(ABS(F142-G142)*1+2*'参数'!$C$11+N('参数'!$C$14)*F142+N('参数'!$C$15))/1,6))*1,"预算不足，这笔不做")),"")</f>
        <v/>
      </c>
      <c r="K142" s="36" t="n"/>
      <c r="L142" s="20" t="str">
        <f>IF(AND(ISNUMBER(F142),ISNUMBER(G142),ISNUMBER(K142)),IF(AND(F142&lt;&gt;G142,K142&gt;0),ABS(F142-G142)*K142*1,""),"")</f>
        <v/>
      </c>
      <c r="M142" s="30" t="n"/>
      <c r="N142" s="37" t="str">
        <f>IF(AND(ISNUMBER(L142),ISNUMBER(M142)),IF(E142="空",(G142*(1+'参数'!$C$17)-F142),(F142-G142*(1-'参数'!$C$17)))*K142/L142,"")</f>
        <v/>
      </c>
      <c r="O142" s="38" t="n"/>
      <c r="P142" s="31" t="n"/>
      <c r="Q142" s="32" t="n"/>
      <c r="R142" s="39" t="str">
        <f>IF(N(U142)&gt;0,SUMPRODUCT(LARGE(('成交明细'!$A$5:$A$804=A142)*('成交明细'!$D$5:$D$804=IF(E142="空","卖","买"))*'成交明细'!$B$5:$B$804,COUNTIFS('成交明细'!$A$5:$A$804,A142,'成交明细'!$D$5:$D$804,IF(E142="空","卖","买")))),"")</f>
        <v/>
      </c>
      <c r="S142" s="39" t="str">
        <f>IF(AND(N(U142)&gt;0,N(W142)&gt;=N(U142)),SUMPRODUCT(MAX(('成交明细'!$A$5:$A$804=A142)*('成交明细'!$D$5:$D$804=IF(E142="空","买","卖"))*'成交明细'!$B$5:$B$804)),"")</f>
        <v/>
      </c>
      <c r="T142" s="32" t="n"/>
      <c r="U142" s="35" t="str">
        <f>IF(A142="","",SUMIFS('成交明细'!$F$5:$F$804,'成交明细'!$A$5:$A$804,A142,'成交明细'!$D$5:$D$804,IF(E142="空","卖","买")))</f>
        <v/>
      </c>
      <c r="V142" s="40" t="str">
        <f>IF(N(U142)&gt;0,SUMIFS('成交明细'!$H$5:$H$804,'成交明细'!$A$5:$A$804,A142,'成交明细'!$D$5:$D$804,IF(E142="空","卖","买"))/U142,"")</f>
        <v/>
      </c>
      <c r="W142" s="35" t="str">
        <f>IF(A142="","",SUMIFS('成交明细'!$F$5:$F$804,'成交明细'!$A$5:$A$804,A142,'成交明细'!$D$5:$D$804,IF(E142="空","买","卖")))</f>
        <v/>
      </c>
      <c r="X142" s="40" t="str">
        <f>IF(N(W142)&gt;0,SUMIFS('成交明细'!$H$5:$H$804,'成交明细'!$A$5:$A$804,A142,'成交明细'!$D$5:$D$804,IF(E142="空","买","卖"))/W142,"")</f>
        <v/>
      </c>
      <c r="Y142" s="41" t="str">
        <f>IF(A142="","",IF(Q142&lt;&gt;"已执行",IF(Q142="","未填执行情况",Q142),IF(N(U142)=0,"待录成交",IF(N(W142)&gt;N(U142),"平仓多于开仓",IF(N(W142)&lt;N(U142),"持仓中","已平仓")))))</f>
        <v/>
      </c>
      <c r="Z142" s="41" t="str">
        <f>IF(AND(ISNUMBER(R142),ISNUMBER(S142)),IF(R142=S142,"日内",""),"")</f>
        <v/>
      </c>
      <c r="AA142" s="42" t="str">
        <f>IF(Z142&lt;&gt;"日内","",COUNTIFS($Z$5:$Z$304,"日内",$S$5:$S$304,"&gt;"&amp;WORKDAY(S142,-5),$S$5:$S$304,"&lt;="&amp;S142))</f>
        <v/>
      </c>
      <c r="AB142" s="41" t="str">
        <f>IF(OR(NOT(ISNUMBER(M142)),NOT(ISNUMBER(R142))),"",IF(AND(M142&gt;=R142,OR(NOT(ISNUMBER(S142)),M142&lt;=S142)),"持仓跨财报",""))</f>
        <v/>
      </c>
      <c r="AC142" s="20">
        <f>IF(AND(E142="空",ISNUMBER(O142),ISNUMBER(S142)),ROUND(O142*(S142-R142)/360*V142*U142,2),0)</f>
        <v>0</v>
      </c>
      <c r="AD142" s="43" t="str">
        <f>IF(N(U142)=0,"",SUMIFS('成交明细'!$L$5:$L$804,'成交明细'!$A$5:$A$804,A142)+AC142)</f>
        <v/>
      </c>
      <c r="AE142" s="44" t="str">
        <f>IF(Y142&lt;&gt;"已平仓","",(SUMIFS('成交明细'!$H$5:$H$804,'成交明细'!$A$5:$A$804,A142,'成交明细'!$D$5:$D$804,"卖")-SUMIFS('成交明细'!$H$5:$H$804,'成交明细'!$A$5:$A$804,A142,'成交明细'!$D$5:$D$804,"买"))*1-AD142)</f>
        <v/>
      </c>
      <c r="AF142" s="45" t="str">
        <f>IF(AND(Y142="已平仓",ISNUMBER(L142)),(SUMIFS('成交明细'!$H$5:$H$804,'成交明细'!$A$5:$A$804,A142,'成交明细'!$D$5:$D$804,"卖")-SUMIFS('成交明细'!$H$5:$H$804,'成交明细'!$A$5:$A$804,A142,'成交明细'!$D$5:$D$804,"买"))*1/L142,"")</f>
        <v/>
      </c>
      <c r="AG142" s="45" t="str">
        <f>IF(AND(Y142="已平仓",ISNUMBER(L142)),AE142/L142,"")</f>
        <v/>
      </c>
      <c r="AH142" s="46" t="str">
        <f>IF(AND(ISNUMBER(V142),ISNUMBER(F142)),IF(E142="空",F142-V142,V142-F142),"")</f>
        <v/>
      </c>
      <c r="AI142" s="46" t="str">
        <f>IF(OR(NOT(ISNUMBER(AE142)),NOT(ISNUMBER(X142))),"",IF(AE142&lt;0,IF(E142="空",X142-G142,G142-X142),IF(NOT(ISNUMBER(H142)),"",IF(E142="空",X142-H142,H142-X142))))</f>
        <v/>
      </c>
      <c r="AJ142" s="32" t="n"/>
      <c r="AK142" s="32" t="n"/>
      <c r="AL142" s="31" t="n"/>
      <c r="AM142" s="45" t="str">
        <f>IF(A142="","",SUM(AG$5:AG142))</f>
        <v/>
      </c>
      <c r="AN142" s="37" t="str">
        <f>IF(A142="","",MAX(0,MAX(AM$5:AM142))-AM142)</f>
        <v/>
      </c>
    </row>
    <row r="143">
      <c r="A143" s="29" t="n"/>
      <c r="B143" s="30" t="n"/>
      <c r="C143" s="31" t="n"/>
      <c r="D143" s="32" t="n"/>
      <c r="E143" s="32" t="n"/>
      <c r="F143" s="33" t="n"/>
      <c r="G143" s="33" t="n"/>
      <c r="H143" s="33" t="n"/>
      <c r="I143" s="34" t="str">
        <f>IF(AND(ISNUMBER(F143),ISNUMBER(G143),ISNUMBER(H143)),IF(OR(AND(E143="多",F143&gt;G143),AND(E143="空",F143&lt;G143)),ABS(H143-F143)/ABS(F143-G143),"止损方向不对"),"")</f>
        <v/>
      </c>
      <c r="J143" s="35" t="str">
        <f>IF(AND(ISNUMBER(F143),ISNUMBER(G143)),IF(F143=G143,"",IF(INT(ROUND('参数'!$C$7/(ABS(F143-G143)*1+2*'参数'!$C$11+N('参数'!$C$14)*F143+N('参数'!$C$15))/1,6))*1&gt;0,INT(ROUND('参数'!$C$7/(ABS(F143-G143)*1+2*'参数'!$C$11+N('参数'!$C$14)*F143+N('参数'!$C$15))/1,6))*1,"预算不足，这笔不做")),"")</f>
        <v/>
      </c>
      <c r="K143" s="36" t="n"/>
      <c r="L143" s="20" t="str">
        <f>IF(AND(ISNUMBER(F143),ISNUMBER(G143),ISNUMBER(K143)),IF(AND(F143&lt;&gt;G143,K143&gt;0),ABS(F143-G143)*K143*1,""),"")</f>
        <v/>
      </c>
      <c r="M143" s="30" t="n"/>
      <c r="N143" s="37" t="str">
        <f>IF(AND(ISNUMBER(L143),ISNUMBER(M143)),IF(E143="空",(G143*(1+'参数'!$C$17)-F143),(F143-G143*(1-'参数'!$C$17)))*K143/L143,"")</f>
        <v/>
      </c>
      <c r="O143" s="38" t="n"/>
      <c r="P143" s="31" t="n"/>
      <c r="Q143" s="32" t="n"/>
      <c r="R143" s="39" t="str">
        <f>IF(N(U143)&gt;0,SUMPRODUCT(LARGE(('成交明细'!$A$5:$A$804=A143)*('成交明细'!$D$5:$D$804=IF(E143="空","卖","买"))*'成交明细'!$B$5:$B$804,COUNTIFS('成交明细'!$A$5:$A$804,A143,'成交明细'!$D$5:$D$804,IF(E143="空","卖","买")))),"")</f>
        <v/>
      </c>
      <c r="S143" s="39" t="str">
        <f>IF(AND(N(U143)&gt;0,N(W143)&gt;=N(U143)),SUMPRODUCT(MAX(('成交明细'!$A$5:$A$804=A143)*('成交明细'!$D$5:$D$804=IF(E143="空","买","卖"))*'成交明细'!$B$5:$B$804)),"")</f>
        <v/>
      </c>
      <c r="T143" s="32" t="n"/>
      <c r="U143" s="35" t="str">
        <f>IF(A143="","",SUMIFS('成交明细'!$F$5:$F$804,'成交明细'!$A$5:$A$804,A143,'成交明细'!$D$5:$D$804,IF(E143="空","卖","买")))</f>
        <v/>
      </c>
      <c r="V143" s="40" t="str">
        <f>IF(N(U143)&gt;0,SUMIFS('成交明细'!$H$5:$H$804,'成交明细'!$A$5:$A$804,A143,'成交明细'!$D$5:$D$804,IF(E143="空","卖","买"))/U143,"")</f>
        <v/>
      </c>
      <c r="W143" s="35" t="str">
        <f>IF(A143="","",SUMIFS('成交明细'!$F$5:$F$804,'成交明细'!$A$5:$A$804,A143,'成交明细'!$D$5:$D$804,IF(E143="空","买","卖")))</f>
        <v/>
      </c>
      <c r="X143" s="40" t="str">
        <f>IF(N(W143)&gt;0,SUMIFS('成交明细'!$H$5:$H$804,'成交明细'!$A$5:$A$804,A143,'成交明细'!$D$5:$D$804,IF(E143="空","买","卖"))/W143,"")</f>
        <v/>
      </c>
      <c r="Y143" s="41" t="str">
        <f>IF(A143="","",IF(Q143&lt;&gt;"已执行",IF(Q143="","未填执行情况",Q143),IF(N(U143)=0,"待录成交",IF(N(W143)&gt;N(U143),"平仓多于开仓",IF(N(W143)&lt;N(U143),"持仓中","已平仓")))))</f>
        <v/>
      </c>
      <c r="Z143" s="41" t="str">
        <f>IF(AND(ISNUMBER(R143),ISNUMBER(S143)),IF(R143=S143,"日内",""),"")</f>
        <v/>
      </c>
      <c r="AA143" s="42" t="str">
        <f>IF(Z143&lt;&gt;"日内","",COUNTIFS($Z$5:$Z$304,"日内",$S$5:$S$304,"&gt;"&amp;WORKDAY(S143,-5),$S$5:$S$304,"&lt;="&amp;S143))</f>
        <v/>
      </c>
      <c r="AB143" s="41" t="str">
        <f>IF(OR(NOT(ISNUMBER(M143)),NOT(ISNUMBER(R143))),"",IF(AND(M143&gt;=R143,OR(NOT(ISNUMBER(S143)),M143&lt;=S143)),"持仓跨财报",""))</f>
        <v/>
      </c>
      <c r="AC143" s="20">
        <f>IF(AND(E143="空",ISNUMBER(O143),ISNUMBER(S143)),ROUND(O143*(S143-R143)/360*V143*U143,2),0)</f>
        <v>0</v>
      </c>
      <c r="AD143" s="43" t="str">
        <f>IF(N(U143)=0,"",SUMIFS('成交明细'!$L$5:$L$804,'成交明细'!$A$5:$A$804,A143)+AC143)</f>
        <v/>
      </c>
      <c r="AE143" s="44" t="str">
        <f>IF(Y143&lt;&gt;"已平仓","",(SUMIFS('成交明细'!$H$5:$H$804,'成交明细'!$A$5:$A$804,A143,'成交明细'!$D$5:$D$804,"卖")-SUMIFS('成交明细'!$H$5:$H$804,'成交明细'!$A$5:$A$804,A143,'成交明细'!$D$5:$D$804,"买"))*1-AD143)</f>
        <v/>
      </c>
      <c r="AF143" s="45" t="str">
        <f>IF(AND(Y143="已平仓",ISNUMBER(L143)),(SUMIFS('成交明细'!$H$5:$H$804,'成交明细'!$A$5:$A$804,A143,'成交明细'!$D$5:$D$804,"卖")-SUMIFS('成交明细'!$H$5:$H$804,'成交明细'!$A$5:$A$804,A143,'成交明细'!$D$5:$D$804,"买"))*1/L143,"")</f>
        <v/>
      </c>
      <c r="AG143" s="45" t="str">
        <f>IF(AND(Y143="已平仓",ISNUMBER(L143)),AE143/L143,"")</f>
        <v/>
      </c>
      <c r="AH143" s="46" t="str">
        <f>IF(AND(ISNUMBER(V143),ISNUMBER(F143)),IF(E143="空",F143-V143,V143-F143),"")</f>
        <v/>
      </c>
      <c r="AI143" s="46" t="str">
        <f>IF(OR(NOT(ISNUMBER(AE143)),NOT(ISNUMBER(X143))),"",IF(AE143&lt;0,IF(E143="空",X143-G143,G143-X143),IF(NOT(ISNUMBER(H143)),"",IF(E143="空",X143-H143,H143-X143))))</f>
        <v/>
      </c>
      <c r="AJ143" s="32" t="n"/>
      <c r="AK143" s="32" t="n"/>
      <c r="AL143" s="31" t="n"/>
      <c r="AM143" s="45" t="str">
        <f>IF(A143="","",SUM(AG$5:AG143))</f>
        <v/>
      </c>
      <c r="AN143" s="37" t="str">
        <f>IF(A143="","",MAX(0,MAX(AM$5:AM143))-AM143)</f>
        <v/>
      </c>
    </row>
    <row r="144">
      <c r="A144" s="29" t="n"/>
      <c r="B144" s="30" t="n"/>
      <c r="C144" s="31" t="n"/>
      <c r="D144" s="32" t="n"/>
      <c r="E144" s="32" t="n"/>
      <c r="F144" s="33" t="n"/>
      <c r="G144" s="33" t="n"/>
      <c r="H144" s="33" t="n"/>
      <c r="I144" s="34" t="str">
        <f>IF(AND(ISNUMBER(F144),ISNUMBER(G144),ISNUMBER(H144)),IF(OR(AND(E144="多",F144&gt;G144),AND(E144="空",F144&lt;G144)),ABS(H144-F144)/ABS(F144-G144),"止损方向不对"),"")</f>
        <v/>
      </c>
      <c r="J144" s="35" t="str">
        <f>IF(AND(ISNUMBER(F144),ISNUMBER(G144)),IF(F144=G144,"",IF(INT(ROUND('参数'!$C$7/(ABS(F144-G144)*1+2*'参数'!$C$11+N('参数'!$C$14)*F144+N('参数'!$C$15))/1,6))*1&gt;0,INT(ROUND('参数'!$C$7/(ABS(F144-G144)*1+2*'参数'!$C$11+N('参数'!$C$14)*F144+N('参数'!$C$15))/1,6))*1,"预算不足，这笔不做")),"")</f>
        <v/>
      </c>
      <c r="K144" s="36" t="n"/>
      <c r="L144" s="20" t="str">
        <f>IF(AND(ISNUMBER(F144),ISNUMBER(G144),ISNUMBER(K144)),IF(AND(F144&lt;&gt;G144,K144&gt;0),ABS(F144-G144)*K144*1,""),"")</f>
        <v/>
      </c>
      <c r="M144" s="30" t="n"/>
      <c r="N144" s="37" t="str">
        <f>IF(AND(ISNUMBER(L144),ISNUMBER(M144)),IF(E144="空",(G144*(1+'参数'!$C$17)-F144),(F144-G144*(1-'参数'!$C$17)))*K144/L144,"")</f>
        <v/>
      </c>
      <c r="O144" s="38" t="n"/>
      <c r="P144" s="31" t="n"/>
      <c r="Q144" s="32" t="n"/>
      <c r="R144" s="39" t="str">
        <f>IF(N(U144)&gt;0,SUMPRODUCT(LARGE(('成交明细'!$A$5:$A$804=A144)*('成交明细'!$D$5:$D$804=IF(E144="空","卖","买"))*'成交明细'!$B$5:$B$804,COUNTIFS('成交明细'!$A$5:$A$804,A144,'成交明细'!$D$5:$D$804,IF(E144="空","卖","买")))),"")</f>
        <v/>
      </c>
      <c r="S144" s="39" t="str">
        <f>IF(AND(N(U144)&gt;0,N(W144)&gt;=N(U144)),SUMPRODUCT(MAX(('成交明细'!$A$5:$A$804=A144)*('成交明细'!$D$5:$D$804=IF(E144="空","买","卖"))*'成交明细'!$B$5:$B$804)),"")</f>
        <v/>
      </c>
      <c r="T144" s="32" t="n"/>
      <c r="U144" s="35" t="str">
        <f>IF(A144="","",SUMIFS('成交明细'!$F$5:$F$804,'成交明细'!$A$5:$A$804,A144,'成交明细'!$D$5:$D$804,IF(E144="空","卖","买")))</f>
        <v/>
      </c>
      <c r="V144" s="40" t="str">
        <f>IF(N(U144)&gt;0,SUMIFS('成交明细'!$H$5:$H$804,'成交明细'!$A$5:$A$804,A144,'成交明细'!$D$5:$D$804,IF(E144="空","卖","买"))/U144,"")</f>
        <v/>
      </c>
      <c r="W144" s="35" t="str">
        <f>IF(A144="","",SUMIFS('成交明细'!$F$5:$F$804,'成交明细'!$A$5:$A$804,A144,'成交明细'!$D$5:$D$804,IF(E144="空","买","卖")))</f>
        <v/>
      </c>
      <c r="X144" s="40" t="str">
        <f>IF(N(W144)&gt;0,SUMIFS('成交明细'!$H$5:$H$804,'成交明细'!$A$5:$A$804,A144,'成交明细'!$D$5:$D$804,IF(E144="空","买","卖"))/W144,"")</f>
        <v/>
      </c>
      <c r="Y144" s="41" t="str">
        <f>IF(A144="","",IF(Q144&lt;&gt;"已执行",IF(Q144="","未填执行情况",Q144),IF(N(U144)=0,"待录成交",IF(N(W144)&gt;N(U144),"平仓多于开仓",IF(N(W144)&lt;N(U144),"持仓中","已平仓")))))</f>
        <v/>
      </c>
      <c r="Z144" s="41" t="str">
        <f>IF(AND(ISNUMBER(R144),ISNUMBER(S144)),IF(R144=S144,"日内",""),"")</f>
        <v/>
      </c>
      <c r="AA144" s="42" t="str">
        <f>IF(Z144&lt;&gt;"日内","",COUNTIFS($Z$5:$Z$304,"日内",$S$5:$S$304,"&gt;"&amp;WORKDAY(S144,-5),$S$5:$S$304,"&lt;="&amp;S144))</f>
        <v/>
      </c>
      <c r="AB144" s="41" t="str">
        <f>IF(OR(NOT(ISNUMBER(M144)),NOT(ISNUMBER(R144))),"",IF(AND(M144&gt;=R144,OR(NOT(ISNUMBER(S144)),M144&lt;=S144)),"持仓跨财报",""))</f>
        <v/>
      </c>
      <c r="AC144" s="20">
        <f>IF(AND(E144="空",ISNUMBER(O144),ISNUMBER(S144)),ROUND(O144*(S144-R144)/360*V144*U144,2),0)</f>
        <v>0</v>
      </c>
      <c r="AD144" s="43" t="str">
        <f>IF(N(U144)=0,"",SUMIFS('成交明细'!$L$5:$L$804,'成交明细'!$A$5:$A$804,A144)+AC144)</f>
        <v/>
      </c>
      <c r="AE144" s="44" t="str">
        <f>IF(Y144&lt;&gt;"已平仓","",(SUMIFS('成交明细'!$H$5:$H$804,'成交明细'!$A$5:$A$804,A144,'成交明细'!$D$5:$D$804,"卖")-SUMIFS('成交明细'!$H$5:$H$804,'成交明细'!$A$5:$A$804,A144,'成交明细'!$D$5:$D$804,"买"))*1-AD144)</f>
        <v/>
      </c>
      <c r="AF144" s="45" t="str">
        <f>IF(AND(Y144="已平仓",ISNUMBER(L144)),(SUMIFS('成交明细'!$H$5:$H$804,'成交明细'!$A$5:$A$804,A144,'成交明细'!$D$5:$D$804,"卖")-SUMIFS('成交明细'!$H$5:$H$804,'成交明细'!$A$5:$A$804,A144,'成交明细'!$D$5:$D$804,"买"))*1/L144,"")</f>
        <v/>
      </c>
      <c r="AG144" s="45" t="str">
        <f>IF(AND(Y144="已平仓",ISNUMBER(L144)),AE144/L144,"")</f>
        <v/>
      </c>
      <c r="AH144" s="46" t="str">
        <f>IF(AND(ISNUMBER(V144),ISNUMBER(F144)),IF(E144="空",F144-V144,V144-F144),"")</f>
        <v/>
      </c>
      <c r="AI144" s="46" t="str">
        <f>IF(OR(NOT(ISNUMBER(AE144)),NOT(ISNUMBER(X144))),"",IF(AE144&lt;0,IF(E144="空",X144-G144,G144-X144),IF(NOT(ISNUMBER(H144)),"",IF(E144="空",X144-H144,H144-X144))))</f>
        <v/>
      </c>
      <c r="AJ144" s="32" t="n"/>
      <c r="AK144" s="32" t="n"/>
      <c r="AL144" s="31" t="n"/>
      <c r="AM144" s="45" t="str">
        <f>IF(A144="","",SUM(AG$5:AG144))</f>
        <v/>
      </c>
      <c r="AN144" s="37" t="str">
        <f>IF(A144="","",MAX(0,MAX(AM$5:AM144))-AM144)</f>
        <v/>
      </c>
    </row>
    <row r="145">
      <c r="A145" s="29" t="n"/>
      <c r="B145" s="30" t="n"/>
      <c r="C145" s="31" t="n"/>
      <c r="D145" s="32" t="n"/>
      <c r="E145" s="32" t="n"/>
      <c r="F145" s="33" t="n"/>
      <c r="G145" s="33" t="n"/>
      <c r="H145" s="33" t="n"/>
      <c r="I145" s="34" t="str">
        <f>IF(AND(ISNUMBER(F145),ISNUMBER(G145),ISNUMBER(H145)),IF(OR(AND(E145="多",F145&gt;G145),AND(E145="空",F145&lt;G145)),ABS(H145-F145)/ABS(F145-G145),"止损方向不对"),"")</f>
        <v/>
      </c>
      <c r="J145" s="35" t="str">
        <f>IF(AND(ISNUMBER(F145),ISNUMBER(G145)),IF(F145=G145,"",IF(INT(ROUND('参数'!$C$7/(ABS(F145-G145)*1+2*'参数'!$C$11+N('参数'!$C$14)*F145+N('参数'!$C$15))/1,6))*1&gt;0,INT(ROUND('参数'!$C$7/(ABS(F145-G145)*1+2*'参数'!$C$11+N('参数'!$C$14)*F145+N('参数'!$C$15))/1,6))*1,"预算不足，这笔不做")),"")</f>
        <v/>
      </c>
      <c r="K145" s="36" t="n"/>
      <c r="L145" s="20" t="str">
        <f>IF(AND(ISNUMBER(F145),ISNUMBER(G145),ISNUMBER(K145)),IF(AND(F145&lt;&gt;G145,K145&gt;0),ABS(F145-G145)*K145*1,""),"")</f>
        <v/>
      </c>
      <c r="M145" s="30" t="n"/>
      <c r="N145" s="37" t="str">
        <f>IF(AND(ISNUMBER(L145),ISNUMBER(M145)),IF(E145="空",(G145*(1+'参数'!$C$17)-F145),(F145-G145*(1-'参数'!$C$17)))*K145/L145,"")</f>
        <v/>
      </c>
      <c r="O145" s="38" t="n"/>
      <c r="P145" s="31" t="n"/>
      <c r="Q145" s="32" t="n"/>
      <c r="R145" s="39" t="str">
        <f>IF(N(U145)&gt;0,SUMPRODUCT(LARGE(('成交明细'!$A$5:$A$804=A145)*('成交明细'!$D$5:$D$804=IF(E145="空","卖","买"))*'成交明细'!$B$5:$B$804,COUNTIFS('成交明细'!$A$5:$A$804,A145,'成交明细'!$D$5:$D$804,IF(E145="空","卖","买")))),"")</f>
        <v/>
      </c>
      <c r="S145" s="39" t="str">
        <f>IF(AND(N(U145)&gt;0,N(W145)&gt;=N(U145)),SUMPRODUCT(MAX(('成交明细'!$A$5:$A$804=A145)*('成交明细'!$D$5:$D$804=IF(E145="空","买","卖"))*'成交明细'!$B$5:$B$804)),"")</f>
        <v/>
      </c>
      <c r="T145" s="32" t="n"/>
      <c r="U145" s="35" t="str">
        <f>IF(A145="","",SUMIFS('成交明细'!$F$5:$F$804,'成交明细'!$A$5:$A$804,A145,'成交明细'!$D$5:$D$804,IF(E145="空","卖","买")))</f>
        <v/>
      </c>
      <c r="V145" s="40" t="str">
        <f>IF(N(U145)&gt;0,SUMIFS('成交明细'!$H$5:$H$804,'成交明细'!$A$5:$A$804,A145,'成交明细'!$D$5:$D$804,IF(E145="空","卖","买"))/U145,"")</f>
        <v/>
      </c>
      <c r="W145" s="35" t="str">
        <f>IF(A145="","",SUMIFS('成交明细'!$F$5:$F$804,'成交明细'!$A$5:$A$804,A145,'成交明细'!$D$5:$D$804,IF(E145="空","买","卖")))</f>
        <v/>
      </c>
      <c r="X145" s="40" t="str">
        <f>IF(N(W145)&gt;0,SUMIFS('成交明细'!$H$5:$H$804,'成交明细'!$A$5:$A$804,A145,'成交明细'!$D$5:$D$804,IF(E145="空","买","卖"))/W145,"")</f>
        <v/>
      </c>
      <c r="Y145" s="41" t="str">
        <f>IF(A145="","",IF(Q145&lt;&gt;"已执行",IF(Q145="","未填执行情况",Q145),IF(N(U145)=0,"待录成交",IF(N(W145)&gt;N(U145),"平仓多于开仓",IF(N(W145)&lt;N(U145),"持仓中","已平仓")))))</f>
        <v/>
      </c>
      <c r="Z145" s="41" t="str">
        <f>IF(AND(ISNUMBER(R145),ISNUMBER(S145)),IF(R145=S145,"日内",""),"")</f>
        <v/>
      </c>
      <c r="AA145" s="42" t="str">
        <f>IF(Z145&lt;&gt;"日内","",COUNTIFS($Z$5:$Z$304,"日内",$S$5:$S$304,"&gt;"&amp;WORKDAY(S145,-5),$S$5:$S$304,"&lt;="&amp;S145))</f>
        <v/>
      </c>
      <c r="AB145" s="41" t="str">
        <f>IF(OR(NOT(ISNUMBER(M145)),NOT(ISNUMBER(R145))),"",IF(AND(M145&gt;=R145,OR(NOT(ISNUMBER(S145)),M145&lt;=S145)),"持仓跨财报",""))</f>
        <v/>
      </c>
      <c r="AC145" s="20">
        <f>IF(AND(E145="空",ISNUMBER(O145),ISNUMBER(S145)),ROUND(O145*(S145-R145)/360*V145*U145,2),0)</f>
        <v>0</v>
      </c>
      <c r="AD145" s="43" t="str">
        <f>IF(N(U145)=0,"",SUMIFS('成交明细'!$L$5:$L$804,'成交明细'!$A$5:$A$804,A145)+AC145)</f>
        <v/>
      </c>
      <c r="AE145" s="44" t="str">
        <f>IF(Y145&lt;&gt;"已平仓","",(SUMIFS('成交明细'!$H$5:$H$804,'成交明细'!$A$5:$A$804,A145,'成交明细'!$D$5:$D$804,"卖")-SUMIFS('成交明细'!$H$5:$H$804,'成交明细'!$A$5:$A$804,A145,'成交明细'!$D$5:$D$804,"买"))*1-AD145)</f>
        <v/>
      </c>
      <c r="AF145" s="45" t="str">
        <f>IF(AND(Y145="已平仓",ISNUMBER(L145)),(SUMIFS('成交明细'!$H$5:$H$804,'成交明细'!$A$5:$A$804,A145,'成交明细'!$D$5:$D$804,"卖")-SUMIFS('成交明细'!$H$5:$H$804,'成交明细'!$A$5:$A$804,A145,'成交明细'!$D$5:$D$804,"买"))*1/L145,"")</f>
        <v/>
      </c>
      <c r="AG145" s="45" t="str">
        <f>IF(AND(Y145="已平仓",ISNUMBER(L145)),AE145/L145,"")</f>
        <v/>
      </c>
      <c r="AH145" s="46" t="str">
        <f>IF(AND(ISNUMBER(V145),ISNUMBER(F145)),IF(E145="空",F145-V145,V145-F145),"")</f>
        <v/>
      </c>
      <c r="AI145" s="46" t="str">
        <f>IF(OR(NOT(ISNUMBER(AE145)),NOT(ISNUMBER(X145))),"",IF(AE145&lt;0,IF(E145="空",X145-G145,G145-X145),IF(NOT(ISNUMBER(H145)),"",IF(E145="空",X145-H145,H145-X145))))</f>
        <v/>
      </c>
      <c r="AJ145" s="32" t="n"/>
      <c r="AK145" s="32" t="n"/>
      <c r="AL145" s="31" t="n"/>
      <c r="AM145" s="45" t="str">
        <f>IF(A145="","",SUM(AG$5:AG145))</f>
        <v/>
      </c>
      <c r="AN145" s="37" t="str">
        <f>IF(A145="","",MAX(0,MAX(AM$5:AM145))-AM145)</f>
        <v/>
      </c>
    </row>
    <row r="146">
      <c r="A146" s="29" t="n"/>
      <c r="B146" s="30" t="n"/>
      <c r="C146" s="31" t="n"/>
      <c r="D146" s="32" t="n"/>
      <c r="E146" s="32" t="n"/>
      <c r="F146" s="33" t="n"/>
      <c r="G146" s="33" t="n"/>
      <c r="H146" s="33" t="n"/>
      <c r="I146" s="34" t="str">
        <f>IF(AND(ISNUMBER(F146),ISNUMBER(G146),ISNUMBER(H146)),IF(OR(AND(E146="多",F146&gt;G146),AND(E146="空",F146&lt;G146)),ABS(H146-F146)/ABS(F146-G146),"止损方向不对"),"")</f>
        <v/>
      </c>
      <c r="J146" s="35" t="str">
        <f>IF(AND(ISNUMBER(F146),ISNUMBER(G146)),IF(F146=G146,"",IF(INT(ROUND('参数'!$C$7/(ABS(F146-G146)*1+2*'参数'!$C$11+N('参数'!$C$14)*F146+N('参数'!$C$15))/1,6))*1&gt;0,INT(ROUND('参数'!$C$7/(ABS(F146-G146)*1+2*'参数'!$C$11+N('参数'!$C$14)*F146+N('参数'!$C$15))/1,6))*1,"预算不足，这笔不做")),"")</f>
        <v/>
      </c>
      <c r="K146" s="36" t="n"/>
      <c r="L146" s="20" t="str">
        <f>IF(AND(ISNUMBER(F146),ISNUMBER(G146),ISNUMBER(K146)),IF(AND(F146&lt;&gt;G146,K146&gt;0),ABS(F146-G146)*K146*1,""),"")</f>
        <v/>
      </c>
      <c r="M146" s="30" t="n"/>
      <c r="N146" s="37" t="str">
        <f>IF(AND(ISNUMBER(L146),ISNUMBER(M146)),IF(E146="空",(G146*(1+'参数'!$C$17)-F146),(F146-G146*(1-'参数'!$C$17)))*K146/L146,"")</f>
        <v/>
      </c>
      <c r="O146" s="38" t="n"/>
      <c r="P146" s="31" t="n"/>
      <c r="Q146" s="32" t="n"/>
      <c r="R146" s="39" t="str">
        <f>IF(N(U146)&gt;0,SUMPRODUCT(LARGE(('成交明细'!$A$5:$A$804=A146)*('成交明细'!$D$5:$D$804=IF(E146="空","卖","买"))*'成交明细'!$B$5:$B$804,COUNTIFS('成交明细'!$A$5:$A$804,A146,'成交明细'!$D$5:$D$804,IF(E146="空","卖","买")))),"")</f>
        <v/>
      </c>
      <c r="S146" s="39" t="str">
        <f>IF(AND(N(U146)&gt;0,N(W146)&gt;=N(U146)),SUMPRODUCT(MAX(('成交明细'!$A$5:$A$804=A146)*('成交明细'!$D$5:$D$804=IF(E146="空","买","卖"))*'成交明细'!$B$5:$B$804)),"")</f>
        <v/>
      </c>
      <c r="T146" s="32" t="n"/>
      <c r="U146" s="35" t="str">
        <f>IF(A146="","",SUMIFS('成交明细'!$F$5:$F$804,'成交明细'!$A$5:$A$804,A146,'成交明细'!$D$5:$D$804,IF(E146="空","卖","买")))</f>
        <v/>
      </c>
      <c r="V146" s="40" t="str">
        <f>IF(N(U146)&gt;0,SUMIFS('成交明细'!$H$5:$H$804,'成交明细'!$A$5:$A$804,A146,'成交明细'!$D$5:$D$804,IF(E146="空","卖","买"))/U146,"")</f>
        <v/>
      </c>
      <c r="W146" s="35" t="str">
        <f>IF(A146="","",SUMIFS('成交明细'!$F$5:$F$804,'成交明细'!$A$5:$A$804,A146,'成交明细'!$D$5:$D$804,IF(E146="空","买","卖")))</f>
        <v/>
      </c>
      <c r="X146" s="40" t="str">
        <f>IF(N(W146)&gt;0,SUMIFS('成交明细'!$H$5:$H$804,'成交明细'!$A$5:$A$804,A146,'成交明细'!$D$5:$D$804,IF(E146="空","买","卖"))/W146,"")</f>
        <v/>
      </c>
      <c r="Y146" s="41" t="str">
        <f>IF(A146="","",IF(Q146&lt;&gt;"已执行",IF(Q146="","未填执行情况",Q146),IF(N(U146)=0,"待录成交",IF(N(W146)&gt;N(U146),"平仓多于开仓",IF(N(W146)&lt;N(U146),"持仓中","已平仓")))))</f>
        <v/>
      </c>
      <c r="Z146" s="41" t="str">
        <f>IF(AND(ISNUMBER(R146),ISNUMBER(S146)),IF(R146=S146,"日内",""),"")</f>
        <v/>
      </c>
      <c r="AA146" s="42" t="str">
        <f>IF(Z146&lt;&gt;"日内","",COUNTIFS($Z$5:$Z$304,"日内",$S$5:$S$304,"&gt;"&amp;WORKDAY(S146,-5),$S$5:$S$304,"&lt;="&amp;S146))</f>
        <v/>
      </c>
      <c r="AB146" s="41" t="str">
        <f>IF(OR(NOT(ISNUMBER(M146)),NOT(ISNUMBER(R146))),"",IF(AND(M146&gt;=R146,OR(NOT(ISNUMBER(S146)),M146&lt;=S146)),"持仓跨财报",""))</f>
        <v/>
      </c>
      <c r="AC146" s="20">
        <f>IF(AND(E146="空",ISNUMBER(O146),ISNUMBER(S146)),ROUND(O146*(S146-R146)/360*V146*U146,2),0)</f>
        <v>0</v>
      </c>
      <c r="AD146" s="43" t="str">
        <f>IF(N(U146)=0,"",SUMIFS('成交明细'!$L$5:$L$804,'成交明细'!$A$5:$A$804,A146)+AC146)</f>
        <v/>
      </c>
      <c r="AE146" s="44" t="str">
        <f>IF(Y146&lt;&gt;"已平仓","",(SUMIFS('成交明细'!$H$5:$H$804,'成交明细'!$A$5:$A$804,A146,'成交明细'!$D$5:$D$804,"卖")-SUMIFS('成交明细'!$H$5:$H$804,'成交明细'!$A$5:$A$804,A146,'成交明细'!$D$5:$D$804,"买"))*1-AD146)</f>
        <v/>
      </c>
      <c r="AF146" s="45" t="str">
        <f>IF(AND(Y146="已平仓",ISNUMBER(L146)),(SUMIFS('成交明细'!$H$5:$H$804,'成交明细'!$A$5:$A$804,A146,'成交明细'!$D$5:$D$804,"卖")-SUMIFS('成交明细'!$H$5:$H$804,'成交明细'!$A$5:$A$804,A146,'成交明细'!$D$5:$D$804,"买"))*1/L146,"")</f>
        <v/>
      </c>
      <c r="AG146" s="45" t="str">
        <f>IF(AND(Y146="已平仓",ISNUMBER(L146)),AE146/L146,"")</f>
        <v/>
      </c>
      <c r="AH146" s="46" t="str">
        <f>IF(AND(ISNUMBER(V146),ISNUMBER(F146)),IF(E146="空",F146-V146,V146-F146),"")</f>
        <v/>
      </c>
      <c r="AI146" s="46" t="str">
        <f>IF(OR(NOT(ISNUMBER(AE146)),NOT(ISNUMBER(X146))),"",IF(AE146&lt;0,IF(E146="空",X146-G146,G146-X146),IF(NOT(ISNUMBER(H146)),"",IF(E146="空",X146-H146,H146-X146))))</f>
        <v/>
      </c>
      <c r="AJ146" s="32" t="n"/>
      <c r="AK146" s="32" t="n"/>
      <c r="AL146" s="31" t="n"/>
      <c r="AM146" s="45" t="str">
        <f>IF(A146="","",SUM(AG$5:AG146))</f>
        <v/>
      </c>
      <c r="AN146" s="37" t="str">
        <f>IF(A146="","",MAX(0,MAX(AM$5:AM146))-AM146)</f>
        <v/>
      </c>
    </row>
    <row r="147">
      <c r="A147" s="29" t="n"/>
      <c r="B147" s="30" t="n"/>
      <c r="C147" s="31" t="n"/>
      <c r="D147" s="32" t="n"/>
      <c r="E147" s="32" t="n"/>
      <c r="F147" s="33" t="n"/>
      <c r="G147" s="33" t="n"/>
      <c r="H147" s="33" t="n"/>
      <c r="I147" s="34" t="str">
        <f>IF(AND(ISNUMBER(F147),ISNUMBER(G147),ISNUMBER(H147)),IF(OR(AND(E147="多",F147&gt;G147),AND(E147="空",F147&lt;G147)),ABS(H147-F147)/ABS(F147-G147),"止损方向不对"),"")</f>
        <v/>
      </c>
      <c r="J147" s="35" t="str">
        <f>IF(AND(ISNUMBER(F147),ISNUMBER(G147)),IF(F147=G147,"",IF(INT(ROUND('参数'!$C$7/(ABS(F147-G147)*1+2*'参数'!$C$11+N('参数'!$C$14)*F147+N('参数'!$C$15))/1,6))*1&gt;0,INT(ROUND('参数'!$C$7/(ABS(F147-G147)*1+2*'参数'!$C$11+N('参数'!$C$14)*F147+N('参数'!$C$15))/1,6))*1,"预算不足，这笔不做")),"")</f>
        <v/>
      </c>
      <c r="K147" s="36" t="n"/>
      <c r="L147" s="20" t="str">
        <f>IF(AND(ISNUMBER(F147),ISNUMBER(G147),ISNUMBER(K147)),IF(AND(F147&lt;&gt;G147,K147&gt;0),ABS(F147-G147)*K147*1,""),"")</f>
        <v/>
      </c>
      <c r="M147" s="30" t="n"/>
      <c r="N147" s="37" t="str">
        <f>IF(AND(ISNUMBER(L147),ISNUMBER(M147)),IF(E147="空",(G147*(1+'参数'!$C$17)-F147),(F147-G147*(1-'参数'!$C$17)))*K147/L147,"")</f>
        <v/>
      </c>
      <c r="O147" s="38" t="n"/>
      <c r="P147" s="31" t="n"/>
      <c r="Q147" s="32" t="n"/>
      <c r="R147" s="39" t="str">
        <f>IF(N(U147)&gt;0,SUMPRODUCT(LARGE(('成交明细'!$A$5:$A$804=A147)*('成交明细'!$D$5:$D$804=IF(E147="空","卖","买"))*'成交明细'!$B$5:$B$804,COUNTIFS('成交明细'!$A$5:$A$804,A147,'成交明细'!$D$5:$D$804,IF(E147="空","卖","买")))),"")</f>
        <v/>
      </c>
      <c r="S147" s="39" t="str">
        <f>IF(AND(N(U147)&gt;0,N(W147)&gt;=N(U147)),SUMPRODUCT(MAX(('成交明细'!$A$5:$A$804=A147)*('成交明细'!$D$5:$D$804=IF(E147="空","买","卖"))*'成交明细'!$B$5:$B$804)),"")</f>
        <v/>
      </c>
      <c r="T147" s="32" t="n"/>
      <c r="U147" s="35" t="str">
        <f>IF(A147="","",SUMIFS('成交明细'!$F$5:$F$804,'成交明细'!$A$5:$A$804,A147,'成交明细'!$D$5:$D$804,IF(E147="空","卖","买")))</f>
        <v/>
      </c>
      <c r="V147" s="40" t="str">
        <f>IF(N(U147)&gt;0,SUMIFS('成交明细'!$H$5:$H$804,'成交明细'!$A$5:$A$804,A147,'成交明细'!$D$5:$D$804,IF(E147="空","卖","买"))/U147,"")</f>
        <v/>
      </c>
      <c r="W147" s="35" t="str">
        <f>IF(A147="","",SUMIFS('成交明细'!$F$5:$F$804,'成交明细'!$A$5:$A$804,A147,'成交明细'!$D$5:$D$804,IF(E147="空","买","卖")))</f>
        <v/>
      </c>
      <c r="X147" s="40" t="str">
        <f>IF(N(W147)&gt;0,SUMIFS('成交明细'!$H$5:$H$804,'成交明细'!$A$5:$A$804,A147,'成交明细'!$D$5:$D$804,IF(E147="空","买","卖"))/W147,"")</f>
        <v/>
      </c>
      <c r="Y147" s="41" t="str">
        <f>IF(A147="","",IF(Q147&lt;&gt;"已执行",IF(Q147="","未填执行情况",Q147),IF(N(U147)=0,"待录成交",IF(N(W147)&gt;N(U147),"平仓多于开仓",IF(N(W147)&lt;N(U147),"持仓中","已平仓")))))</f>
        <v/>
      </c>
      <c r="Z147" s="41" t="str">
        <f>IF(AND(ISNUMBER(R147),ISNUMBER(S147)),IF(R147=S147,"日内",""),"")</f>
        <v/>
      </c>
      <c r="AA147" s="42" t="str">
        <f>IF(Z147&lt;&gt;"日内","",COUNTIFS($Z$5:$Z$304,"日内",$S$5:$S$304,"&gt;"&amp;WORKDAY(S147,-5),$S$5:$S$304,"&lt;="&amp;S147))</f>
        <v/>
      </c>
      <c r="AB147" s="41" t="str">
        <f>IF(OR(NOT(ISNUMBER(M147)),NOT(ISNUMBER(R147))),"",IF(AND(M147&gt;=R147,OR(NOT(ISNUMBER(S147)),M147&lt;=S147)),"持仓跨财报",""))</f>
        <v/>
      </c>
      <c r="AC147" s="20">
        <f>IF(AND(E147="空",ISNUMBER(O147),ISNUMBER(S147)),ROUND(O147*(S147-R147)/360*V147*U147,2),0)</f>
        <v>0</v>
      </c>
      <c r="AD147" s="43" t="str">
        <f>IF(N(U147)=0,"",SUMIFS('成交明细'!$L$5:$L$804,'成交明细'!$A$5:$A$804,A147)+AC147)</f>
        <v/>
      </c>
      <c r="AE147" s="44" t="str">
        <f>IF(Y147&lt;&gt;"已平仓","",(SUMIFS('成交明细'!$H$5:$H$804,'成交明细'!$A$5:$A$804,A147,'成交明细'!$D$5:$D$804,"卖")-SUMIFS('成交明细'!$H$5:$H$804,'成交明细'!$A$5:$A$804,A147,'成交明细'!$D$5:$D$804,"买"))*1-AD147)</f>
        <v/>
      </c>
      <c r="AF147" s="45" t="str">
        <f>IF(AND(Y147="已平仓",ISNUMBER(L147)),(SUMIFS('成交明细'!$H$5:$H$804,'成交明细'!$A$5:$A$804,A147,'成交明细'!$D$5:$D$804,"卖")-SUMIFS('成交明细'!$H$5:$H$804,'成交明细'!$A$5:$A$804,A147,'成交明细'!$D$5:$D$804,"买"))*1/L147,"")</f>
        <v/>
      </c>
      <c r="AG147" s="45" t="str">
        <f>IF(AND(Y147="已平仓",ISNUMBER(L147)),AE147/L147,"")</f>
        <v/>
      </c>
      <c r="AH147" s="46" t="str">
        <f>IF(AND(ISNUMBER(V147),ISNUMBER(F147)),IF(E147="空",F147-V147,V147-F147),"")</f>
        <v/>
      </c>
      <c r="AI147" s="46" t="str">
        <f>IF(OR(NOT(ISNUMBER(AE147)),NOT(ISNUMBER(X147))),"",IF(AE147&lt;0,IF(E147="空",X147-G147,G147-X147),IF(NOT(ISNUMBER(H147)),"",IF(E147="空",X147-H147,H147-X147))))</f>
        <v/>
      </c>
      <c r="AJ147" s="32" t="n"/>
      <c r="AK147" s="32" t="n"/>
      <c r="AL147" s="31" t="n"/>
      <c r="AM147" s="45" t="str">
        <f>IF(A147="","",SUM(AG$5:AG147))</f>
        <v/>
      </c>
      <c r="AN147" s="37" t="str">
        <f>IF(A147="","",MAX(0,MAX(AM$5:AM147))-AM147)</f>
        <v/>
      </c>
    </row>
    <row r="148">
      <c r="A148" s="29" t="n"/>
      <c r="B148" s="30" t="n"/>
      <c r="C148" s="31" t="n"/>
      <c r="D148" s="32" t="n"/>
      <c r="E148" s="32" t="n"/>
      <c r="F148" s="33" t="n"/>
      <c r="G148" s="33" t="n"/>
      <c r="H148" s="33" t="n"/>
      <c r="I148" s="34" t="str">
        <f>IF(AND(ISNUMBER(F148),ISNUMBER(G148),ISNUMBER(H148)),IF(OR(AND(E148="多",F148&gt;G148),AND(E148="空",F148&lt;G148)),ABS(H148-F148)/ABS(F148-G148),"止损方向不对"),"")</f>
        <v/>
      </c>
      <c r="J148" s="35" t="str">
        <f>IF(AND(ISNUMBER(F148),ISNUMBER(G148)),IF(F148=G148,"",IF(INT(ROUND('参数'!$C$7/(ABS(F148-G148)*1+2*'参数'!$C$11+N('参数'!$C$14)*F148+N('参数'!$C$15))/1,6))*1&gt;0,INT(ROUND('参数'!$C$7/(ABS(F148-G148)*1+2*'参数'!$C$11+N('参数'!$C$14)*F148+N('参数'!$C$15))/1,6))*1,"预算不足，这笔不做")),"")</f>
        <v/>
      </c>
      <c r="K148" s="36" t="n"/>
      <c r="L148" s="20" t="str">
        <f>IF(AND(ISNUMBER(F148),ISNUMBER(G148),ISNUMBER(K148)),IF(AND(F148&lt;&gt;G148,K148&gt;0),ABS(F148-G148)*K148*1,""),"")</f>
        <v/>
      </c>
      <c r="M148" s="30" t="n"/>
      <c r="N148" s="37" t="str">
        <f>IF(AND(ISNUMBER(L148),ISNUMBER(M148)),IF(E148="空",(G148*(1+'参数'!$C$17)-F148),(F148-G148*(1-'参数'!$C$17)))*K148/L148,"")</f>
        <v/>
      </c>
      <c r="O148" s="38" t="n"/>
      <c r="P148" s="31" t="n"/>
      <c r="Q148" s="32" t="n"/>
      <c r="R148" s="39" t="str">
        <f>IF(N(U148)&gt;0,SUMPRODUCT(LARGE(('成交明细'!$A$5:$A$804=A148)*('成交明细'!$D$5:$D$804=IF(E148="空","卖","买"))*'成交明细'!$B$5:$B$804,COUNTIFS('成交明细'!$A$5:$A$804,A148,'成交明细'!$D$5:$D$804,IF(E148="空","卖","买")))),"")</f>
        <v/>
      </c>
      <c r="S148" s="39" t="str">
        <f>IF(AND(N(U148)&gt;0,N(W148)&gt;=N(U148)),SUMPRODUCT(MAX(('成交明细'!$A$5:$A$804=A148)*('成交明细'!$D$5:$D$804=IF(E148="空","买","卖"))*'成交明细'!$B$5:$B$804)),"")</f>
        <v/>
      </c>
      <c r="T148" s="32" t="n"/>
      <c r="U148" s="35" t="str">
        <f>IF(A148="","",SUMIFS('成交明细'!$F$5:$F$804,'成交明细'!$A$5:$A$804,A148,'成交明细'!$D$5:$D$804,IF(E148="空","卖","买")))</f>
        <v/>
      </c>
      <c r="V148" s="40" t="str">
        <f>IF(N(U148)&gt;0,SUMIFS('成交明细'!$H$5:$H$804,'成交明细'!$A$5:$A$804,A148,'成交明细'!$D$5:$D$804,IF(E148="空","卖","买"))/U148,"")</f>
        <v/>
      </c>
      <c r="W148" s="35" t="str">
        <f>IF(A148="","",SUMIFS('成交明细'!$F$5:$F$804,'成交明细'!$A$5:$A$804,A148,'成交明细'!$D$5:$D$804,IF(E148="空","买","卖")))</f>
        <v/>
      </c>
      <c r="X148" s="40" t="str">
        <f>IF(N(W148)&gt;0,SUMIFS('成交明细'!$H$5:$H$804,'成交明细'!$A$5:$A$804,A148,'成交明细'!$D$5:$D$804,IF(E148="空","买","卖"))/W148,"")</f>
        <v/>
      </c>
      <c r="Y148" s="41" t="str">
        <f>IF(A148="","",IF(Q148&lt;&gt;"已执行",IF(Q148="","未填执行情况",Q148),IF(N(U148)=0,"待录成交",IF(N(W148)&gt;N(U148),"平仓多于开仓",IF(N(W148)&lt;N(U148),"持仓中","已平仓")))))</f>
        <v/>
      </c>
      <c r="Z148" s="41" t="str">
        <f>IF(AND(ISNUMBER(R148),ISNUMBER(S148)),IF(R148=S148,"日内",""),"")</f>
        <v/>
      </c>
      <c r="AA148" s="42" t="str">
        <f>IF(Z148&lt;&gt;"日内","",COUNTIFS($Z$5:$Z$304,"日内",$S$5:$S$304,"&gt;"&amp;WORKDAY(S148,-5),$S$5:$S$304,"&lt;="&amp;S148))</f>
        <v/>
      </c>
      <c r="AB148" s="41" t="str">
        <f>IF(OR(NOT(ISNUMBER(M148)),NOT(ISNUMBER(R148))),"",IF(AND(M148&gt;=R148,OR(NOT(ISNUMBER(S148)),M148&lt;=S148)),"持仓跨财报",""))</f>
        <v/>
      </c>
      <c r="AC148" s="20">
        <f>IF(AND(E148="空",ISNUMBER(O148),ISNUMBER(S148)),ROUND(O148*(S148-R148)/360*V148*U148,2),0)</f>
        <v>0</v>
      </c>
      <c r="AD148" s="43" t="str">
        <f>IF(N(U148)=0,"",SUMIFS('成交明细'!$L$5:$L$804,'成交明细'!$A$5:$A$804,A148)+AC148)</f>
        <v/>
      </c>
      <c r="AE148" s="44" t="str">
        <f>IF(Y148&lt;&gt;"已平仓","",(SUMIFS('成交明细'!$H$5:$H$804,'成交明细'!$A$5:$A$804,A148,'成交明细'!$D$5:$D$804,"卖")-SUMIFS('成交明细'!$H$5:$H$804,'成交明细'!$A$5:$A$804,A148,'成交明细'!$D$5:$D$804,"买"))*1-AD148)</f>
        <v/>
      </c>
      <c r="AF148" s="45" t="str">
        <f>IF(AND(Y148="已平仓",ISNUMBER(L148)),(SUMIFS('成交明细'!$H$5:$H$804,'成交明细'!$A$5:$A$804,A148,'成交明细'!$D$5:$D$804,"卖")-SUMIFS('成交明细'!$H$5:$H$804,'成交明细'!$A$5:$A$804,A148,'成交明细'!$D$5:$D$804,"买"))*1/L148,"")</f>
        <v/>
      </c>
      <c r="AG148" s="45" t="str">
        <f>IF(AND(Y148="已平仓",ISNUMBER(L148)),AE148/L148,"")</f>
        <v/>
      </c>
      <c r="AH148" s="46" t="str">
        <f>IF(AND(ISNUMBER(V148),ISNUMBER(F148)),IF(E148="空",F148-V148,V148-F148),"")</f>
        <v/>
      </c>
      <c r="AI148" s="46" t="str">
        <f>IF(OR(NOT(ISNUMBER(AE148)),NOT(ISNUMBER(X148))),"",IF(AE148&lt;0,IF(E148="空",X148-G148,G148-X148),IF(NOT(ISNUMBER(H148)),"",IF(E148="空",X148-H148,H148-X148))))</f>
        <v/>
      </c>
      <c r="AJ148" s="32" t="n"/>
      <c r="AK148" s="32" t="n"/>
      <c r="AL148" s="31" t="n"/>
      <c r="AM148" s="45" t="str">
        <f>IF(A148="","",SUM(AG$5:AG148))</f>
        <v/>
      </c>
      <c r="AN148" s="37" t="str">
        <f>IF(A148="","",MAX(0,MAX(AM$5:AM148))-AM148)</f>
        <v/>
      </c>
    </row>
    <row r="149">
      <c r="A149" s="29" t="n"/>
      <c r="B149" s="30" t="n"/>
      <c r="C149" s="31" t="n"/>
      <c r="D149" s="32" t="n"/>
      <c r="E149" s="32" t="n"/>
      <c r="F149" s="33" t="n"/>
      <c r="G149" s="33" t="n"/>
      <c r="H149" s="33" t="n"/>
      <c r="I149" s="34" t="str">
        <f>IF(AND(ISNUMBER(F149),ISNUMBER(G149),ISNUMBER(H149)),IF(OR(AND(E149="多",F149&gt;G149),AND(E149="空",F149&lt;G149)),ABS(H149-F149)/ABS(F149-G149),"止损方向不对"),"")</f>
        <v/>
      </c>
      <c r="J149" s="35" t="str">
        <f>IF(AND(ISNUMBER(F149),ISNUMBER(G149)),IF(F149=G149,"",IF(INT(ROUND('参数'!$C$7/(ABS(F149-G149)*1+2*'参数'!$C$11+N('参数'!$C$14)*F149+N('参数'!$C$15))/1,6))*1&gt;0,INT(ROUND('参数'!$C$7/(ABS(F149-G149)*1+2*'参数'!$C$11+N('参数'!$C$14)*F149+N('参数'!$C$15))/1,6))*1,"预算不足，这笔不做")),"")</f>
        <v/>
      </c>
      <c r="K149" s="36" t="n"/>
      <c r="L149" s="20" t="str">
        <f>IF(AND(ISNUMBER(F149),ISNUMBER(G149),ISNUMBER(K149)),IF(AND(F149&lt;&gt;G149,K149&gt;0),ABS(F149-G149)*K149*1,""),"")</f>
        <v/>
      </c>
      <c r="M149" s="30" t="n"/>
      <c r="N149" s="37" t="str">
        <f>IF(AND(ISNUMBER(L149),ISNUMBER(M149)),IF(E149="空",(G149*(1+'参数'!$C$17)-F149),(F149-G149*(1-'参数'!$C$17)))*K149/L149,"")</f>
        <v/>
      </c>
      <c r="O149" s="38" t="n"/>
      <c r="P149" s="31" t="n"/>
      <c r="Q149" s="32" t="n"/>
      <c r="R149" s="39" t="str">
        <f>IF(N(U149)&gt;0,SUMPRODUCT(LARGE(('成交明细'!$A$5:$A$804=A149)*('成交明细'!$D$5:$D$804=IF(E149="空","卖","买"))*'成交明细'!$B$5:$B$804,COUNTIFS('成交明细'!$A$5:$A$804,A149,'成交明细'!$D$5:$D$804,IF(E149="空","卖","买")))),"")</f>
        <v/>
      </c>
      <c r="S149" s="39" t="str">
        <f>IF(AND(N(U149)&gt;0,N(W149)&gt;=N(U149)),SUMPRODUCT(MAX(('成交明细'!$A$5:$A$804=A149)*('成交明细'!$D$5:$D$804=IF(E149="空","买","卖"))*'成交明细'!$B$5:$B$804)),"")</f>
        <v/>
      </c>
      <c r="T149" s="32" t="n"/>
      <c r="U149" s="35" t="str">
        <f>IF(A149="","",SUMIFS('成交明细'!$F$5:$F$804,'成交明细'!$A$5:$A$804,A149,'成交明细'!$D$5:$D$804,IF(E149="空","卖","买")))</f>
        <v/>
      </c>
      <c r="V149" s="40" t="str">
        <f>IF(N(U149)&gt;0,SUMIFS('成交明细'!$H$5:$H$804,'成交明细'!$A$5:$A$804,A149,'成交明细'!$D$5:$D$804,IF(E149="空","卖","买"))/U149,"")</f>
        <v/>
      </c>
      <c r="W149" s="35" t="str">
        <f>IF(A149="","",SUMIFS('成交明细'!$F$5:$F$804,'成交明细'!$A$5:$A$804,A149,'成交明细'!$D$5:$D$804,IF(E149="空","买","卖")))</f>
        <v/>
      </c>
      <c r="X149" s="40" t="str">
        <f>IF(N(W149)&gt;0,SUMIFS('成交明细'!$H$5:$H$804,'成交明细'!$A$5:$A$804,A149,'成交明细'!$D$5:$D$804,IF(E149="空","买","卖"))/W149,"")</f>
        <v/>
      </c>
      <c r="Y149" s="41" t="str">
        <f>IF(A149="","",IF(Q149&lt;&gt;"已执行",IF(Q149="","未填执行情况",Q149),IF(N(U149)=0,"待录成交",IF(N(W149)&gt;N(U149),"平仓多于开仓",IF(N(W149)&lt;N(U149),"持仓中","已平仓")))))</f>
        <v/>
      </c>
      <c r="Z149" s="41" t="str">
        <f>IF(AND(ISNUMBER(R149),ISNUMBER(S149)),IF(R149=S149,"日内",""),"")</f>
        <v/>
      </c>
      <c r="AA149" s="42" t="str">
        <f>IF(Z149&lt;&gt;"日内","",COUNTIFS($Z$5:$Z$304,"日内",$S$5:$S$304,"&gt;"&amp;WORKDAY(S149,-5),$S$5:$S$304,"&lt;="&amp;S149))</f>
        <v/>
      </c>
      <c r="AB149" s="41" t="str">
        <f>IF(OR(NOT(ISNUMBER(M149)),NOT(ISNUMBER(R149))),"",IF(AND(M149&gt;=R149,OR(NOT(ISNUMBER(S149)),M149&lt;=S149)),"持仓跨财报",""))</f>
        <v/>
      </c>
      <c r="AC149" s="20">
        <f>IF(AND(E149="空",ISNUMBER(O149),ISNUMBER(S149)),ROUND(O149*(S149-R149)/360*V149*U149,2),0)</f>
        <v>0</v>
      </c>
      <c r="AD149" s="43" t="str">
        <f>IF(N(U149)=0,"",SUMIFS('成交明细'!$L$5:$L$804,'成交明细'!$A$5:$A$804,A149)+AC149)</f>
        <v/>
      </c>
      <c r="AE149" s="44" t="str">
        <f>IF(Y149&lt;&gt;"已平仓","",(SUMIFS('成交明细'!$H$5:$H$804,'成交明细'!$A$5:$A$804,A149,'成交明细'!$D$5:$D$804,"卖")-SUMIFS('成交明细'!$H$5:$H$804,'成交明细'!$A$5:$A$804,A149,'成交明细'!$D$5:$D$804,"买"))*1-AD149)</f>
        <v/>
      </c>
      <c r="AF149" s="45" t="str">
        <f>IF(AND(Y149="已平仓",ISNUMBER(L149)),(SUMIFS('成交明细'!$H$5:$H$804,'成交明细'!$A$5:$A$804,A149,'成交明细'!$D$5:$D$804,"卖")-SUMIFS('成交明细'!$H$5:$H$804,'成交明细'!$A$5:$A$804,A149,'成交明细'!$D$5:$D$804,"买"))*1/L149,"")</f>
        <v/>
      </c>
      <c r="AG149" s="45" t="str">
        <f>IF(AND(Y149="已平仓",ISNUMBER(L149)),AE149/L149,"")</f>
        <v/>
      </c>
      <c r="AH149" s="46" t="str">
        <f>IF(AND(ISNUMBER(V149),ISNUMBER(F149)),IF(E149="空",F149-V149,V149-F149),"")</f>
        <v/>
      </c>
      <c r="AI149" s="46" t="str">
        <f>IF(OR(NOT(ISNUMBER(AE149)),NOT(ISNUMBER(X149))),"",IF(AE149&lt;0,IF(E149="空",X149-G149,G149-X149),IF(NOT(ISNUMBER(H149)),"",IF(E149="空",X149-H149,H149-X149))))</f>
        <v/>
      </c>
      <c r="AJ149" s="32" t="n"/>
      <c r="AK149" s="32" t="n"/>
      <c r="AL149" s="31" t="n"/>
      <c r="AM149" s="45" t="str">
        <f>IF(A149="","",SUM(AG$5:AG149))</f>
        <v/>
      </c>
      <c r="AN149" s="37" t="str">
        <f>IF(A149="","",MAX(0,MAX(AM$5:AM149))-AM149)</f>
        <v/>
      </c>
    </row>
    <row r="150">
      <c r="A150" s="29" t="n"/>
      <c r="B150" s="30" t="n"/>
      <c r="C150" s="31" t="n"/>
      <c r="D150" s="32" t="n"/>
      <c r="E150" s="32" t="n"/>
      <c r="F150" s="33" t="n"/>
      <c r="G150" s="33" t="n"/>
      <c r="H150" s="33" t="n"/>
      <c r="I150" s="34" t="str">
        <f>IF(AND(ISNUMBER(F150),ISNUMBER(G150),ISNUMBER(H150)),IF(OR(AND(E150="多",F150&gt;G150),AND(E150="空",F150&lt;G150)),ABS(H150-F150)/ABS(F150-G150),"止损方向不对"),"")</f>
        <v/>
      </c>
      <c r="J150" s="35" t="str">
        <f>IF(AND(ISNUMBER(F150),ISNUMBER(G150)),IF(F150=G150,"",IF(INT(ROUND('参数'!$C$7/(ABS(F150-G150)*1+2*'参数'!$C$11+N('参数'!$C$14)*F150+N('参数'!$C$15))/1,6))*1&gt;0,INT(ROUND('参数'!$C$7/(ABS(F150-G150)*1+2*'参数'!$C$11+N('参数'!$C$14)*F150+N('参数'!$C$15))/1,6))*1,"预算不足，这笔不做")),"")</f>
        <v/>
      </c>
      <c r="K150" s="36" t="n"/>
      <c r="L150" s="20" t="str">
        <f>IF(AND(ISNUMBER(F150),ISNUMBER(G150),ISNUMBER(K150)),IF(AND(F150&lt;&gt;G150,K150&gt;0),ABS(F150-G150)*K150*1,""),"")</f>
        <v/>
      </c>
      <c r="M150" s="30" t="n"/>
      <c r="N150" s="37" t="str">
        <f>IF(AND(ISNUMBER(L150),ISNUMBER(M150)),IF(E150="空",(G150*(1+'参数'!$C$17)-F150),(F150-G150*(1-'参数'!$C$17)))*K150/L150,"")</f>
        <v/>
      </c>
      <c r="O150" s="38" t="n"/>
      <c r="P150" s="31" t="n"/>
      <c r="Q150" s="32" t="n"/>
      <c r="R150" s="39" t="str">
        <f>IF(N(U150)&gt;0,SUMPRODUCT(LARGE(('成交明细'!$A$5:$A$804=A150)*('成交明细'!$D$5:$D$804=IF(E150="空","卖","买"))*'成交明细'!$B$5:$B$804,COUNTIFS('成交明细'!$A$5:$A$804,A150,'成交明细'!$D$5:$D$804,IF(E150="空","卖","买")))),"")</f>
        <v/>
      </c>
      <c r="S150" s="39" t="str">
        <f>IF(AND(N(U150)&gt;0,N(W150)&gt;=N(U150)),SUMPRODUCT(MAX(('成交明细'!$A$5:$A$804=A150)*('成交明细'!$D$5:$D$804=IF(E150="空","买","卖"))*'成交明细'!$B$5:$B$804)),"")</f>
        <v/>
      </c>
      <c r="T150" s="32" t="n"/>
      <c r="U150" s="35" t="str">
        <f>IF(A150="","",SUMIFS('成交明细'!$F$5:$F$804,'成交明细'!$A$5:$A$804,A150,'成交明细'!$D$5:$D$804,IF(E150="空","卖","买")))</f>
        <v/>
      </c>
      <c r="V150" s="40" t="str">
        <f>IF(N(U150)&gt;0,SUMIFS('成交明细'!$H$5:$H$804,'成交明细'!$A$5:$A$804,A150,'成交明细'!$D$5:$D$804,IF(E150="空","卖","买"))/U150,"")</f>
        <v/>
      </c>
      <c r="W150" s="35" t="str">
        <f>IF(A150="","",SUMIFS('成交明细'!$F$5:$F$804,'成交明细'!$A$5:$A$804,A150,'成交明细'!$D$5:$D$804,IF(E150="空","买","卖")))</f>
        <v/>
      </c>
      <c r="X150" s="40" t="str">
        <f>IF(N(W150)&gt;0,SUMIFS('成交明细'!$H$5:$H$804,'成交明细'!$A$5:$A$804,A150,'成交明细'!$D$5:$D$804,IF(E150="空","买","卖"))/W150,"")</f>
        <v/>
      </c>
      <c r="Y150" s="41" t="str">
        <f>IF(A150="","",IF(Q150&lt;&gt;"已执行",IF(Q150="","未填执行情况",Q150),IF(N(U150)=0,"待录成交",IF(N(W150)&gt;N(U150),"平仓多于开仓",IF(N(W150)&lt;N(U150),"持仓中","已平仓")))))</f>
        <v/>
      </c>
      <c r="Z150" s="41" t="str">
        <f>IF(AND(ISNUMBER(R150),ISNUMBER(S150)),IF(R150=S150,"日内",""),"")</f>
        <v/>
      </c>
      <c r="AA150" s="42" t="str">
        <f>IF(Z150&lt;&gt;"日内","",COUNTIFS($Z$5:$Z$304,"日内",$S$5:$S$304,"&gt;"&amp;WORKDAY(S150,-5),$S$5:$S$304,"&lt;="&amp;S150))</f>
        <v/>
      </c>
      <c r="AB150" s="41" t="str">
        <f>IF(OR(NOT(ISNUMBER(M150)),NOT(ISNUMBER(R150))),"",IF(AND(M150&gt;=R150,OR(NOT(ISNUMBER(S150)),M150&lt;=S150)),"持仓跨财报",""))</f>
        <v/>
      </c>
      <c r="AC150" s="20">
        <f>IF(AND(E150="空",ISNUMBER(O150),ISNUMBER(S150)),ROUND(O150*(S150-R150)/360*V150*U150,2),0)</f>
        <v>0</v>
      </c>
      <c r="AD150" s="43" t="str">
        <f>IF(N(U150)=0,"",SUMIFS('成交明细'!$L$5:$L$804,'成交明细'!$A$5:$A$804,A150)+AC150)</f>
        <v/>
      </c>
      <c r="AE150" s="44" t="str">
        <f>IF(Y150&lt;&gt;"已平仓","",(SUMIFS('成交明细'!$H$5:$H$804,'成交明细'!$A$5:$A$804,A150,'成交明细'!$D$5:$D$804,"卖")-SUMIFS('成交明细'!$H$5:$H$804,'成交明细'!$A$5:$A$804,A150,'成交明细'!$D$5:$D$804,"买"))*1-AD150)</f>
        <v/>
      </c>
      <c r="AF150" s="45" t="str">
        <f>IF(AND(Y150="已平仓",ISNUMBER(L150)),(SUMIFS('成交明细'!$H$5:$H$804,'成交明细'!$A$5:$A$804,A150,'成交明细'!$D$5:$D$804,"卖")-SUMIFS('成交明细'!$H$5:$H$804,'成交明细'!$A$5:$A$804,A150,'成交明细'!$D$5:$D$804,"买"))*1/L150,"")</f>
        <v/>
      </c>
      <c r="AG150" s="45" t="str">
        <f>IF(AND(Y150="已平仓",ISNUMBER(L150)),AE150/L150,"")</f>
        <v/>
      </c>
      <c r="AH150" s="46" t="str">
        <f>IF(AND(ISNUMBER(V150),ISNUMBER(F150)),IF(E150="空",F150-V150,V150-F150),"")</f>
        <v/>
      </c>
      <c r="AI150" s="46" t="str">
        <f>IF(OR(NOT(ISNUMBER(AE150)),NOT(ISNUMBER(X150))),"",IF(AE150&lt;0,IF(E150="空",X150-G150,G150-X150),IF(NOT(ISNUMBER(H150)),"",IF(E150="空",X150-H150,H150-X150))))</f>
        <v/>
      </c>
      <c r="AJ150" s="32" t="n"/>
      <c r="AK150" s="32" t="n"/>
      <c r="AL150" s="31" t="n"/>
      <c r="AM150" s="45" t="str">
        <f>IF(A150="","",SUM(AG$5:AG150))</f>
        <v/>
      </c>
      <c r="AN150" s="37" t="str">
        <f>IF(A150="","",MAX(0,MAX(AM$5:AM150))-AM150)</f>
        <v/>
      </c>
    </row>
    <row r="151">
      <c r="A151" s="29" t="n"/>
      <c r="B151" s="30" t="n"/>
      <c r="C151" s="31" t="n"/>
      <c r="D151" s="32" t="n"/>
      <c r="E151" s="32" t="n"/>
      <c r="F151" s="33" t="n"/>
      <c r="G151" s="33" t="n"/>
      <c r="H151" s="33" t="n"/>
      <c r="I151" s="34" t="str">
        <f>IF(AND(ISNUMBER(F151),ISNUMBER(G151),ISNUMBER(H151)),IF(OR(AND(E151="多",F151&gt;G151),AND(E151="空",F151&lt;G151)),ABS(H151-F151)/ABS(F151-G151),"止损方向不对"),"")</f>
        <v/>
      </c>
      <c r="J151" s="35" t="str">
        <f>IF(AND(ISNUMBER(F151),ISNUMBER(G151)),IF(F151=G151,"",IF(INT(ROUND('参数'!$C$7/(ABS(F151-G151)*1+2*'参数'!$C$11+N('参数'!$C$14)*F151+N('参数'!$C$15))/1,6))*1&gt;0,INT(ROUND('参数'!$C$7/(ABS(F151-G151)*1+2*'参数'!$C$11+N('参数'!$C$14)*F151+N('参数'!$C$15))/1,6))*1,"预算不足，这笔不做")),"")</f>
        <v/>
      </c>
      <c r="K151" s="36" t="n"/>
      <c r="L151" s="20" t="str">
        <f>IF(AND(ISNUMBER(F151),ISNUMBER(G151),ISNUMBER(K151)),IF(AND(F151&lt;&gt;G151,K151&gt;0),ABS(F151-G151)*K151*1,""),"")</f>
        <v/>
      </c>
      <c r="M151" s="30" t="n"/>
      <c r="N151" s="37" t="str">
        <f>IF(AND(ISNUMBER(L151),ISNUMBER(M151)),IF(E151="空",(G151*(1+'参数'!$C$17)-F151),(F151-G151*(1-'参数'!$C$17)))*K151/L151,"")</f>
        <v/>
      </c>
      <c r="O151" s="38" t="n"/>
      <c r="P151" s="31" t="n"/>
      <c r="Q151" s="32" t="n"/>
      <c r="R151" s="39" t="str">
        <f>IF(N(U151)&gt;0,SUMPRODUCT(LARGE(('成交明细'!$A$5:$A$804=A151)*('成交明细'!$D$5:$D$804=IF(E151="空","卖","买"))*'成交明细'!$B$5:$B$804,COUNTIFS('成交明细'!$A$5:$A$804,A151,'成交明细'!$D$5:$D$804,IF(E151="空","卖","买")))),"")</f>
        <v/>
      </c>
      <c r="S151" s="39" t="str">
        <f>IF(AND(N(U151)&gt;0,N(W151)&gt;=N(U151)),SUMPRODUCT(MAX(('成交明细'!$A$5:$A$804=A151)*('成交明细'!$D$5:$D$804=IF(E151="空","买","卖"))*'成交明细'!$B$5:$B$804)),"")</f>
        <v/>
      </c>
      <c r="T151" s="32" t="n"/>
      <c r="U151" s="35" t="str">
        <f>IF(A151="","",SUMIFS('成交明细'!$F$5:$F$804,'成交明细'!$A$5:$A$804,A151,'成交明细'!$D$5:$D$804,IF(E151="空","卖","买")))</f>
        <v/>
      </c>
      <c r="V151" s="40" t="str">
        <f>IF(N(U151)&gt;0,SUMIFS('成交明细'!$H$5:$H$804,'成交明细'!$A$5:$A$804,A151,'成交明细'!$D$5:$D$804,IF(E151="空","卖","买"))/U151,"")</f>
        <v/>
      </c>
      <c r="W151" s="35" t="str">
        <f>IF(A151="","",SUMIFS('成交明细'!$F$5:$F$804,'成交明细'!$A$5:$A$804,A151,'成交明细'!$D$5:$D$804,IF(E151="空","买","卖")))</f>
        <v/>
      </c>
      <c r="X151" s="40" t="str">
        <f>IF(N(W151)&gt;0,SUMIFS('成交明细'!$H$5:$H$804,'成交明细'!$A$5:$A$804,A151,'成交明细'!$D$5:$D$804,IF(E151="空","买","卖"))/W151,"")</f>
        <v/>
      </c>
      <c r="Y151" s="41" t="str">
        <f>IF(A151="","",IF(Q151&lt;&gt;"已执行",IF(Q151="","未填执行情况",Q151),IF(N(U151)=0,"待录成交",IF(N(W151)&gt;N(U151),"平仓多于开仓",IF(N(W151)&lt;N(U151),"持仓中","已平仓")))))</f>
        <v/>
      </c>
      <c r="Z151" s="41" t="str">
        <f>IF(AND(ISNUMBER(R151),ISNUMBER(S151)),IF(R151=S151,"日内",""),"")</f>
        <v/>
      </c>
      <c r="AA151" s="42" t="str">
        <f>IF(Z151&lt;&gt;"日内","",COUNTIFS($Z$5:$Z$304,"日内",$S$5:$S$304,"&gt;"&amp;WORKDAY(S151,-5),$S$5:$S$304,"&lt;="&amp;S151))</f>
        <v/>
      </c>
      <c r="AB151" s="41" t="str">
        <f>IF(OR(NOT(ISNUMBER(M151)),NOT(ISNUMBER(R151))),"",IF(AND(M151&gt;=R151,OR(NOT(ISNUMBER(S151)),M151&lt;=S151)),"持仓跨财报",""))</f>
        <v/>
      </c>
      <c r="AC151" s="20">
        <f>IF(AND(E151="空",ISNUMBER(O151),ISNUMBER(S151)),ROUND(O151*(S151-R151)/360*V151*U151,2),0)</f>
        <v>0</v>
      </c>
      <c r="AD151" s="43" t="str">
        <f>IF(N(U151)=0,"",SUMIFS('成交明细'!$L$5:$L$804,'成交明细'!$A$5:$A$804,A151)+AC151)</f>
        <v/>
      </c>
      <c r="AE151" s="44" t="str">
        <f>IF(Y151&lt;&gt;"已平仓","",(SUMIFS('成交明细'!$H$5:$H$804,'成交明细'!$A$5:$A$804,A151,'成交明细'!$D$5:$D$804,"卖")-SUMIFS('成交明细'!$H$5:$H$804,'成交明细'!$A$5:$A$804,A151,'成交明细'!$D$5:$D$804,"买"))*1-AD151)</f>
        <v/>
      </c>
      <c r="AF151" s="45" t="str">
        <f>IF(AND(Y151="已平仓",ISNUMBER(L151)),(SUMIFS('成交明细'!$H$5:$H$804,'成交明细'!$A$5:$A$804,A151,'成交明细'!$D$5:$D$804,"卖")-SUMIFS('成交明细'!$H$5:$H$804,'成交明细'!$A$5:$A$804,A151,'成交明细'!$D$5:$D$804,"买"))*1/L151,"")</f>
        <v/>
      </c>
      <c r="AG151" s="45" t="str">
        <f>IF(AND(Y151="已平仓",ISNUMBER(L151)),AE151/L151,"")</f>
        <v/>
      </c>
      <c r="AH151" s="46" t="str">
        <f>IF(AND(ISNUMBER(V151),ISNUMBER(F151)),IF(E151="空",F151-V151,V151-F151),"")</f>
        <v/>
      </c>
      <c r="AI151" s="46" t="str">
        <f>IF(OR(NOT(ISNUMBER(AE151)),NOT(ISNUMBER(X151))),"",IF(AE151&lt;0,IF(E151="空",X151-G151,G151-X151),IF(NOT(ISNUMBER(H151)),"",IF(E151="空",X151-H151,H151-X151))))</f>
        <v/>
      </c>
      <c r="AJ151" s="32" t="n"/>
      <c r="AK151" s="32" t="n"/>
      <c r="AL151" s="31" t="n"/>
      <c r="AM151" s="45" t="str">
        <f>IF(A151="","",SUM(AG$5:AG151))</f>
        <v/>
      </c>
      <c r="AN151" s="37" t="str">
        <f>IF(A151="","",MAX(0,MAX(AM$5:AM151))-AM151)</f>
        <v/>
      </c>
    </row>
    <row r="152">
      <c r="A152" s="29" t="n"/>
      <c r="B152" s="30" t="n"/>
      <c r="C152" s="31" t="n"/>
      <c r="D152" s="32" t="n"/>
      <c r="E152" s="32" t="n"/>
      <c r="F152" s="33" t="n"/>
      <c r="G152" s="33" t="n"/>
      <c r="H152" s="33" t="n"/>
      <c r="I152" s="34" t="str">
        <f>IF(AND(ISNUMBER(F152),ISNUMBER(G152),ISNUMBER(H152)),IF(OR(AND(E152="多",F152&gt;G152),AND(E152="空",F152&lt;G152)),ABS(H152-F152)/ABS(F152-G152),"止损方向不对"),"")</f>
        <v/>
      </c>
      <c r="J152" s="35" t="str">
        <f>IF(AND(ISNUMBER(F152),ISNUMBER(G152)),IF(F152=G152,"",IF(INT(ROUND('参数'!$C$7/(ABS(F152-G152)*1+2*'参数'!$C$11+N('参数'!$C$14)*F152+N('参数'!$C$15))/1,6))*1&gt;0,INT(ROUND('参数'!$C$7/(ABS(F152-G152)*1+2*'参数'!$C$11+N('参数'!$C$14)*F152+N('参数'!$C$15))/1,6))*1,"预算不足，这笔不做")),"")</f>
        <v/>
      </c>
      <c r="K152" s="36" t="n"/>
      <c r="L152" s="20" t="str">
        <f>IF(AND(ISNUMBER(F152),ISNUMBER(G152),ISNUMBER(K152)),IF(AND(F152&lt;&gt;G152,K152&gt;0),ABS(F152-G152)*K152*1,""),"")</f>
        <v/>
      </c>
      <c r="M152" s="30" t="n"/>
      <c r="N152" s="37" t="str">
        <f>IF(AND(ISNUMBER(L152),ISNUMBER(M152)),IF(E152="空",(G152*(1+'参数'!$C$17)-F152),(F152-G152*(1-'参数'!$C$17)))*K152/L152,"")</f>
        <v/>
      </c>
      <c r="O152" s="38" t="n"/>
      <c r="P152" s="31" t="n"/>
      <c r="Q152" s="32" t="n"/>
      <c r="R152" s="39" t="str">
        <f>IF(N(U152)&gt;0,SUMPRODUCT(LARGE(('成交明细'!$A$5:$A$804=A152)*('成交明细'!$D$5:$D$804=IF(E152="空","卖","买"))*'成交明细'!$B$5:$B$804,COUNTIFS('成交明细'!$A$5:$A$804,A152,'成交明细'!$D$5:$D$804,IF(E152="空","卖","买")))),"")</f>
        <v/>
      </c>
      <c r="S152" s="39" t="str">
        <f>IF(AND(N(U152)&gt;0,N(W152)&gt;=N(U152)),SUMPRODUCT(MAX(('成交明细'!$A$5:$A$804=A152)*('成交明细'!$D$5:$D$804=IF(E152="空","买","卖"))*'成交明细'!$B$5:$B$804)),"")</f>
        <v/>
      </c>
      <c r="T152" s="32" t="n"/>
      <c r="U152" s="35" t="str">
        <f>IF(A152="","",SUMIFS('成交明细'!$F$5:$F$804,'成交明细'!$A$5:$A$804,A152,'成交明细'!$D$5:$D$804,IF(E152="空","卖","买")))</f>
        <v/>
      </c>
      <c r="V152" s="40" t="str">
        <f>IF(N(U152)&gt;0,SUMIFS('成交明细'!$H$5:$H$804,'成交明细'!$A$5:$A$804,A152,'成交明细'!$D$5:$D$804,IF(E152="空","卖","买"))/U152,"")</f>
        <v/>
      </c>
      <c r="W152" s="35" t="str">
        <f>IF(A152="","",SUMIFS('成交明细'!$F$5:$F$804,'成交明细'!$A$5:$A$804,A152,'成交明细'!$D$5:$D$804,IF(E152="空","买","卖")))</f>
        <v/>
      </c>
      <c r="X152" s="40" t="str">
        <f>IF(N(W152)&gt;0,SUMIFS('成交明细'!$H$5:$H$804,'成交明细'!$A$5:$A$804,A152,'成交明细'!$D$5:$D$804,IF(E152="空","买","卖"))/W152,"")</f>
        <v/>
      </c>
      <c r="Y152" s="41" t="str">
        <f>IF(A152="","",IF(Q152&lt;&gt;"已执行",IF(Q152="","未填执行情况",Q152),IF(N(U152)=0,"待录成交",IF(N(W152)&gt;N(U152),"平仓多于开仓",IF(N(W152)&lt;N(U152),"持仓中","已平仓")))))</f>
        <v/>
      </c>
      <c r="Z152" s="41" t="str">
        <f>IF(AND(ISNUMBER(R152),ISNUMBER(S152)),IF(R152=S152,"日内",""),"")</f>
        <v/>
      </c>
      <c r="AA152" s="42" t="str">
        <f>IF(Z152&lt;&gt;"日内","",COUNTIFS($Z$5:$Z$304,"日内",$S$5:$S$304,"&gt;"&amp;WORKDAY(S152,-5),$S$5:$S$304,"&lt;="&amp;S152))</f>
        <v/>
      </c>
      <c r="AB152" s="41" t="str">
        <f>IF(OR(NOT(ISNUMBER(M152)),NOT(ISNUMBER(R152))),"",IF(AND(M152&gt;=R152,OR(NOT(ISNUMBER(S152)),M152&lt;=S152)),"持仓跨财报",""))</f>
        <v/>
      </c>
      <c r="AC152" s="20">
        <f>IF(AND(E152="空",ISNUMBER(O152),ISNUMBER(S152)),ROUND(O152*(S152-R152)/360*V152*U152,2),0)</f>
        <v>0</v>
      </c>
      <c r="AD152" s="43" t="str">
        <f>IF(N(U152)=0,"",SUMIFS('成交明细'!$L$5:$L$804,'成交明细'!$A$5:$A$804,A152)+AC152)</f>
        <v/>
      </c>
      <c r="AE152" s="44" t="str">
        <f>IF(Y152&lt;&gt;"已平仓","",(SUMIFS('成交明细'!$H$5:$H$804,'成交明细'!$A$5:$A$804,A152,'成交明细'!$D$5:$D$804,"卖")-SUMIFS('成交明细'!$H$5:$H$804,'成交明细'!$A$5:$A$804,A152,'成交明细'!$D$5:$D$804,"买"))*1-AD152)</f>
        <v/>
      </c>
      <c r="AF152" s="45" t="str">
        <f>IF(AND(Y152="已平仓",ISNUMBER(L152)),(SUMIFS('成交明细'!$H$5:$H$804,'成交明细'!$A$5:$A$804,A152,'成交明细'!$D$5:$D$804,"卖")-SUMIFS('成交明细'!$H$5:$H$804,'成交明细'!$A$5:$A$804,A152,'成交明细'!$D$5:$D$804,"买"))*1/L152,"")</f>
        <v/>
      </c>
      <c r="AG152" s="45" t="str">
        <f>IF(AND(Y152="已平仓",ISNUMBER(L152)),AE152/L152,"")</f>
        <v/>
      </c>
      <c r="AH152" s="46" t="str">
        <f>IF(AND(ISNUMBER(V152),ISNUMBER(F152)),IF(E152="空",F152-V152,V152-F152),"")</f>
        <v/>
      </c>
      <c r="AI152" s="46" t="str">
        <f>IF(OR(NOT(ISNUMBER(AE152)),NOT(ISNUMBER(X152))),"",IF(AE152&lt;0,IF(E152="空",X152-G152,G152-X152),IF(NOT(ISNUMBER(H152)),"",IF(E152="空",X152-H152,H152-X152))))</f>
        <v/>
      </c>
      <c r="AJ152" s="32" t="n"/>
      <c r="AK152" s="32" t="n"/>
      <c r="AL152" s="31" t="n"/>
      <c r="AM152" s="45" t="str">
        <f>IF(A152="","",SUM(AG$5:AG152))</f>
        <v/>
      </c>
      <c r="AN152" s="37" t="str">
        <f>IF(A152="","",MAX(0,MAX(AM$5:AM152))-AM152)</f>
        <v/>
      </c>
    </row>
    <row r="153">
      <c r="A153" s="29" t="n"/>
      <c r="B153" s="30" t="n"/>
      <c r="C153" s="31" t="n"/>
      <c r="D153" s="32" t="n"/>
      <c r="E153" s="32" t="n"/>
      <c r="F153" s="33" t="n"/>
      <c r="G153" s="33" t="n"/>
      <c r="H153" s="33" t="n"/>
      <c r="I153" s="34" t="str">
        <f>IF(AND(ISNUMBER(F153),ISNUMBER(G153),ISNUMBER(H153)),IF(OR(AND(E153="多",F153&gt;G153),AND(E153="空",F153&lt;G153)),ABS(H153-F153)/ABS(F153-G153),"止损方向不对"),"")</f>
        <v/>
      </c>
      <c r="J153" s="35" t="str">
        <f>IF(AND(ISNUMBER(F153),ISNUMBER(G153)),IF(F153=G153,"",IF(INT(ROUND('参数'!$C$7/(ABS(F153-G153)*1+2*'参数'!$C$11+N('参数'!$C$14)*F153+N('参数'!$C$15))/1,6))*1&gt;0,INT(ROUND('参数'!$C$7/(ABS(F153-G153)*1+2*'参数'!$C$11+N('参数'!$C$14)*F153+N('参数'!$C$15))/1,6))*1,"预算不足，这笔不做")),"")</f>
        <v/>
      </c>
      <c r="K153" s="36" t="n"/>
      <c r="L153" s="20" t="str">
        <f>IF(AND(ISNUMBER(F153),ISNUMBER(G153),ISNUMBER(K153)),IF(AND(F153&lt;&gt;G153,K153&gt;0),ABS(F153-G153)*K153*1,""),"")</f>
        <v/>
      </c>
      <c r="M153" s="30" t="n"/>
      <c r="N153" s="37" t="str">
        <f>IF(AND(ISNUMBER(L153),ISNUMBER(M153)),IF(E153="空",(G153*(1+'参数'!$C$17)-F153),(F153-G153*(1-'参数'!$C$17)))*K153/L153,"")</f>
        <v/>
      </c>
      <c r="O153" s="38" t="n"/>
      <c r="P153" s="31" t="n"/>
      <c r="Q153" s="32" t="n"/>
      <c r="R153" s="39" t="str">
        <f>IF(N(U153)&gt;0,SUMPRODUCT(LARGE(('成交明细'!$A$5:$A$804=A153)*('成交明细'!$D$5:$D$804=IF(E153="空","卖","买"))*'成交明细'!$B$5:$B$804,COUNTIFS('成交明细'!$A$5:$A$804,A153,'成交明细'!$D$5:$D$804,IF(E153="空","卖","买")))),"")</f>
        <v/>
      </c>
      <c r="S153" s="39" t="str">
        <f>IF(AND(N(U153)&gt;0,N(W153)&gt;=N(U153)),SUMPRODUCT(MAX(('成交明细'!$A$5:$A$804=A153)*('成交明细'!$D$5:$D$804=IF(E153="空","买","卖"))*'成交明细'!$B$5:$B$804)),"")</f>
        <v/>
      </c>
      <c r="T153" s="32" t="n"/>
      <c r="U153" s="35" t="str">
        <f>IF(A153="","",SUMIFS('成交明细'!$F$5:$F$804,'成交明细'!$A$5:$A$804,A153,'成交明细'!$D$5:$D$804,IF(E153="空","卖","买")))</f>
        <v/>
      </c>
      <c r="V153" s="40" t="str">
        <f>IF(N(U153)&gt;0,SUMIFS('成交明细'!$H$5:$H$804,'成交明细'!$A$5:$A$804,A153,'成交明细'!$D$5:$D$804,IF(E153="空","卖","买"))/U153,"")</f>
        <v/>
      </c>
      <c r="W153" s="35" t="str">
        <f>IF(A153="","",SUMIFS('成交明细'!$F$5:$F$804,'成交明细'!$A$5:$A$804,A153,'成交明细'!$D$5:$D$804,IF(E153="空","买","卖")))</f>
        <v/>
      </c>
      <c r="X153" s="40" t="str">
        <f>IF(N(W153)&gt;0,SUMIFS('成交明细'!$H$5:$H$804,'成交明细'!$A$5:$A$804,A153,'成交明细'!$D$5:$D$804,IF(E153="空","买","卖"))/W153,"")</f>
        <v/>
      </c>
      <c r="Y153" s="41" t="str">
        <f>IF(A153="","",IF(Q153&lt;&gt;"已执行",IF(Q153="","未填执行情况",Q153),IF(N(U153)=0,"待录成交",IF(N(W153)&gt;N(U153),"平仓多于开仓",IF(N(W153)&lt;N(U153),"持仓中","已平仓")))))</f>
        <v/>
      </c>
      <c r="Z153" s="41" t="str">
        <f>IF(AND(ISNUMBER(R153),ISNUMBER(S153)),IF(R153=S153,"日内",""),"")</f>
        <v/>
      </c>
      <c r="AA153" s="42" t="str">
        <f>IF(Z153&lt;&gt;"日内","",COUNTIFS($Z$5:$Z$304,"日内",$S$5:$S$304,"&gt;"&amp;WORKDAY(S153,-5),$S$5:$S$304,"&lt;="&amp;S153))</f>
        <v/>
      </c>
      <c r="AB153" s="41" t="str">
        <f>IF(OR(NOT(ISNUMBER(M153)),NOT(ISNUMBER(R153))),"",IF(AND(M153&gt;=R153,OR(NOT(ISNUMBER(S153)),M153&lt;=S153)),"持仓跨财报",""))</f>
        <v/>
      </c>
      <c r="AC153" s="20">
        <f>IF(AND(E153="空",ISNUMBER(O153),ISNUMBER(S153)),ROUND(O153*(S153-R153)/360*V153*U153,2),0)</f>
        <v>0</v>
      </c>
      <c r="AD153" s="43" t="str">
        <f>IF(N(U153)=0,"",SUMIFS('成交明细'!$L$5:$L$804,'成交明细'!$A$5:$A$804,A153)+AC153)</f>
        <v/>
      </c>
      <c r="AE153" s="44" t="str">
        <f>IF(Y153&lt;&gt;"已平仓","",(SUMIFS('成交明细'!$H$5:$H$804,'成交明细'!$A$5:$A$804,A153,'成交明细'!$D$5:$D$804,"卖")-SUMIFS('成交明细'!$H$5:$H$804,'成交明细'!$A$5:$A$804,A153,'成交明细'!$D$5:$D$804,"买"))*1-AD153)</f>
        <v/>
      </c>
      <c r="AF153" s="45" t="str">
        <f>IF(AND(Y153="已平仓",ISNUMBER(L153)),(SUMIFS('成交明细'!$H$5:$H$804,'成交明细'!$A$5:$A$804,A153,'成交明细'!$D$5:$D$804,"卖")-SUMIFS('成交明细'!$H$5:$H$804,'成交明细'!$A$5:$A$804,A153,'成交明细'!$D$5:$D$804,"买"))*1/L153,"")</f>
        <v/>
      </c>
      <c r="AG153" s="45" t="str">
        <f>IF(AND(Y153="已平仓",ISNUMBER(L153)),AE153/L153,"")</f>
        <v/>
      </c>
      <c r="AH153" s="46" t="str">
        <f>IF(AND(ISNUMBER(V153),ISNUMBER(F153)),IF(E153="空",F153-V153,V153-F153),"")</f>
        <v/>
      </c>
      <c r="AI153" s="46" t="str">
        <f>IF(OR(NOT(ISNUMBER(AE153)),NOT(ISNUMBER(X153))),"",IF(AE153&lt;0,IF(E153="空",X153-G153,G153-X153),IF(NOT(ISNUMBER(H153)),"",IF(E153="空",X153-H153,H153-X153))))</f>
        <v/>
      </c>
      <c r="AJ153" s="32" t="n"/>
      <c r="AK153" s="32" t="n"/>
      <c r="AL153" s="31" t="n"/>
      <c r="AM153" s="45" t="str">
        <f>IF(A153="","",SUM(AG$5:AG153))</f>
        <v/>
      </c>
      <c r="AN153" s="37" t="str">
        <f>IF(A153="","",MAX(0,MAX(AM$5:AM153))-AM153)</f>
        <v/>
      </c>
    </row>
    <row r="154">
      <c r="A154" s="29" t="n"/>
      <c r="B154" s="30" t="n"/>
      <c r="C154" s="31" t="n"/>
      <c r="D154" s="32" t="n"/>
      <c r="E154" s="32" t="n"/>
      <c r="F154" s="33" t="n"/>
      <c r="G154" s="33" t="n"/>
      <c r="H154" s="33" t="n"/>
      <c r="I154" s="34" t="str">
        <f>IF(AND(ISNUMBER(F154),ISNUMBER(G154),ISNUMBER(H154)),IF(OR(AND(E154="多",F154&gt;G154),AND(E154="空",F154&lt;G154)),ABS(H154-F154)/ABS(F154-G154),"止损方向不对"),"")</f>
        <v/>
      </c>
      <c r="J154" s="35" t="str">
        <f>IF(AND(ISNUMBER(F154),ISNUMBER(G154)),IF(F154=G154,"",IF(INT(ROUND('参数'!$C$7/(ABS(F154-G154)*1+2*'参数'!$C$11+N('参数'!$C$14)*F154+N('参数'!$C$15))/1,6))*1&gt;0,INT(ROUND('参数'!$C$7/(ABS(F154-G154)*1+2*'参数'!$C$11+N('参数'!$C$14)*F154+N('参数'!$C$15))/1,6))*1,"预算不足，这笔不做")),"")</f>
        <v/>
      </c>
      <c r="K154" s="36" t="n"/>
      <c r="L154" s="20" t="str">
        <f>IF(AND(ISNUMBER(F154),ISNUMBER(G154),ISNUMBER(K154)),IF(AND(F154&lt;&gt;G154,K154&gt;0),ABS(F154-G154)*K154*1,""),"")</f>
        <v/>
      </c>
      <c r="M154" s="30" t="n"/>
      <c r="N154" s="37" t="str">
        <f>IF(AND(ISNUMBER(L154),ISNUMBER(M154)),IF(E154="空",(G154*(1+'参数'!$C$17)-F154),(F154-G154*(1-'参数'!$C$17)))*K154/L154,"")</f>
        <v/>
      </c>
      <c r="O154" s="38" t="n"/>
      <c r="P154" s="31" t="n"/>
      <c r="Q154" s="32" t="n"/>
      <c r="R154" s="39" t="str">
        <f>IF(N(U154)&gt;0,SUMPRODUCT(LARGE(('成交明细'!$A$5:$A$804=A154)*('成交明细'!$D$5:$D$804=IF(E154="空","卖","买"))*'成交明细'!$B$5:$B$804,COUNTIFS('成交明细'!$A$5:$A$804,A154,'成交明细'!$D$5:$D$804,IF(E154="空","卖","买")))),"")</f>
        <v/>
      </c>
      <c r="S154" s="39" t="str">
        <f>IF(AND(N(U154)&gt;0,N(W154)&gt;=N(U154)),SUMPRODUCT(MAX(('成交明细'!$A$5:$A$804=A154)*('成交明细'!$D$5:$D$804=IF(E154="空","买","卖"))*'成交明细'!$B$5:$B$804)),"")</f>
        <v/>
      </c>
      <c r="T154" s="32" t="n"/>
      <c r="U154" s="35" t="str">
        <f>IF(A154="","",SUMIFS('成交明细'!$F$5:$F$804,'成交明细'!$A$5:$A$804,A154,'成交明细'!$D$5:$D$804,IF(E154="空","卖","买")))</f>
        <v/>
      </c>
      <c r="V154" s="40" t="str">
        <f>IF(N(U154)&gt;0,SUMIFS('成交明细'!$H$5:$H$804,'成交明细'!$A$5:$A$804,A154,'成交明细'!$D$5:$D$804,IF(E154="空","卖","买"))/U154,"")</f>
        <v/>
      </c>
      <c r="W154" s="35" t="str">
        <f>IF(A154="","",SUMIFS('成交明细'!$F$5:$F$804,'成交明细'!$A$5:$A$804,A154,'成交明细'!$D$5:$D$804,IF(E154="空","买","卖")))</f>
        <v/>
      </c>
      <c r="X154" s="40" t="str">
        <f>IF(N(W154)&gt;0,SUMIFS('成交明细'!$H$5:$H$804,'成交明细'!$A$5:$A$804,A154,'成交明细'!$D$5:$D$804,IF(E154="空","买","卖"))/W154,"")</f>
        <v/>
      </c>
      <c r="Y154" s="41" t="str">
        <f>IF(A154="","",IF(Q154&lt;&gt;"已执行",IF(Q154="","未填执行情况",Q154),IF(N(U154)=0,"待录成交",IF(N(W154)&gt;N(U154),"平仓多于开仓",IF(N(W154)&lt;N(U154),"持仓中","已平仓")))))</f>
        <v/>
      </c>
      <c r="Z154" s="41" t="str">
        <f>IF(AND(ISNUMBER(R154),ISNUMBER(S154)),IF(R154=S154,"日内",""),"")</f>
        <v/>
      </c>
      <c r="AA154" s="42" t="str">
        <f>IF(Z154&lt;&gt;"日内","",COUNTIFS($Z$5:$Z$304,"日内",$S$5:$S$304,"&gt;"&amp;WORKDAY(S154,-5),$S$5:$S$304,"&lt;="&amp;S154))</f>
        <v/>
      </c>
      <c r="AB154" s="41" t="str">
        <f>IF(OR(NOT(ISNUMBER(M154)),NOT(ISNUMBER(R154))),"",IF(AND(M154&gt;=R154,OR(NOT(ISNUMBER(S154)),M154&lt;=S154)),"持仓跨财报",""))</f>
        <v/>
      </c>
      <c r="AC154" s="20">
        <f>IF(AND(E154="空",ISNUMBER(O154),ISNUMBER(S154)),ROUND(O154*(S154-R154)/360*V154*U154,2),0)</f>
        <v>0</v>
      </c>
      <c r="AD154" s="43" t="str">
        <f>IF(N(U154)=0,"",SUMIFS('成交明细'!$L$5:$L$804,'成交明细'!$A$5:$A$804,A154)+AC154)</f>
        <v/>
      </c>
      <c r="AE154" s="44" t="str">
        <f>IF(Y154&lt;&gt;"已平仓","",(SUMIFS('成交明细'!$H$5:$H$804,'成交明细'!$A$5:$A$804,A154,'成交明细'!$D$5:$D$804,"卖")-SUMIFS('成交明细'!$H$5:$H$804,'成交明细'!$A$5:$A$804,A154,'成交明细'!$D$5:$D$804,"买"))*1-AD154)</f>
        <v/>
      </c>
      <c r="AF154" s="45" t="str">
        <f>IF(AND(Y154="已平仓",ISNUMBER(L154)),(SUMIFS('成交明细'!$H$5:$H$804,'成交明细'!$A$5:$A$804,A154,'成交明细'!$D$5:$D$804,"卖")-SUMIFS('成交明细'!$H$5:$H$804,'成交明细'!$A$5:$A$804,A154,'成交明细'!$D$5:$D$804,"买"))*1/L154,"")</f>
        <v/>
      </c>
      <c r="AG154" s="45" t="str">
        <f>IF(AND(Y154="已平仓",ISNUMBER(L154)),AE154/L154,"")</f>
        <v/>
      </c>
      <c r="AH154" s="46" t="str">
        <f>IF(AND(ISNUMBER(V154),ISNUMBER(F154)),IF(E154="空",F154-V154,V154-F154),"")</f>
        <v/>
      </c>
      <c r="AI154" s="46" t="str">
        <f>IF(OR(NOT(ISNUMBER(AE154)),NOT(ISNUMBER(X154))),"",IF(AE154&lt;0,IF(E154="空",X154-G154,G154-X154),IF(NOT(ISNUMBER(H154)),"",IF(E154="空",X154-H154,H154-X154))))</f>
        <v/>
      </c>
      <c r="AJ154" s="32" t="n"/>
      <c r="AK154" s="32" t="n"/>
      <c r="AL154" s="31" t="n"/>
      <c r="AM154" s="45" t="str">
        <f>IF(A154="","",SUM(AG$5:AG154))</f>
        <v/>
      </c>
      <c r="AN154" s="37" t="str">
        <f>IF(A154="","",MAX(0,MAX(AM$5:AM154))-AM154)</f>
        <v/>
      </c>
    </row>
    <row r="155">
      <c r="A155" s="29" t="n"/>
      <c r="B155" s="30" t="n"/>
      <c r="C155" s="31" t="n"/>
      <c r="D155" s="32" t="n"/>
      <c r="E155" s="32" t="n"/>
      <c r="F155" s="33" t="n"/>
      <c r="G155" s="33" t="n"/>
      <c r="H155" s="33" t="n"/>
      <c r="I155" s="34" t="str">
        <f>IF(AND(ISNUMBER(F155),ISNUMBER(G155),ISNUMBER(H155)),IF(OR(AND(E155="多",F155&gt;G155),AND(E155="空",F155&lt;G155)),ABS(H155-F155)/ABS(F155-G155),"止损方向不对"),"")</f>
        <v/>
      </c>
      <c r="J155" s="35" t="str">
        <f>IF(AND(ISNUMBER(F155),ISNUMBER(G155)),IF(F155=G155,"",IF(INT(ROUND('参数'!$C$7/(ABS(F155-G155)*1+2*'参数'!$C$11+N('参数'!$C$14)*F155+N('参数'!$C$15))/1,6))*1&gt;0,INT(ROUND('参数'!$C$7/(ABS(F155-G155)*1+2*'参数'!$C$11+N('参数'!$C$14)*F155+N('参数'!$C$15))/1,6))*1,"预算不足，这笔不做")),"")</f>
        <v/>
      </c>
      <c r="K155" s="36" t="n"/>
      <c r="L155" s="20" t="str">
        <f>IF(AND(ISNUMBER(F155),ISNUMBER(G155),ISNUMBER(K155)),IF(AND(F155&lt;&gt;G155,K155&gt;0),ABS(F155-G155)*K155*1,""),"")</f>
        <v/>
      </c>
      <c r="M155" s="30" t="n"/>
      <c r="N155" s="37" t="str">
        <f>IF(AND(ISNUMBER(L155),ISNUMBER(M155)),IF(E155="空",(G155*(1+'参数'!$C$17)-F155),(F155-G155*(1-'参数'!$C$17)))*K155/L155,"")</f>
        <v/>
      </c>
      <c r="O155" s="38" t="n"/>
      <c r="P155" s="31" t="n"/>
      <c r="Q155" s="32" t="n"/>
      <c r="R155" s="39" t="str">
        <f>IF(N(U155)&gt;0,SUMPRODUCT(LARGE(('成交明细'!$A$5:$A$804=A155)*('成交明细'!$D$5:$D$804=IF(E155="空","卖","买"))*'成交明细'!$B$5:$B$804,COUNTIFS('成交明细'!$A$5:$A$804,A155,'成交明细'!$D$5:$D$804,IF(E155="空","卖","买")))),"")</f>
        <v/>
      </c>
      <c r="S155" s="39" t="str">
        <f>IF(AND(N(U155)&gt;0,N(W155)&gt;=N(U155)),SUMPRODUCT(MAX(('成交明细'!$A$5:$A$804=A155)*('成交明细'!$D$5:$D$804=IF(E155="空","买","卖"))*'成交明细'!$B$5:$B$804)),"")</f>
        <v/>
      </c>
      <c r="T155" s="32" t="n"/>
      <c r="U155" s="35" t="str">
        <f>IF(A155="","",SUMIFS('成交明细'!$F$5:$F$804,'成交明细'!$A$5:$A$804,A155,'成交明细'!$D$5:$D$804,IF(E155="空","卖","买")))</f>
        <v/>
      </c>
      <c r="V155" s="40" t="str">
        <f>IF(N(U155)&gt;0,SUMIFS('成交明细'!$H$5:$H$804,'成交明细'!$A$5:$A$804,A155,'成交明细'!$D$5:$D$804,IF(E155="空","卖","买"))/U155,"")</f>
        <v/>
      </c>
      <c r="W155" s="35" t="str">
        <f>IF(A155="","",SUMIFS('成交明细'!$F$5:$F$804,'成交明细'!$A$5:$A$804,A155,'成交明细'!$D$5:$D$804,IF(E155="空","买","卖")))</f>
        <v/>
      </c>
      <c r="X155" s="40" t="str">
        <f>IF(N(W155)&gt;0,SUMIFS('成交明细'!$H$5:$H$804,'成交明细'!$A$5:$A$804,A155,'成交明细'!$D$5:$D$804,IF(E155="空","买","卖"))/W155,"")</f>
        <v/>
      </c>
      <c r="Y155" s="41" t="str">
        <f>IF(A155="","",IF(Q155&lt;&gt;"已执行",IF(Q155="","未填执行情况",Q155),IF(N(U155)=0,"待录成交",IF(N(W155)&gt;N(U155),"平仓多于开仓",IF(N(W155)&lt;N(U155),"持仓中","已平仓")))))</f>
        <v/>
      </c>
      <c r="Z155" s="41" t="str">
        <f>IF(AND(ISNUMBER(R155),ISNUMBER(S155)),IF(R155=S155,"日内",""),"")</f>
        <v/>
      </c>
      <c r="AA155" s="42" t="str">
        <f>IF(Z155&lt;&gt;"日内","",COUNTIFS($Z$5:$Z$304,"日内",$S$5:$S$304,"&gt;"&amp;WORKDAY(S155,-5),$S$5:$S$304,"&lt;="&amp;S155))</f>
        <v/>
      </c>
      <c r="AB155" s="41" t="str">
        <f>IF(OR(NOT(ISNUMBER(M155)),NOT(ISNUMBER(R155))),"",IF(AND(M155&gt;=R155,OR(NOT(ISNUMBER(S155)),M155&lt;=S155)),"持仓跨财报",""))</f>
        <v/>
      </c>
      <c r="AC155" s="20">
        <f>IF(AND(E155="空",ISNUMBER(O155),ISNUMBER(S155)),ROUND(O155*(S155-R155)/360*V155*U155,2),0)</f>
        <v>0</v>
      </c>
      <c r="AD155" s="43" t="str">
        <f>IF(N(U155)=0,"",SUMIFS('成交明细'!$L$5:$L$804,'成交明细'!$A$5:$A$804,A155)+AC155)</f>
        <v/>
      </c>
      <c r="AE155" s="44" t="str">
        <f>IF(Y155&lt;&gt;"已平仓","",(SUMIFS('成交明细'!$H$5:$H$804,'成交明细'!$A$5:$A$804,A155,'成交明细'!$D$5:$D$804,"卖")-SUMIFS('成交明细'!$H$5:$H$804,'成交明细'!$A$5:$A$804,A155,'成交明细'!$D$5:$D$804,"买"))*1-AD155)</f>
        <v/>
      </c>
      <c r="AF155" s="45" t="str">
        <f>IF(AND(Y155="已平仓",ISNUMBER(L155)),(SUMIFS('成交明细'!$H$5:$H$804,'成交明细'!$A$5:$A$804,A155,'成交明细'!$D$5:$D$804,"卖")-SUMIFS('成交明细'!$H$5:$H$804,'成交明细'!$A$5:$A$804,A155,'成交明细'!$D$5:$D$804,"买"))*1/L155,"")</f>
        <v/>
      </c>
      <c r="AG155" s="45" t="str">
        <f>IF(AND(Y155="已平仓",ISNUMBER(L155)),AE155/L155,"")</f>
        <v/>
      </c>
      <c r="AH155" s="46" t="str">
        <f>IF(AND(ISNUMBER(V155),ISNUMBER(F155)),IF(E155="空",F155-V155,V155-F155),"")</f>
        <v/>
      </c>
      <c r="AI155" s="46" t="str">
        <f>IF(OR(NOT(ISNUMBER(AE155)),NOT(ISNUMBER(X155))),"",IF(AE155&lt;0,IF(E155="空",X155-G155,G155-X155),IF(NOT(ISNUMBER(H155)),"",IF(E155="空",X155-H155,H155-X155))))</f>
        <v/>
      </c>
      <c r="AJ155" s="32" t="n"/>
      <c r="AK155" s="32" t="n"/>
      <c r="AL155" s="31" t="n"/>
      <c r="AM155" s="45" t="str">
        <f>IF(A155="","",SUM(AG$5:AG155))</f>
        <v/>
      </c>
      <c r="AN155" s="37" t="str">
        <f>IF(A155="","",MAX(0,MAX(AM$5:AM155))-AM155)</f>
        <v/>
      </c>
    </row>
    <row r="156">
      <c r="A156" s="29" t="n"/>
      <c r="B156" s="30" t="n"/>
      <c r="C156" s="31" t="n"/>
      <c r="D156" s="32" t="n"/>
      <c r="E156" s="32" t="n"/>
      <c r="F156" s="33" t="n"/>
      <c r="G156" s="33" t="n"/>
      <c r="H156" s="33" t="n"/>
      <c r="I156" s="34" t="str">
        <f>IF(AND(ISNUMBER(F156),ISNUMBER(G156),ISNUMBER(H156)),IF(OR(AND(E156="多",F156&gt;G156),AND(E156="空",F156&lt;G156)),ABS(H156-F156)/ABS(F156-G156),"止损方向不对"),"")</f>
        <v/>
      </c>
      <c r="J156" s="35" t="str">
        <f>IF(AND(ISNUMBER(F156),ISNUMBER(G156)),IF(F156=G156,"",IF(INT(ROUND('参数'!$C$7/(ABS(F156-G156)*1+2*'参数'!$C$11+N('参数'!$C$14)*F156+N('参数'!$C$15))/1,6))*1&gt;0,INT(ROUND('参数'!$C$7/(ABS(F156-G156)*1+2*'参数'!$C$11+N('参数'!$C$14)*F156+N('参数'!$C$15))/1,6))*1,"预算不足，这笔不做")),"")</f>
        <v/>
      </c>
      <c r="K156" s="36" t="n"/>
      <c r="L156" s="20" t="str">
        <f>IF(AND(ISNUMBER(F156),ISNUMBER(G156),ISNUMBER(K156)),IF(AND(F156&lt;&gt;G156,K156&gt;0),ABS(F156-G156)*K156*1,""),"")</f>
        <v/>
      </c>
      <c r="M156" s="30" t="n"/>
      <c r="N156" s="37" t="str">
        <f>IF(AND(ISNUMBER(L156),ISNUMBER(M156)),IF(E156="空",(G156*(1+'参数'!$C$17)-F156),(F156-G156*(1-'参数'!$C$17)))*K156/L156,"")</f>
        <v/>
      </c>
      <c r="O156" s="38" t="n"/>
      <c r="P156" s="31" t="n"/>
      <c r="Q156" s="32" t="n"/>
      <c r="R156" s="39" t="str">
        <f>IF(N(U156)&gt;0,SUMPRODUCT(LARGE(('成交明细'!$A$5:$A$804=A156)*('成交明细'!$D$5:$D$804=IF(E156="空","卖","买"))*'成交明细'!$B$5:$B$804,COUNTIFS('成交明细'!$A$5:$A$804,A156,'成交明细'!$D$5:$D$804,IF(E156="空","卖","买")))),"")</f>
        <v/>
      </c>
      <c r="S156" s="39" t="str">
        <f>IF(AND(N(U156)&gt;0,N(W156)&gt;=N(U156)),SUMPRODUCT(MAX(('成交明细'!$A$5:$A$804=A156)*('成交明细'!$D$5:$D$804=IF(E156="空","买","卖"))*'成交明细'!$B$5:$B$804)),"")</f>
        <v/>
      </c>
      <c r="T156" s="32" t="n"/>
      <c r="U156" s="35" t="str">
        <f>IF(A156="","",SUMIFS('成交明细'!$F$5:$F$804,'成交明细'!$A$5:$A$804,A156,'成交明细'!$D$5:$D$804,IF(E156="空","卖","买")))</f>
        <v/>
      </c>
      <c r="V156" s="40" t="str">
        <f>IF(N(U156)&gt;0,SUMIFS('成交明细'!$H$5:$H$804,'成交明细'!$A$5:$A$804,A156,'成交明细'!$D$5:$D$804,IF(E156="空","卖","买"))/U156,"")</f>
        <v/>
      </c>
      <c r="W156" s="35" t="str">
        <f>IF(A156="","",SUMIFS('成交明细'!$F$5:$F$804,'成交明细'!$A$5:$A$804,A156,'成交明细'!$D$5:$D$804,IF(E156="空","买","卖")))</f>
        <v/>
      </c>
      <c r="X156" s="40" t="str">
        <f>IF(N(W156)&gt;0,SUMIFS('成交明细'!$H$5:$H$804,'成交明细'!$A$5:$A$804,A156,'成交明细'!$D$5:$D$804,IF(E156="空","买","卖"))/W156,"")</f>
        <v/>
      </c>
      <c r="Y156" s="41" t="str">
        <f>IF(A156="","",IF(Q156&lt;&gt;"已执行",IF(Q156="","未填执行情况",Q156),IF(N(U156)=0,"待录成交",IF(N(W156)&gt;N(U156),"平仓多于开仓",IF(N(W156)&lt;N(U156),"持仓中","已平仓")))))</f>
        <v/>
      </c>
      <c r="Z156" s="41" t="str">
        <f>IF(AND(ISNUMBER(R156),ISNUMBER(S156)),IF(R156=S156,"日内",""),"")</f>
        <v/>
      </c>
      <c r="AA156" s="42" t="str">
        <f>IF(Z156&lt;&gt;"日内","",COUNTIFS($Z$5:$Z$304,"日内",$S$5:$S$304,"&gt;"&amp;WORKDAY(S156,-5),$S$5:$S$304,"&lt;="&amp;S156))</f>
        <v/>
      </c>
      <c r="AB156" s="41" t="str">
        <f>IF(OR(NOT(ISNUMBER(M156)),NOT(ISNUMBER(R156))),"",IF(AND(M156&gt;=R156,OR(NOT(ISNUMBER(S156)),M156&lt;=S156)),"持仓跨财报",""))</f>
        <v/>
      </c>
      <c r="AC156" s="20">
        <f>IF(AND(E156="空",ISNUMBER(O156),ISNUMBER(S156)),ROUND(O156*(S156-R156)/360*V156*U156,2),0)</f>
        <v>0</v>
      </c>
      <c r="AD156" s="43" t="str">
        <f>IF(N(U156)=0,"",SUMIFS('成交明细'!$L$5:$L$804,'成交明细'!$A$5:$A$804,A156)+AC156)</f>
        <v/>
      </c>
      <c r="AE156" s="44" t="str">
        <f>IF(Y156&lt;&gt;"已平仓","",(SUMIFS('成交明细'!$H$5:$H$804,'成交明细'!$A$5:$A$804,A156,'成交明细'!$D$5:$D$804,"卖")-SUMIFS('成交明细'!$H$5:$H$804,'成交明细'!$A$5:$A$804,A156,'成交明细'!$D$5:$D$804,"买"))*1-AD156)</f>
        <v/>
      </c>
      <c r="AF156" s="45" t="str">
        <f>IF(AND(Y156="已平仓",ISNUMBER(L156)),(SUMIFS('成交明细'!$H$5:$H$804,'成交明细'!$A$5:$A$804,A156,'成交明细'!$D$5:$D$804,"卖")-SUMIFS('成交明细'!$H$5:$H$804,'成交明细'!$A$5:$A$804,A156,'成交明细'!$D$5:$D$804,"买"))*1/L156,"")</f>
        <v/>
      </c>
      <c r="AG156" s="45" t="str">
        <f>IF(AND(Y156="已平仓",ISNUMBER(L156)),AE156/L156,"")</f>
        <v/>
      </c>
      <c r="AH156" s="46" t="str">
        <f>IF(AND(ISNUMBER(V156),ISNUMBER(F156)),IF(E156="空",F156-V156,V156-F156),"")</f>
        <v/>
      </c>
      <c r="AI156" s="46" t="str">
        <f>IF(OR(NOT(ISNUMBER(AE156)),NOT(ISNUMBER(X156))),"",IF(AE156&lt;0,IF(E156="空",X156-G156,G156-X156),IF(NOT(ISNUMBER(H156)),"",IF(E156="空",X156-H156,H156-X156))))</f>
        <v/>
      </c>
      <c r="AJ156" s="32" t="n"/>
      <c r="AK156" s="32" t="n"/>
      <c r="AL156" s="31" t="n"/>
      <c r="AM156" s="45" t="str">
        <f>IF(A156="","",SUM(AG$5:AG156))</f>
        <v/>
      </c>
      <c r="AN156" s="37" t="str">
        <f>IF(A156="","",MAX(0,MAX(AM$5:AM156))-AM156)</f>
        <v/>
      </c>
    </row>
    <row r="157">
      <c r="A157" s="29" t="n"/>
      <c r="B157" s="30" t="n"/>
      <c r="C157" s="31" t="n"/>
      <c r="D157" s="32" t="n"/>
      <c r="E157" s="32" t="n"/>
      <c r="F157" s="33" t="n"/>
      <c r="G157" s="33" t="n"/>
      <c r="H157" s="33" t="n"/>
      <c r="I157" s="34" t="str">
        <f>IF(AND(ISNUMBER(F157),ISNUMBER(G157),ISNUMBER(H157)),IF(OR(AND(E157="多",F157&gt;G157),AND(E157="空",F157&lt;G157)),ABS(H157-F157)/ABS(F157-G157),"止损方向不对"),"")</f>
        <v/>
      </c>
      <c r="J157" s="35" t="str">
        <f>IF(AND(ISNUMBER(F157),ISNUMBER(G157)),IF(F157=G157,"",IF(INT(ROUND('参数'!$C$7/(ABS(F157-G157)*1+2*'参数'!$C$11+N('参数'!$C$14)*F157+N('参数'!$C$15))/1,6))*1&gt;0,INT(ROUND('参数'!$C$7/(ABS(F157-G157)*1+2*'参数'!$C$11+N('参数'!$C$14)*F157+N('参数'!$C$15))/1,6))*1,"预算不足，这笔不做")),"")</f>
        <v/>
      </c>
      <c r="K157" s="36" t="n"/>
      <c r="L157" s="20" t="str">
        <f>IF(AND(ISNUMBER(F157),ISNUMBER(G157),ISNUMBER(K157)),IF(AND(F157&lt;&gt;G157,K157&gt;0),ABS(F157-G157)*K157*1,""),"")</f>
        <v/>
      </c>
      <c r="M157" s="30" t="n"/>
      <c r="N157" s="37" t="str">
        <f>IF(AND(ISNUMBER(L157),ISNUMBER(M157)),IF(E157="空",(G157*(1+'参数'!$C$17)-F157),(F157-G157*(1-'参数'!$C$17)))*K157/L157,"")</f>
        <v/>
      </c>
      <c r="O157" s="38" t="n"/>
      <c r="P157" s="31" t="n"/>
      <c r="Q157" s="32" t="n"/>
      <c r="R157" s="39" t="str">
        <f>IF(N(U157)&gt;0,SUMPRODUCT(LARGE(('成交明细'!$A$5:$A$804=A157)*('成交明细'!$D$5:$D$804=IF(E157="空","卖","买"))*'成交明细'!$B$5:$B$804,COUNTIFS('成交明细'!$A$5:$A$804,A157,'成交明细'!$D$5:$D$804,IF(E157="空","卖","买")))),"")</f>
        <v/>
      </c>
      <c r="S157" s="39" t="str">
        <f>IF(AND(N(U157)&gt;0,N(W157)&gt;=N(U157)),SUMPRODUCT(MAX(('成交明细'!$A$5:$A$804=A157)*('成交明细'!$D$5:$D$804=IF(E157="空","买","卖"))*'成交明细'!$B$5:$B$804)),"")</f>
        <v/>
      </c>
      <c r="T157" s="32" t="n"/>
      <c r="U157" s="35" t="str">
        <f>IF(A157="","",SUMIFS('成交明细'!$F$5:$F$804,'成交明细'!$A$5:$A$804,A157,'成交明细'!$D$5:$D$804,IF(E157="空","卖","买")))</f>
        <v/>
      </c>
      <c r="V157" s="40" t="str">
        <f>IF(N(U157)&gt;0,SUMIFS('成交明细'!$H$5:$H$804,'成交明细'!$A$5:$A$804,A157,'成交明细'!$D$5:$D$804,IF(E157="空","卖","买"))/U157,"")</f>
        <v/>
      </c>
      <c r="W157" s="35" t="str">
        <f>IF(A157="","",SUMIFS('成交明细'!$F$5:$F$804,'成交明细'!$A$5:$A$804,A157,'成交明细'!$D$5:$D$804,IF(E157="空","买","卖")))</f>
        <v/>
      </c>
      <c r="X157" s="40" t="str">
        <f>IF(N(W157)&gt;0,SUMIFS('成交明细'!$H$5:$H$804,'成交明细'!$A$5:$A$804,A157,'成交明细'!$D$5:$D$804,IF(E157="空","买","卖"))/W157,"")</f>
        <v/>
      </c>
      <c r="Y157" s="41" t="str">
        <f>IF(A157="","",IF(Q157&lt;&gt;"已执行",IF(Q157="","未填执行情况",Q157),IF(N(U157)=0,"待录成交",IF(N(W157)&gt;N(U157),"平仓多于开仓",IF(N(W157)&lt;N(U157),"持仓中","已平仓")))))</f>
        <v/>
      </c>
      <c r="Z157" s="41" t="str">
        <f>IF(AND(ISNUMBER(R157),ISNUMBER(S157)),IF(R157=S157,"日内",""),"")</f>
        <v/>
      </c>
      <c r="AA157" s="42" t="str">
        <f>IF(Z157&lt;&gt;"日内","",COUNTIFS($Z$5:$Z$304,"日内",$S$5:$S$304,"&gt;"&amp;WORKDAY(S157,-5),$S$5:$S$304,"&lt;="&amp;S157))</f>
        <v/>
      </c>
      <c r="AB157" s="41" t="str">
        <f>IF(OR(NOT(ISNUMBER(M157)),NOT(ISNUMBER(R157))),"",IF(AND(M157&gt;=R157,OR(NOT(ISNUMBER(S157)),M157&lt;=S157)),"持仓跨财报",""))</f>
        <v/>
      </c>
      <c r="AC157" s="20">
        <f>IF(AND(E157="空",ISNUMBER(O157),ISNUMBER(S157)),ROUND(O157*(S157-R157)/360*V157*U157,2),0)</f>
        <v>0</v>
      </c>
      <c r="AD157" s="43" t="str">
        <f>IF(N(U157)=0,"",SUMIFS('成交明细'!$L$5:$L$804,'成交明细'!$A$5:$A$804,A157)+AC157)</f>
        <v/>
      </c>
      <c r="AE157" s="44" t="str">
        <f>IF(Y157&lt;&gt;"已平仓","",(SUMIFS('成交明细'!$H$5:$H$804,'成交明细'!$A$5:$A$804,A157,'成交明细'!$D$5:$D$804,"卖")-SUMIFS('成交明细'!$H$5:$H$804,'成交明细'!$A$5:$A$804,A157,'成交明细'!$D$5:$D$804,"买"))*1-AD157)</f>
        <v/>
      </c>
      <c r="AF157" s="45" t="str">
        <f>IF(AND(Y157="已平仓",ISNUMBER(L157)),(SUMIFS('成交明细'!$H$5:$H$804,'成交明细'!$A$5:$A$804,A157,'成交明细'!$D$5:$D$804,"卖")-SUMIFS('成交明细'!$H$5:$H$804,'成交明细'!$A$5:$A$804,A157,'成交明细'!$D$5:$D$804,"买"))*1/L157,"")</f>
        <v/>
      </c>
      <c r="AG157" s="45" t="str">
        <f>IF(AND(Y157="已平仓",ISNUMBER(L157)),AE157/L157,"")</f>
        <v/>
      </c>
      <c r="AH157" s="46" t="str">
        <f>IF(AND(ISNUMBER(V157),ISNUMBER(F157)),IF(E157="空",F157-V157,V157-F157),"")</f>
        <v/>
      </c>
      <c r="AI157" s="46" t="str">
        <f>IF(OR(NOT(ISNUMBER(AE157)),NOT(ISNUMBER(X157))),"",IF(AE157&lt;0,IF(E157="空",X157-G157,G157-X157),IF(NOT(ISNUMBER(H157)),"",IF(E157="空",X157-H157,H157-X157))))</f>
        <v/>
      </c>
      <c r="AJ157" s="32" t="n"/>
      <c r="AK157" s="32" t="n"/>
      <c r="AL157" s="31" t="n"/>
      <c r="AM157" s="45" t="str">
        <f>IF(A157="","",SUM(AG$5:AG157))</f>
        <v/>
      </c>
      <c r="AN157" s="37" t="str">
        <f>IF(A157="","",MAX(0,MAX(AM$5:AM157))-AM157)</f>
        <v/>
      </c>
    </row>
    <row r="158">
      <c r="A158" s="29" t="n"/>
      <c r="B158" s="30" t="n"/>
      <c r="C158" s="31" t="n"/>
      <c r="D158" s="32" t="n"/>
      <c r="E158" s="32" t="n"/>
      <c r="F158" s="33" t="n"/>
      <c r="G158" s="33" t="n"/>
      <c r="H158" s="33" t="n"/>
      <c r="I158" s="34" t="str">
        <f>IF(AND(ISNUMBER(F158),ISNUMBER(G158),ISNUMBER(H158)),IF(OR(AND(E158="多",F158&gt;G158),AND(E158="空",F158&lt;G158)),ABS(H158-F158)/ABS(F158-G158),"止损方向不对"),"")</f>
        <v/>
      </c>
      <c r="J158" s="35" t="str">
        <f>IF(AND(ISNUMBER(F158),ISNUMBER(G158)),IF(F158=G158,"",IF(INT(ROUND('参数'!$C$7/(ABS(F158-G158)*1+2*'参数'!$C$11+N('参数'!$C$14)*F158+N('参数'!$C$15))/1,6))*1&gt;0,INT(ROUND('参数'!$C$7/(ABS(F158-G158)*1+2*'参数'!$C$11+N('参数'!$C$14)*F158+N('参数'!$C$15))/1,6))*1,"预算不足，这笔不做")),"")</f>
        <v/>
      </c>
      <c r="K158" s="36" t="n"/>
      <c r="L158" s="20" t="str">
        <f>IF(AND(ISNUMBER(F158),ISNUMBER(G158),ISNUMBER(K158)),IF(AND(F158&lt;&gt;G158,K158&gt;0),ABS(F158-G158)*K158*1,""),"")</f>
        <v/>
      </c>
      <c r="M158" s="30" t="n"/>
      <c r="N158" s="37" t="str">
        <f>IF(AND(ISNUMBER(L158),ISNUMBER(M158)),IF(E158="空",(G158*(1+'参数'!$C$17)-F158),(F158-G158*(1-'参数'!$C$17)))*K158/L158,"")</f>
        <v/>
      </c>
      <c r="O158" s="38" t="n"/>
      <c r="P158" s="31" t="n"/>
      <c r="Q158" s="32" t="n"/>
      <c r="R158" s="39" t="str">
        <f>IF(N(U158)&gt;0,SUMPRODUCT(LARGE(('成交明细'!$A$5:$A$804=A158)*('成交明细'!$D$5:$D$804=IF(E158="空","卖","买"))*'成交明细'!$B$5:$B$804,COUNTIFS('成交明细'!$A$5:$A$804,A158,'成交明细'!$D$5:$D$804,IF(E158="空","卖","买")))),"")</f>
        <v/>
      </c>
      <c r="S158" s="39" t="str">
        <f>IF(AND(N(U158)&gt;0,N(W158)&gt;=N(U158)),SUMPRODUCT(MAX(('成交明细'!$A$5:$A$804=A158)*('成交明细'!$D$5:$D$804=IF(E158="空","买","卖"))*'成交明细'!$B$5:$B$804)),"")</f>
        <v/>
      </c>
      <c r="T158" s="32" t="n"/>
      <c r="U158" s="35" t="str">
        <f>IF(A158="","",SUMIFS('成交明细'!$F$5:$F$804,'成交明细'!$A$5:$A$804,A158,'成交明细'!$D$5:$D$804,IF(E158="空","卖","买")))</f>
        <v/>
      </c>
      <c r="V158" s="40" t="str">
        <f>IF(N(U158)&gt;0,SUMIFS('成交明细'!$H$5:$H$804,'成交明细'!$A$5:$A$804,A158,'成交明细'!$D$5:$D$804,IF(E158="空","卖","买"))/U158,"")</f>
        <v/>
      </c>
      <c r="W158" s="35" t="str">
        <f>IF(A158="","",SUMIFS('成交明细'!$F$5:$F$804,'成交明细'!$A$5:$A$804,A158,'成交明细'!$D$5:$D$804,IF(E158="空","买","卖")))</f>
        <v/>
      </c>
      <c r="X158" s="40" t="str">
        <f>IF(N(W158)&gt;0,SUMIFS('成交明细'!$H$5:$H$804,'成交明细'!$A$5:$A$804,A158,'成交明细'!$D$5:$D$804,IF(E158="空","买","卖"))/W158,"")</f>
        <v/>
      </c>
      <c r="Y158" s="41" t="str">
        <f>IF(A158="","",IF(Q158&lt;&gt;"已执行",IF(Q158="","未填执行情况",Q158),IF(N(U158)=0,"待录成交",IF(N(W158)&gt;N(U158),"平仓多于开仓",IF(N(W158)&lt;N(U158),"持仓中","已平仓")))))</f>
        <v/>
      </c>
      <c r="Z158" s="41" t="str">
        <f>IF(AND(ISNUMBER(R158),ISNUMBER(S158)),IF(R158=S158,"日内",""),"")</f>
        <v/>
      </c>
      <c r="AA158" s="42" t="str">
        <f>IF(Z158&lt;&gt;"日内","",COUNTIFS($Z$5:$Z$304,"日内",$S$5:$S$304,"&gt;"&amp;WORKDAY(S158,-5),$S$5:$S$304,"&lt;="&amp;S158))</f>
        <v/>
      </c>
      <c r="AB158" s="41" t="str">
        <f>IF(OR(NOT(ISNUMBER(M158)),NOT(ISNUMBER(R158))),"",IF(AND(M158&gt;=R158,OR(NOT(ISNUMBER(S158)),M158&lt;=S158)),"持仓跨财报",""))</f>
        <v/>
      </c>
      <c r="AC158" s="20">
        <f>IF(AND(E158="空",ISNUMBER(O158),ISNUMBER(S158)),ROUND(O158*(S158-R158)/360*V158*U158,2),0)</f>
        <v>0</v>
      </c>
      <c r="AD158" s="43" t="str">
        <f>IF(N(U158)=0,"",SUMIFS('成交明细'!$L$5:$L$804,'成交明细'!$A$5:$A$804,A158)+AC158)</f>
        <v/>
      </c>
      <c r="AE158" s="44" t="str">
        <f>IF(Y158&lt;&gt;"已平仓","",(SUMIFS('成交明细'!$H$5:$H$804,'成交明细'!$A$5:$A$804,A158,'成交明细'!$D$5:$D$804,"卖")-SUMIFS('成交明细'!$H$5:$H$804,'成交明细'!$A$5:$A$804,A158,'成交明细'!$D$5:$D$804,"买"))*1-AD158)</f>
        <v/>
      </c>
      <c r="AF158" s="45" t="str">
        <f>IF(AND(Y158="已平仓",ISNUMBER(L158)),(SUMIFS('成交明细'!$H$5:$H$804,'成交明细'!$A$5:$A$804,A158,'成交明细'!$D$5:$D$804,"卖")-SUMIFS('成交明细'!$H$5:$H$804,'成交明细'!$A$5:$A$804,A158,'成交明细'!$D$5:$D$804,"买"))*1/L158,"")</f>
        <v/>
      </c>
      <c r="AG158" s="45" t="str">
        <f>IF(AND(Y158="已平仓",ISNUMBER(L158)),AE158/L158,"")</f>
        <v/>
      </c>
      <c r="AH158" s="46" t="str">
        <f>IF(AND(ISNUMBER(V158),ISNUMBER(F158)),IF(E158="空",F158-V158,V158-F158),"")</f>
        <v/>
      </c>
      <c r="AI158" s="46" t="str">
        <f>IF(OR(NOT(ISNUMBER(AE158)),NOT(ISNUMBER(X158))),"",IF(AE158&lt;0,IF(E158="空",X158-G158,G158-X158),IF(NOT(ISNUMBER(H158)),"",IF(E158="空",X158-H158,H158-X158))))</f>
        <v/>
      </c>
      <c r="AJ158" s="32" t="n"/>
      <c r="AK158" s="32" t="n"/>
      <c r="AL158" s="31" t="n"/>
      <c r="AM158" s="45" t="str">
        <f>IF(A158="","",SUM(AG$5:AG158))</f>
        <v/>
      </c>
      <c r="AN158" s="37" t="str">
        <f>IF(A158="","",MAX(0,MAX(AM$5:AM158))-AM158)</f>
        <v/>
      </c>
    </row>
    <row r="159">
      <c r="A159" s="29" t="n"/>
      <c r="B159" s="30" t="n"/>
      <c r="C159" s="31" t="n"/>
      <c r="D159" s="32" t="n"/>
      <c r="E159" s="32" t="n"/>
      <c r="F159" s="33" t="n"/>
      <c r="G159" s="33" t="n"/>
      <c r="H159" s="33" t="n"/>
      <c r="I159" s="34" t="str">
        <f>IF(AND(ISNUMBER(F159),ISNUMBER(G159),ISNUMBER(H159)),IF(OR(AND(E159="多",F159&gt;G159),AND(E159="空",F159&lt;G159)),ABS(H159-F159)/ABS(F159-G159),"止损方向不对"),"")</f>
        <v/>
      </c>
      <c r="J159" s="35" t="str">
        <f>IF(AND(ISNUMBER(F159),ISNUMBER(G159)),IF(F159=G159,"",IF(INT(ROUND('参数'!$C$7/(ABS(F159-G159)*1+2*'参数'!$C$11+N('参数'!$C$14)*F159+N('参数'!$C$15))/1,6))*1&gt;0,INT(ROUND('参数'!$C$7/(ABS(F159-G159)*1+2*'参数'!$C$11+N('参数'!$C$14)*F159+N('参数'!$C$15))/1,6))*1,"预算不足，这笔不做")),"")</f>
        <v/>
      </c>
      <c r="K159" s="36" t="n"/>
      <c r="L159" s="20" t="str">
        <f>IF(AND(ISNUMBER(F159),ISNUMBER(G159),ISNUMBER(K159)),IF(AND(F159&lt;&gt;G159,K159&gt;0),ABS(F159-G159)*K159*1,""),"")</f>
        <v/>
      </c>
      <c r="M159" s="30" t="n"/>
      <c r="N159" s="37" t="str">
        <f>IF(AND(ISNUMBER(L159),ISNUMBER(M159)),IF(E159="空",(G159*(1+'参数'!$C$17)-F159),(F159-G159*(1-'参数'!$C$17)))*K159/L159,"")</f>
        <v/>
      </c>
      <c r="O159" s="38" t="n"/>
      <c r="P159" s="31" t="n"/>
      <c r="Q159" s="32" t="n"/>
      <c r="R159" s="39" t="str">
        <f>IF(N(U159)&gt;0,SUMPRODUCT(LARGE(('成交明细'!$A$5:$A$804=A159)*('成交明细'!$D$5:$D$804=IF(E159="空","卖","买"))*'成交明细'!$B$5:$B$804,COUNTIFS('成交明细'!$A$5:$A$804,A159,'成交明细'!$D$5:$D$804,IF(E159="空","卖","买")))),"")</f>
        <v/>
      </c>
      <c r="S159" s="39" t="str">
        <f>IF(AND(N(U159)&gt;0,N(W159)&gt;=N(U159)),SUMPRODUCT(MAX(('成交明细'!$A$5:$A$804=A159)*('成交明细'!$D$5:$D$804=IF(E159="空","买","卖"))*'成交明细'!$B$5:$B$804)),"")</f>
        <v/>
      </c>
      <c r="T159" s="32" t="n"/>
      <c r="U159" s="35" t="str">
        <f>IF(A159="","",SUMIFS('成交明细'!$F$5:$F$804,'成交明细'!$A$5:$A$804,A159,'成交明细'!$D$5:$D$804,IF(E159="空","卖","买")))</f>
        <v/>
      </c>
      <c r="V159" s="40" t="str">
        <f>IF(N(U159)&gt;0,SUMIFS('成交明细'!$H$5:$H$804,'成交明细'!$A$5:$A$804,A159,'成交明细'!$D$5:$D$804,IF(E159="空","卖","买"))/U159,"")</f>
        <v/>
      </c>
      <c r="W159" s="35" t="str">
        <f>IF(A159="","",SUMIFS('成交明细'!$F$5:$F$804,'成交明细'!$A$5:$A$804,A159,'成交明细'!$D$5:$D$804,IF(E159="空","买","卖")))</f>
        <v/>
      </c>
      <c r="X159" s="40" t="str">
        <f>IF(N(W159)&gt;0,SUMIFS('成交明细'!$H$5:$H$804,'成交明细'!$A$5:$A$804,A159,'成交明细'!$D$5:$D$804,IF(E159="空","买","卖"))/W159,"")</f>
        <v/>
      </c>
      <c r="Y159" s="41" t="str">
        <f>IF(A159="","",IF(Q159&lt;&gt;"已执行",IF(Q159="","未填执行情况",Q159),IF(N(U159)=0,"待录成交",IF(N(W159)&gt;N(U159),"平仓多于开仓",IF(N(W159)&lt;N(U159),"持仓中","已平仓")))))</f>
        <v/>
      </c>
      <c r="Z159" s="41" t="str">
        <f>IF(AND(ISNUMBER(R159),ISNUMBER(S159)),IF(R159=S159,"日内",""),"")</f>
        <v/>
      </c>
      <c r="AA159" s="42" t="str">
        <f>IF(Z159&lt;&gt;"日内","",COUNTIFS($Z$5:$Z$304,"日内",$S$5:$S$304,"&gt;"&amp;WORKDAY(S159,-5),$S$5:$S$304,"&lt;="&amp;S159))</f>
        <v/>
      </c>
      <c r="AB159" s="41" t="str">
        <f>IF(OR(NOT(ISNUMBER(M159)),NOT(ISNUMBER(R159))),"",IF(AND(M159&gt;=R159,OR(NOT(ISNUMBER(S159)),M159&lt;=S159)),"持仓跨财报",""))</f>
        <v/>
      </c>
      <c r="AC159" s="20">
        <f>IF(AND(E159="空",ISNUMBER(O159),ISNUMBER(S159)),ROUND(O159*(S159-R159)/360*V159*U159,2),0)</f>
        <v>0</v>
      </c>
      <c r="AD159" s="43" t="str">
        <f>IF(N(U159)=0,"",SUMIFS('成交明细'!$L$5:$L$804,'成交明细'!$A$5:$A$804,A159)+AC159)</f>
        <v/>
      </c>
      <c r="AE159" s="44" t="str">
        <f>IF(Y159&lt;&gt;"已平仓","",(SUMIFS('成交明细'!$H$5:$H$804,'成交明细'!$A$5:$A$804,A159,'成交明细'!$D$5:$D$804,"卖")-SUMIFS('成交明细'!$H$5:$H$804,'成交明细'!$A$5:$A$804,A159,'成交明细'!$D$5:$D$804,"买"))*1-AD159)</f>
        <v/>
      </c>
      <c r="AF159" s="45" t="str">
        <f>IF(AND(Y159="已平仓",ISNUMBER(L159)),(SUMIFS('成交明细'!$H$5:$H$804,'成交明细'!$A$5:$A$804,A159,'成交明细'!$D$5:$D$804,"卖")-SUMIFS('成交明细'!$H$5:$H$804,'成交明细'!$A$5:$A$804,A159,'成交明细'!$D$5:$D$804,"买"))*1/L159,"")</f>
        <v/>
      </c>
      <c r="AG159" s="45" t="str">
        <f>IF(AND(Y159="已平仓",ISNUMBER(L159)),AE159/L159,"")</f>
        <v/>
      </c>
      <c r="AH159" s="46" t="str">
        <f>IF(AND(ISNUMBER(V159),ISNUMBER(F159)),IF(E159="空",F159-V159,V159-F159),"")</f>
        <v/>
      </c>
      <c r="AI159" s="46" t="str">
        <f>IF(OR(NOT(ISNUMBER(AE159)),NOT(ISNUMBER(X159))),"",IF(AE159&lt;0,IF(E159="空",X159-G159,G159-X159),IF(NOT(ISNUMBER(H159)),"",IF(E159="空",X159-H159,H159-X159))))</f>
        <v/>
      </c>
      <c r="AJ159" s="32" t="n"/>
      <c r="AK159" s="32" t="n"/>
      <c r="AL159" s="31" t="n"/>
      <c r="AM159" s="45" t="str">
        <f>IF(A159="","",SUM(AG$5:AG159))</f>
        <v/>
      </c>
      <c r="AN159" s="37" t="str">
        <f>IF(A159="","",MAX(0,MAX(AM$5:AM159))-AM159)</f>
        <v/>
      </c>
    </row>
    <row r="160">
      <c r="A160" s="29" t="n"/>
      <c r="B160" s="30" t="n"/>
      <c r="C160" s="31" t="n"/>
      <c r="D160" s="32" t="n"/>
      <c r="E160" s="32" t="n"/>
      <c r="F160" s="33" t="n"/>
      <c r="G160" s="33" t="n"/>
      <c r="H160" s="33" t="n"/>
      <c r="I160" s="34" t="str">
        <f>IF(AND(ISNUMBER(F160),ISNUMBER(G160),ISNUMBER(H160)),IF(OR(AND(E160="多",F160&gt;G160),AND(E160="空",F160&lt;G160)),ABS(H160-F160)/ABS(F160-G160),"止损方向不对"),"")</f>
        <v/>
      </c>
      <c r="J160" s="35" t="str">
        <f>IF(AND(ISNUMBER(F160),ISNUMBER(G160)),IF(F160=G160,"",IF(INT(ROUND('参数'!$C$7/(ABS(F160-G160)*1+2*'参数'!$C$11+N('参数'!$C$14)*F160+N('参数'!$C$15))/1,6))*1&gt;0,INT(ROUND('参数'!$C$7/(ABS(F160-G160)*1+2*'参数'!$C$11+N('参数'!$C$14)*F160+N('参数'!$C$15))/1,6))*1,"预算不足，这笔不做")),"")</f>
        <v/>
      </c>
      <c r="K160" s="36" t="n"/>
      <c r="L160" s="20" t="str">
        <f>IF(AND(ISNUMBER(F160),ISNUMBER(G160),ISNUMBER(K160)),IF(AND(F160&lt;&gt;G160,K160&gt;0),ABS(F160-G160)*K160*1,""),"")</f>
        <v/>
      </c>
      <c r="M160" s="30" t="n"/>
      <c r="N160" s="37" t="str">
        <f>IF(AND(ISNUMBER(L160),ISNUMBER(M160)),IF(E160="空",(G160*(1+'参数'!$C$17)-F160),(F160-G160*(1-'参数'!$C$17)))*K160/L160,"")</f>
        <v/>
      </c>
      <c r="O160" s="38" t="n"/>
      <c r="P160" s="31" t="n"/>
      <c r="Q160" s="32" t="n"/>
      <c r="R160" s="39" t="str">
        <f>IF(N(U160)&gt;0,SUMPRODUCT(LARGE(('成交明细'!$A$5:$A$804=A160)*('成交明细'!$D$5:$D$804=IF(E160="空","卖","买"))*'成交明细'!$B$5:$B$804,COUNTIFS('成交明细'!$A$5:$A$804,A160,'成交明细'!$D$5:$D$804,IF(E160="空","卖","买")))),"")</f>
        <v/>
      </c>
      <c r="S160" s="39" t="str">
        <f>IF(AND(N(U160)&gt;0,N(W160)&gt;=N(U160)),SUMPRODUCT(MAX(('成交明细'!$A$5:$A$804=A160)*('成交明细'!$D$5:$D$804=IF(E160="空","买","卖"))*'成交明细'!$B$5:$B$804)),"")</f>
        <v/>
      </c>
      <c r="T160" s="32" t="n"/>
      <c r="U160" s="35" t="str">
        <f>IF(A160="","",SUMIFS('成交明细'!$F$5:$F$804,'成交明细'!$A$5:$A$804,A160,'成交明细'!$D$5:$D$804,IF(E160="空","卖","买")))</f>
        <v/>
      </c>
      <c r="V160" s="40" t="str">
        <f>IF(N(U160)&gt;0,SUMIFS('成交明细'!$H$5:$H$804,'成交明细'!$A$5:$A$804,A160,'成交明细'!$D$5:$D$804,IF(E160="空","卖","买"))/U160,"")</f>
        <v/>
      </c>
      <c r="W160" s="35" t="str">
        <f>IF(A160="","",SUMIFS('成交明细'!$F$5:$F$804,'成交明细'!$A$5:$A$804,A160,'成交明细'!$D$5:$D$804,IF(E160="空","买","卖")))</f>
        <v/>
      </c>
      <c r="X160" s="40" t="str">
        <f>IF(N(W160)&gt;0,SUMIFS('成交明细'!$H$5:$H$804,'成交明细'!$A$5:$A$804,A160,'成交明细'!$D$5:$D$804,IF(E160="空","买","卖"))/W160,"")</f>
        <v/>
      </c>
      <c r="Y160" s="41" t="str">
        <f>IF(A160="","",IF(Q160&lt;&gt;"已执行",IF(Q160="","未填执行情况",Q160),IF(N(U160)=0,"待录成交",IF(N(W160)&gt;N(U160),"平仓多于开仓",IF(N(W160)&lt;N(U160),"持仓中","已平仓")))))</f>
        <v/>
      </c>
      <c r="Z160" s="41" t="str">
        <f>IF(AND(ISNUMBER(R160),ISNUMBER(S160)),IF(R160=S160,"日内",""),"")</f>
        <v/>
      </c>
      <c r="AA160" s="42" t="str">
        <f>IF(Z160&lt;&gt;"日内","",COUNTIFS($Z$5:$Z$304,"日内",$S$5:$S$304,"&gt;"&amp;WORKDAY(S160,-5),$S$5:$S$304,"&lt;="&amp;S160))</f>
        <v/>
      </c>
      <c r="AB160" s="41" t="str">
        <f>IF(OR(NOT(ISNUMBER(M160)),NOT(ISNUMBER(R160))),"",IF(AND(M160&gt;=R160,OR(NOT(ISNUMBER(S160)),M160&lt;=S160)),"持仓跨财报",""))</f>
        <v/>
      </c>
      <c r="AC160" s="20">
        <f>IF(AND(E160="空",ISNUMBER(O160),ISNUMBER(S160)),ROUND(O160*(S160-R160)/360*V160*U160,2),0)</f>
        <v>0</v>
      </c>
      <c r="AD160" s="43" t="str">
        <f>IF(N(U160)=0,"",SUMIFS('成交明细'!$L$5:$L$804,'成交明细'!$A$5:$A$804,A160)+AC160)</f>
        <v/>
      </c>
      <c r="AE160" s="44" t="str">
        <f>IF(Y160&lt;&gt;"已平仓","",(SUMIFS('成交明细'!$H$5:$H$804,'成交明细'!$A$5:$A$804,A160,'成交明细'!$D$5:$D$804,"卖")-SUMIFS('成交明细'!$H$5:$H$804,'成交明细'!$A$5:$A$804,A160,'成交明细'!$D$5:$D$804,"买"))*1-AD160)</f>
        <v/>
      </c>
      <c r="AF160" s="45" t="str">
        <f>IF(AND(Y160="已平仓",ISNUMBER(L160)),(SUMIFS('成交明细'!$H$5:$H$804,'成交明细'!$A$5:$A$804,A160,'成交明细'!$D$5:$D$804,"卖")-SUMIFS('成交明细'!$H$5:$H$804,'成交明细'!$A$5:$A$804,A160,'成交明细'!$D$5:$D$804,"买"))*1/L160,"")</f>
        <v/>
      </c>
      <c r="AG160" s="45" t="str">
        <f>IF(AND(Y160="已平仓",ISNUMBER(L160)),AE160/L160,"")</f>
        <v/>
      </c>
      <c r="AH160" s="46" t="str">
        <f>IF(AND(ISNUMBER(V160),ISNUMBER(F160)),IF(E160="空",F160-V160,V160-F160),"")</f>
        <v/>
      </c>
      <c r="AI160" s="46" t="str">
        <f>IF(OR(NOT(ISNUMBER(AE160)),NOT(ISNUMBER(X160))),"",IF(AE160&lt;0,IF(E160="空",X160-G160,G160-X160),IF(NOT(ISNUMBER(H160)),"",IF(E160="空",X160-H160,H160-X160))))</f>
        <v/>
      </c>
      <c r="AJ160" s="32" t="n"/>
      <c r="AK160" s="32" t="n"/>
      <c r="AL160" s="31" t="n"/>
      <c r="AM160" s="45" t="str">
        <f>IF(A160="","",SUM(AG$5:AG160))</f>
        <v/>
      </c>
      <c r="AN160" s="37" t="str">
        <f>IF(A160="","",MAX(0,MAX(AM$5:AM160))-AM160)</f>
        <v/>
      </c>
    </row>
    <row r="161">
      <c r="A161" s="29" t="n"/>
      <c r="B161" s="30" t="n"/>
      <c r="C161" s="31" t="n"/>
      <c r="D161" s="32" t="n"/>
      <c r="E161" s="32" t="n"/>
      <c r="F161" s="33" t="n"/>
      <c r="G161" s="33" t="n"/>
      <c r="H161" s="33" t="n"/>
      <c r="I161" s="34" t="str">
        <f>IF(AND(ISNUMBER(F161),ISNUMBER(G161),ISNUMBER(H161)),IF(OR(AND(E161="多",F161&gt;G161),AND(E161="空",F161&lt;G161)),ABS(H161-F161)/ABS(F161-G161),"止损方向不对"),"")</f>
        <v/>
      </c>
      <c r="J161" s="35" t="str">
        <f>IF(AND(ISNUMBER(F161),ISNUMBER(G161)),IF(F161=G161,"",IF(INT(ROUND('参数'!$C$7/(ABS(F161-G161)*1+2*'参数'!$C$11+N('参数'!$C$14)*F161+N('参数'!$C$15))/1,6))*1&gt;0,INT(ROUND('参数'!$C$7/(ABS(F161-G161)*1+2*'参数'!$C$11+N('参数'!$C$14)*F161+N('参数'!$C$15))/1,6))*1,"预算不足，这笔不做")),"")</f>
        <v/>
      </c>
      <c r="K161" s="36" t="n"/>
      <c r="L161" s="20" t="str">
        <f>IF(AND(ISNUMBER(F161),ISNUMBER(G161),ISNUMBER(K161)),IF(AND(F161&lt;&gt;G161,K161&gt;0),ABS(F161-G161)*K161*1,""),"")</f>
        <v/>
      </c>
      <c r="M161" s="30" t="n"/>
      <c r="N161" s="37" t="str">
        <f>IF(AND(ISNUMBER(L161),ISNUMBER(M161)),IF(E161="空",(G161*(1+'参数'!$C$17)-F161),(F161-G161*(1-'参数'!$C$17)))*K161/L161,"")</f>
        <v/>
      </c>
      <c r="O161" s="38" t="n"/>
      <c r="P161" s="31" t="n"/>
      <c r="Q161" s="32" t="n"/>
      <c r="R161" s="39" t="str">
        <f>IF(N(U161)&gt;0,SUMPRODUCT(LARGE(('成交明细'!$A$5:$A$804=A161)*('成交明细'!$D$5:$D$804=IF(E161="空","卖","买"))*'成交明细'!$B$5:$B$804,COUNTIFS('成交明细'!$A$5:$A$804,A161,'成交明细'!$D$5:$D$804,IF(E161="空","卖","买")))),"")</f>
        <v/>
      </c>
      <c r="S161" s="39" t="str">
        <f>IF(AND(N(U161)&gt;0,N(W161)&gt;=N(U161)),SUMPRODUCT(MAX(('成交明细'!$A$5:$A$804=A161)*('成交明细'!$D$5:$D$804=IF(E161="空","买","卖"))*'成交明细'!$B$5:$B$804)),"")</f>
        <v/>
      </c>
      <c r="T161" s="32" t="n"/>
      <c r="U161" s="35" t="str">
        <f>IF(A161="","",SUMIFS('成交明细'!$F$5:$F$804,'成交明细'!$A$5:$A$804,A161,'成交明细'!$D$5:$D$804,IF(E161="空","卖","买")))</f>
        <v/>
      </c>
      <c r="V161" s="40" t="str">
        <f>IF(N(U161)&gt;0,SUMIFS('成交明细'!$H$5:$H$804,'成交明细'!$A$5:$A$804,A161,'成交明细'!$D$5:$D$804,IF(E161="空","卖","买"))/U161,"")</f>
        <v/>
      </c>
      <c r="W161" s="35" t="str">
        <f>IF(A161="","",SUMIFS('成交明细'!$F$5:$F$804,'成交明细'!$A$5:$A$804,A161,'成交明细'!$D$5:$D$804,IF(E161="空","买","卖")))</f>
        <v/>
      </c>
      <c r="X161" s="40" t="str">
        <f>IF(N(W161)&gt;0,SUMIFS('成交明细'!$H$5:$H$804,'成交明细'!$A$5:$A$804,A161,'成交明细'!$D$5:$D$804,IF(E161="空","买","卖"))/W161,"")</f>
        <v/>
      </c>
      <c r="Y161" s="41" t="str">
        <f>IF(A161="","",IF(Q161&lt;&gt;"已执行",IF(Q161="","未填执行情况",Q161),IF(N(U161)=0,"待录成交",IF(N(W161)&gt;N(U161),"平仓多于开仓",IF(N(W161)&lt;N(U161),"持仓中","已平仓")))))</f>
        <v/>
      </c>
      <c r="Z161" s="41" t="str">
        <f>IF(AND(ISNUMBER(R161),ISNUMBER(S161)),IF(R161=S161,"日内",""),"")</f>
        <v/>
      </c>
      <c r="AA161" s="42" t="str">
        <f>IF(Z161&lt;&gt;"日内","",COUNTIFS($Z$5:$Z$304,"日内",$S$5:$S$304,"&gt;"&amp;WORKDAY(S161,-5),$S$5:$S$304,"&lt;="&amp;S161))</f>
        <v/>
      </c>
      <c r="AB161" s="41" t="str">
        <f>IF(OR(NOT(ISNUMBER(M161)),NOT(ISNUMBER(R161))),"",IF(AND(M161&gt;=R161,OR(NOT(ISNUMBER(S161)),M161&lt;=S161)),"持仓跨财报",""))</f>
        <v/>
      </c>
      <c r="AC161" s="20">
        <f>IF(AND(E161="空",ISNUMBER(O161),ISNUMBER(S161)),ROUND(O161*(S161-R161)/360*V161*U161,2),0)</f>
        <v>0</v>
      </c>
      <c r="AD161" s="43" t="str">
        <f>IF(N(U161)=0,"",SUMIFS('成交明细'!$L$5:$L$804,'成交明细'!$A$5:$A$804,A161)+AC161)</f>
        <v/>
      </c>
      <c r="AE161" s="44" t="str">
        <f>IF(Y161&lt;&gt;"已平仓","",(SUMIFS('成交明细'!$H$5:$H$804,'成交明细'!$A$5:$A$804,A161,'成交明细'!$D$5:$D$804,"卖")-SUMIFS('成交明细'!$H$5:$H$804,'成交明细'!$A$5:$A$804,A161,'成交明细'!$D$5:$D$804,"买"))*1-AD161)</f>
        <v/>
      </c>
      <c r="AF161" s="45" t="str">
        <f>IF(AND(Y161="已平仓",ISNUMBER(L161)),(SUMIFS('成交明细'!$H$5:$H$804,'成交明细'!$A$5:$A$804,A161,'成交明细'!$D$5:$D$804,"卖")-SUMIFS('成交明细'!$H$5:$H$804,'成交明细'!$A$5:$A$804,A161,'成交明细'!$D$5:$D$804,"买"))*1/L161,"")</f>
        <v/>
      </c>
      <c r="AG161" s="45" t="str">
        <f>IF(AND(Y161="已平仓",ISNUMBER(L161)),AE161/L161,"")</f>
        <v/>
      </c>
      <c r="AH161" s="46" t="str">
        <f>IF(AND(ISNUMBER(V161),ISNUMBER(F161)),IF(E161="空",F161-V161,V161-F161),"")</f>
        <v/>
      </c>
      <c r="AI161" s="46" t="str">
        <f>IF(OR(NOT(ISNUMBER(AE161)),NOT(ISNUMBER(X161))),"",IF(AE161&lt;0,IF(E161="空",X161-G161,G161-X161),IF(NOT(ISNUMBER(H161)),"",IF(E161="空",X161-H161,H161-X161))))</f>
        <v/>
      </c>
      <c r="AJ161" s="32" t="n"/>
      <c r="AK161" s="32" t="n"/>
      <c r="AL161" s="31" t="n"/>
      <c r="AM161" s="45" t="str">
        <f>IF(A161="","",SUM(AG$5:AG161))</f>
        <v/>
      </c>
      <c r="AN161" s="37" t="str">
        <f>IF(A161="","",MAX(0,MAX(AM$5:AM161))-AM161)</f>
        <v/>
      </c>
    </row>
    <row r="162">
      <c r="A162" s="29" t="n"/>
      <c r="B162" s="30" t="n"/>
      <c r="C162" s="31" t="n"/>
      <c r="D162" s="32" t="n"/>
      <c r="E162" s="32" t="n"/>
      <c r="F162" s="33" t="n"/>
      <c r="G162" s="33" t="n"/>
      <c r="H162" s="33" t="n"/>
      <c r="I162" s="34" t="str">
        <f>IF(AND(ISNUMBER(F162),ISNUMBER(G162),ISNUMBER(H162)),IF(OR(AND(E162="多",F162&gt;G162),AND(E162="空",F162&lt;G162)),ABS(H162-F162)/ABS(F162-G162),"止损方向不对"),"")</f>
        <v/>
      </c>
      <c r="J162" s="35" t="str">
        <f>IF(AND(ISNUMBER(F162),ISNUMBER(G162)),IF(F162=G162,"",IF(INT(ROUND('参数'!$C$7/(ABS(F162-G162)*1+2*'参数'!$C$11+N('参数'!$C$14)*F162+N('参数'!$C$15))/1,6))*1&gt;0,INT(ROUND('参数'!$C$7/(ABS(F162-G162)*1+2*'参数'!$C$11+N('参数'!$C$14)*F162+N('参数'!$C$15))/1,6))*1,"预算不足，这笔不做")),"")</f>
        <v/>
      </c>
      <c r="K162" s="36" t="n"/>
      <c r="L162" s="20" t="str">
        <f>IF(AND(ISNUMBER(F162),ISNUMBER(G162),ISNUMBER(K162)),IF(AND(F162&lt;&gt;G162,K162&gt;0),ABS(F162-G162)*K162*1,""),"")</f>
        <v/>
      </c>
      <c r="M162" s="30" t="n"/>
      <c r="N162" s="37" t="str">
        <f>IF(AND(ISNUMBER(L162),ISNUMBER(M162)),IF(E162="空",(G162*(1+'参数'!$C$17)-F162),(F162-G162*(1-'参数'!$C$17)))*K162/L162,"")</f>
        <v/>
      </c>
      <c r="O162" s="38" t="n"/>
      <c r="P162" s="31" t="n"/>
      <c r="Q162" s="32" t="n"/>
      <c r="R162" s="39" t="str">
        <f>IF(N(U162)&gt;0,SUMPRODUCT(LARGE(('成交明细'!$A$5:$A$804=A162)*('成交明细'!$D$5:$D$804=IF(E162="空","卖","买"))*'成交明细'!$B$5:$B$804,COUNTIFS('成交明细'!$A$5:$A$804,A162,'成交明细'!$D$5:$D$804,IF(E162="空","卖","买")))),"")</f>
        <v/>
      </c>
      <c r="S162" s="39" t="str">
        <f>IF(AND(N(U162)&gt;0,N(W162)&gt;=N(U162)),SUMPRODUCT(MAX(('成交明细'!$A$5:$A$804=A162)*('成交明细'!$D$5:$D$804=IF(E162="空","买","卖"))*'成交明细'!$B$5:$B$804)),"")</f>
        <v/>
      </c>
      <c r="T162" s="32" t="n"/>
      <c r="U162" s="35" t="str">
        <f>IF(A162="","",SUMIFS('成交明细'!$F$5:$F$804,'成交明细'!$A$5:$A$804,A162,'成交明细'!$D$5:$D$804,IF(E162="空","卖","买")))</f>
        <v/>
      </c>
      <c r="V162" s="40" t="str">
        <f>IF(N(U162)&gt;0,SUMIFS('成交明细'!$H$5:$H$804,'成交明细'!$A$5:$A$804,A162,'成交明细'!$D$5:$D$804,IF(E162="空","卖","买"))/U162,"")</f>
        <v/>
      </c>
      <c r="W162" s="35" t="str">
        <f>IF(A162="","",SUMIFS('成交明细'!$F$5:$F$804,'成交明细'!$A$5:$A$804,A162,'成交明细'!$D$5:$D$804,IF(E162="空","买","卖")))</f>
        <v/>
      </c>
      <c r="X162" s="40" t="str">
        <f>IF(N(W162)&gt;0,SUMIFS('成交明细'!$H$5:$H$804,'成交明细'!$A$5:$A$804,A162,'成交明细'!$D$5:$D$804,IF(E162="空","买","卖"))/W162,"")</f>
        <v/>
      </c>
      <c r="Y162" s="41" t="str">
        <f>IF(A162="","",IF(Q162&lt;&gt;"已执行",IF(Q162="","未填执行情况",Q162),IF(N(U162)=0,"待录成交",IF(N(W162)&gt;N(U162),"平仓多于开仓",IF(N(W162)&lt;N(U162),"持仓中","已平仓")))))</f>
        <v/>
      </c>
      <c r="Z162" s="41" t="str">
        <f>IF(AND(ISNUMBER(R162),ISNUMBER(S162)),IF(R162=S162,"日内",""),"")</f>
        <v/>
      </c>
      <c r="AA162" s="42" t="str">
        <f>IF(Z162&lt;&gt;"日内","",COUNTIFS($Z$5:$Z$304,"日内",$S$5:$S$304,"&gt;"&amp;WORKDAY(S162,-5),$S$5:$S$304,"&lt;="&amp;S162))</f>
        <v/>
      </c>
      <c r="AB162" s="41" t="str">
        <f>IF(OR(NOT(ISNUMBER(M162)),NOT(ISNUMBER(R162))),"",IF(AND(M162&gt;=R162,OR(NOT(ISNUMBER(S162)),M162&lt;=S162)),"持仓跨财报",""))</f>
        <v/>
      </c>
      <c r="AC162" s="20">
        <f>IF(AND(E162="空",ISNUMBER(O162),ISNUMBER(S162)),ROUND(O162*(S162-R162)/360*V162*U162,2),0)</f>
        <v>0</v>
      </c>
      <c r="AD162" s="43" t="str">
        <f>IF(N(U162)=0,"",SUMIFS('成交明细'!$L$5:$L$804,'成交明细'!$A$5:$A$804,A162)+AC162)</f>
        <v/>
      </c>
      <c r="AE162" s="44" t="str">
        <f>IF(Y162&lt;&gt;"已平仓","",(SUMIFS('成交明细'!$H$5:$H$804,'成交明细'!$A$5:$A$804,A162,'成交明细'!$D$5:$D$804,"卖")-SUMIFS('成交明细'!$H$5:$H$804,'成交明细'!$A$5:$A$804,A162,'成交明细'!$D$5:$D$804,"买"))*1-AD162)</f>
        <v/>
      </c>
      <c r="AF162" s="45" t="str">
        <f>IF(AND(Y162="已平仓",ISNUMBER(L162)),(SUMIFS('成交明细'!$H$5:$H$804,'成交明细'!$A$5:$A$804,A162,'成交明细'!$D$5:$D$804,"卖")-SUMIFS('成交明细'!$H$5:$H$804,'成交明细'!$A$5:$A$804,A162,'成交明细'!$D$5:$D$804,"买"))*1/L162,"")</f>
        <v/>
      </c>
      <c r="AG162" s="45" t="str">
        <f>IF(AND(Y162="已平仓",ISNUMBER(L162)),AE162/L162,"")</f>
        <v/>
      </c>
      <c r="AH162" s="46" t="str">
        <f>IF(AND(ISNUMBER(V162),ISNUMBER(F162)),IF(E162="空",F162-V162,V162-F162),"")</f>
        <v/>
      </c>
      <c r="AI162" s="46" t="str">
        <f>IF(OR(NOT(ISNUMBER(AE162)),NOT(ISNUMBER(X162))),"",IF(AE162&lt;0,IF(E162="空",X162-G162,G162-X162),IF(NOT(ISNUMBER(H162)),"",IF(E162="空",X162-H162,H162-X162))))</f>
        <v/>
      </c>
      <c r="AJ162" s="32" t="n"/>
      <c r="AK162" s="32" t="n"/>
      <c r="AL162" s="31" t="n"/>
      <c r="AM162" s="45" t="str">
        <f>IF(A162="","",SUM(AG$5:AG162))</f>
        <v/>
      </c>
      <c r="AN162" s="37" t="str">
        <f>IF(A162="","",MAX(0,MAX(AM$5:AM162))-AM162)</f>
        <v/>
      </c>
    </row>
    <row r="163">
      <c r="A163" s="29" t="n"/>
      <c r="B163" s="30" t="n"/>
      <c r="C163" s="31" t="n"/>
      <c r="D163" s="32" t="n"/>
      <c r="E163" s="32" t="n"/>
      <c r="F163" s="33" t="n"/>
      <c r="G163" s="33" t="n"/>
      <c r="H163" s="33" t="n"/>
      <c r="I163" s="34" t="str">
        <f>IF(AND(ISNUMBER(F163),ISNUMBER(G163),ISNUMBER(H163)),IF(OR(AND(E163="多",F163&gt;G163),AND(E163="空",F163&lt;G163)),ABS(H163-F163)/ABS(F163-G163),"止损方向不对"),"")</f>
        <v/>
      </c>
      <c r="J163" s="35" t="str">
        <f>IF(AND(ISNUMBER(F163),ISNUMBER(G163)),IF(F163=G163,"",IF(INT(ROUND('参数'!$C$7/(ABS(F163-G163)*1+2*'参数'!$C$11+N('参数'!$C$14)*F163+N('参数'!$C$15))/1,6))*1&gt;0,INT(ROUND('参数'!$C$7/(ABS(F163-G163)*1+2*'参数'!$C$11+N('参数'!$C$14)*F163+N('参数'!$C$15))/1,6))*1,"预算不足，这笔不做")),"")</f>
        <v/>
      </c>
      <c r="K163" s="36" t="n"/>
      <c r="L163" s="20" t="str">
        <f>IF(AND(ISNUMBER(F163),ISNUMBER(G163),ISNUMBER(K163)),IF(AND(F163&lt;&gt;G163,K163&gt;0),ABS(F163-G163)*K163*1,""),"")</f>
        <v/>
      </c>
      <c r="M163" s="30" t="n"/>
      <c r="N163" s="37" t="str">
        <f>IF(AND(ISNUMBER(L163),ISNUMBER(M163)),IF(E163="空",(G163*(1+'参数'!$C$17)-F163),(F163-G163*(1-'参数'!$C$17)))*K163/L163,"")</f>
        <v/>
      </c>
      <c r="O163" s="38" t="n"/>
      <c r="P163" s="31" t="n"/>
      <c r="Q163" s="32" t="n"/>
      <c r="R163" s="39" t="str">
        <f>IF(N(U163)&gt;0,SUMPRODUCT(LARGE(('成交明细'!$A$5:$A$804=A163)*('成交明细'!$D$5:$D$804=IF(E163="空","卖","买"))*'成交明细'!$B$5:$B$804,COUNTIFS('成交明细'!$A$5:$A$804,A163,'成交明细'!$D$5:$D$804,IF(E163="空","卖","买")))),"")</f>
        <v/>
      </c>
      <c r="S163" s="39" t="str">
        <f>IF(AND(N(U163)&gt;0,N(W163)&gt;=N(U163)),SUMPRODUCT(MAX(('成交明细'!$A$5:$A$804=A163)*('成交明细'!$D$5:$D$804=IF(E163="空","买","卖"))*'成交明细'!$B$5:$B$804)),"")</f>
        <v/>
      </c>
      <c r="T163" s="32" t="n"/>
      <c r="U163" s="35" t="str">
        <f>IF(A163="","",SUMIFS('成交明细'!$F$5:$F$804,'成交明细'!$A$5:$A$804,A163,'成交明细'!$D$5:$D$804,IF(E163="空","卖","买")))</f>
        <v/>
      </c>
      <c r="V163" s="40" t="str">
        <f>IF(N(U163)&gt;0,SUMIFS('成交明细'!$H$5:$H$804,'成交明细'!$A$5:$A$804,A163,'成交明细'!$D$5:$D$804,IF(E163="空","卖","买"))/U163,"")</f>
        <v/>
      </c>
      <c r="W163" s="35" t="str">
        <f>IF(A163="","",SUMIFS('成交明细'!$F$5:$F$804,'成交明细'!$A$5:$A$804,A163,'成交明细'!$D$5:$D$804,IF(E163="空","买","卖")))</f>
        <v/>
      </c>
      <c r="X163" s="40" t="str">
        <f>IF(N(W163)&gt;0,SUMIFS('成交明细'!$H$5:$H$804,'成交明细'!$A$5:$A$804,A163,'成交明细'!$D$5:$D$804,IF(E163="空","买","卖"))/W163,"")</f>
        <v/>
      </c>
      <c r="Y163" s="41" t="str">
        <f>IF(A163="","",IF(Q163&lt;&gt;"已执行",IF(Q163="","未填执行情况",Q163),IF(N(U163)=0,"待录成交",IF(N(W163)&gt;N(U163),"平仓多于开仓",IF(N(W163)&lt;N(U163),"持仓中","已平仓")))))</f>
        <v/>
      </c>
      <c r="Z163" s="41" t="str">
        <f>IF(AND(ISNUMBER(R163),ISNUMBER(S163)),IF(R163=S163,"日内",""),"")</f>
        <v/>
      </c>
      <c r="AA163" s="42" t="str">
        <f>IF(Z163&lt;&gt;"日内","",COUNTIFS($Z$5:$Z$304,"日内",$S$5:$S$304,"&gt;"&amp;WORKDAY(S163,-5),$S$5:$S$304,"&lt;="&amp;S163))</f>
        <v/>
      </c>
      <c r="AB163" s="41" t="str">
        <f>IF(OR(NOT(ISNUMBER(M163)),NOT(ISNUMBER(R163))),"",IF(AND(M163&gt;=R163,OR(NOT(ISNUMBER(S163)),M163&lt;=S163)),"持仓跨财报",""))</f>
        <v/>
      </c>
      <c r="AC163" s="20">
        <f>IF(AND(E163="空",ISNUMBER(O163),ISNUMBER(S163)),ROUND(O163*(S163-R163)/360*V163*U163,2),0)</f>
        <v>0</v>
      </c>
      <c r="AD163" s="43" t="str">
        <f>IF(N(U163)=0,"",SUMIFS('成交明细'!$L$5:$L$804,'成交明细'!$A$5:$A$804,A163)+AC163)</f>
        <v/>
      </c>
      <c r="AE163" s="44" t="str">
        <f>IF(Y163&lt;&gt;"已平仓","",(SUMIFS('成交明细'!$H$5:$H$804,'成交明细'!$A$5:$A$804,A163,'成交明细'!$D$5:$D$804,"卖")-SUMIFS('成交明细'!$H$5:$H$804,'成交明细'!$A$5:$A$804,A163,'成交明细'!$D$5:$D$804,"买"))*1-AD163)</f>
        <v/>
      </c>
      <c r="AF163" s="45" t="str">
        <f>IF(AND(Y163="已平仓",ISNUMBER(L163)),(SUMIFS('成交明细'!$H$5:$H$804,'成交明细'!$A$5:$A$804,A163,'成交明细'!$D$5:$D$804,"卖")-SUMIFS('成交明细'!$H$5:$H$804,'成交明细'!$A$5:$A$804,A163,'成交明细'!$D$5:$D$804,"买"))*1/L163,"")</f>
        <v/>
      </c>
      <c r="AG163" s="45" t="str">
        <f>IF(AND(Y163="已平仓",ISNUMBER(L163)),AE163/L163,"")</f>
        <v/>
      </c>
      <c r="AH163" s="46" t="str">
        <f>IF(AND(ISNUMBER(V163),ISNUMBER(F163)),IF(E163="空",F163-V163,V163-F163),"")</f>
        <v/>
      </c>
      <c r="AI163" s="46" t="str">
        <f>IF(OR(NOT(ISNUMBER(AE163)),NOT(ISNUMBER(X163))),"",IF(AE163&lt;0,IF(E163="空",X163-G163,G163-X163),IF(NOT(ISNUMBER(H163)),"",IF(E163="空",X163-H163,H163-X163))))</f>
        <v/>
      </c>
      <c r="AJ163" s="32" t="n"/>
      <c r="AK163" s="32" t="n"/>
      <c r="AL163" s="31" t="n"/>
      <c r="AM163" s="45" t="str">
        <f>IF(A163="","",SUM(AG$5:AG163))</f>
        <v/>
      </c>
      <c r="AN163" s="37" t="str">
        <f>IF(A163="","",MAX(0,MAX(AM$5:AM163))-AM163)</f>
        <v/>
      </c>
    </row>
    <row r="164">
      <c r="A164" s="29" t="n"/>
      <c r="B164" s="30" t="n"/>
      <c r="C164" s="31" t="n"/>
      <c r="D164" s="32" t="n"/>
      <c r="E164" s="32" t="n"/>
      <c r="F164" s="33" t="n"/>
      <c r="G164" s="33" t="n"/>
      <c r="H164" s="33" t="n"/>
      <c r="I164" s="34" t="str">
        <f>IF(AND(ISNUMBER(F164),ISNUMBER(G164),ISNUMBER(H164)),IF(OR(AND(E164="多",F164&gt;G164),AND(E164="空",F164&lt;G164)),ABS(H164-F164)/ABS(F164-G164),"止损方向不对"),"")</f>
        <v/>
      </c>
      <c r="J164" s="35" t="str">
        <f>IF(AND(ISNUMBER(F164),ISNUMBER(G164)),IF(F164=G164,"",IF(INT(ROUND('参数'!$C$7/(ABS(F164-G164)*1+2*'参数'!$C$11+N('参数'!$C$14)*F164+N('参数'!$C$15))/1,6))*1&gt;0,INT(ROUND('参数'!$C$7/(ABS(F164-G164)*1+2*'参数'!$C$11+N('参数'!$C$14)*F164+N('参数'!$C$15))/1,6))*1,"预算不足，这笔不做")),"")</f>
        <v/>
      </c>
      <c r="K164" s="36" t="n"/>
      <c r="L164" s="20" t="str">
        <f>IF(AND(ISNUMBER(F164),ISNUMBER(G164),ISNUMBER(K164)),IF(AND(F164&lt;&gt;G164,K164&gt;0),ABS(F164-G164)*K164*1,""),"")</f>
        <v/>
      </c>
      <c r="M164" s="30" t="n"/>
      <c r="N164" s="37" t="str">
        <f>IF(AND(ISNUMBER(L164),ISNUMBER(M164)),IF(E164="空",(G164*(1+'参数'!$C$17)-F164),(F164-G164*(1-'参数'!$C$17)))*K164/L164,"")</f>
        <v/>
      </c>
      <c r="O164" s="38" t="n"/>
      <c r="P164" s="31" t="n"/>
      <c r="Q164" s="32" t="n"/>
      <c r="R164" s="39" t="str">
        <f>IF(N(U164)&gt;0,SUMPRODUCT(LARGE(('成交明细'!$A$5:$A$804=A164)*('成交明细'!$D$5:$D$804=IF(E164="空","卖","买"))*'成交明细'!$B$5:$B$804,COUNTIFS('成交明细'!$A$5:$A$804,A164,'成交明细'!$D$5:$D$804,IF(E164="空","卖","买")))),"")</f>
        <v/>
      </c>
      <c r="S164" s="39" t="str">
        <f>IF(AND(N(U164)&gt;0,N(W164)&gt;=N(U164)),SUMPRODUCT(MAX(('成交明细'!$A$5:$A$804=A164)*('成交明细'!$D$5:$D$804=IF(E164="空","买","卖"))*'成交明细'!$B$5:$B$804)),"")</f>
        <v/>
      </c>
      <c r="T164" s="32" t="n"/>
      <c r="U164" s="35" t="str">
        <f>IF(A164="","",SUMIFS('成交明细'!$F$5:$F$804,'成交明细'!$A$5:$A$804,A164,'成交明细'!$D$5:$D$804,IF(E164="空","卖","买")))</f>
        <v/>
      </c>
      <c r="V164" s="40" t="str">
        <f>IF(N(U164)&gt;0,SUMIFS('成交明细'!$H$5:$H$804,'成交明细'!$A$5:$A$804,A164,'成交明细'!$D$5:$D$804,IF(E164="空","卖","买"))/U164,"")</f>
        <v/>
      </c>
      <c r="W164" s="35" t="str">
        <f>IF(A164="","",SUMIFS('成交明细'!$F$5:$F$804,'成交明细'!$A$5:$A$804,A164,'成交明细'!$D$5:$D$804,IF(E164="空","买","卖")))</f>
        <v/>
      </c>
      <c r="X164" s="40" t="str">
        <f>IF(N(W164)&gt;0,SUMIFS('成交明细'!$H$5:$H$804,'成交明细'!$A$5:$A$804,A164,'成交明细'!$D$5:$D$804,IF(E164="空","买","卖"))/W164,"")</f>
        <v/>
      </c>
      <c r="Y164" s="41" t="str">
        <f>IF(A164="","",IF(Q164&lt;&gt;"已执行",IF(Q164="","未填执行情况",Q164),IF(N(U164)=0,"待录成交",IF(N(W164)&gt;N(U164),"平仓多于开仓",IF(N(W164)&lt;N(U164),"持仓中","已平仓")))))</f>
        <v/>
      </c>
      <c r="Z164" s="41" t="str">
        <f>IF(AND(ISNUMBER(R164),ISNUMBER(S164)),IF(R164=S164,"日内",""),"")</f>
        <v/>
      </c>
      <c r="AA164" s="42" t="str">
        <f>IF(Z164&lt;&gt;"日内","",COUNTIFS($Z$5:$Z$304,"日内",$S$5:$S$304,"&gt;"&amp;WORKDAY(S164,-5),$S$5:$S$304,"&lt;="&amp;S164))</f>
        <v/>
      </c>
      <c r="AB164" s="41" t="str">
        <f>IF(OR(NOT(ISNUMBER(M164)),NOT(ISNUMBER(R164))),"",IF(AND(M164&gt;=R164,OR(NOT(ISNUMBER(S164)),M164&lt;=S164)),"持仓跨财报",""))</f>
        <v/>
      </c>
      <c r="AC164" s="20">
        <f>IF(AND(E164="空",ISNUMBER(O164),ISNUMBER(S164)),ROUND(O164*(S164-R164)/360*V164*U164,2),0)</f>
        <v>0</v>
      </c>
      <c r="AD164" s="43" t="str">
        <f>IF(N(U164)=0,"",SUMIFS('成交明细'!$L$5:$L$804,'成交明细'!$A$5:$A$804,A164)+AC164)</f>
        <v/>
      </c>
      <c r="AE164" s="44" t="str">
        <f>IF(Y164&lt;&gt;"已平仓","",(SUMIFS('成交明细'!$H$5:$H$804,'成交明细'!$A$5:$A$804,A164,'成交明细'!$D$5:$D$804,"卖")-SUMIFS('成交明细'!$H$5:$H$804,'成交明细'!$A$5:$A$804,A164,'成交明细'!$D$5:$D$804,"买"))*1-AD164)</f>
        <v/>
      </c>
      <c r="AF164" s="45" t="str">
        <f>IF(AND(Y164="已平仓",ISNUMBER(L164)),(SUMIFS('成交明细'!$H$5:$H$804,'成交明细'!$A$5:$A$804,A164,'成交明细'!$D$5:$D$804,"卖")-SUMIFS('成交明细'!$H$5:$H$804,'成交明细'!$A$5:$A$804,A164,'成交明细'!$D$5:$D$804,"买"))*1/L164,"")</f>
        <v/>
      </c>
      <c r="AG164" s="45" t="str">
        <f>IF(AND(Y164="已平仓",ISNUMBER(L164)),AE164/L164,"")</f>
        <v/>
      </c>
      <c r="AH164" s="46" t="str">
        <f>IF(AND(ISNUMBER(V164),ISNUMBER(F164)),IF(E164="空",F164-V164,V164-F164),"")</f>
        <v/>
      </c>
      <c r="AI164" s="46" t="str">
        <f>IF(OR(NOT(ISNUMBER(AE164)),NOT(ISNUMBER(X164))),"",IF(AE164&lt;0,IF(E164="空",X164-G164,G164-X164),IF(NOT(ISNUMBER(H164)),"",IF(E164="空",X164-H164,H164-X164))))</f>
        <v/>
      </c>
      <c r="AJ164" s="32" t="n"/>
      <c r="AK164" s="32" t="n"/>
      <c r="AL164" s="31" t="n"/>
      <c r="AM164" s="45" t="str">
        <f>IF(A164="","",SUM(AG$5:AG164))</f>
        <v/>
      </c>
      <c r="AN164" s="37" t="str">
        <f>IF(A164="","",MAX(0,MAX(AM$5:AM164))-AM164)</f>
        <v/>
      </c>
    </row>
    <row r="165">
      <c r="A165" s="29" t="n"/>
      <c r="B165" s="30" t="n"/>
      <c r="C165" s="31" t="n"/>
      <c r="D165" s="32" t="n"/>
      <c r="E165" s="32" t="n"/>
      <c r="F165" s="33" t="n"/>
      <c r="G165" s="33" t="n"/>
      <c r="H165" s="33" t="n"/>
      <c r="I165" s="34" t="str">
        <f>IF(AND(ISNUMBER(F165),ISNUMBER(G165),ISNUMBER(H165)),IF(OR(AND(E165="多",F165&gt;G165),AND(E165="空",F165&lt;G165)),ABS(H165-F165)/ABS(F165-G165),"止损方向不对"),"")</f>
        <v/>
      </c>
      <c r="J165" s="35" t="str">
        <f>IF(AND(ISNUMBER(F165),ISNUMBER(G165)),IF(F165=G165,"",IF(INT(ROUND('参数'!$C$7/(ABS(F165-G165)*1+2*'参数'!$C$11+N('参数'!$C$14)*F165+N('参数'!$C$15))/1,6))*1&gt;0,INT(ROUND('参数'!$C$7/(ABS(F165-G165)*1+2*'参数'!$C$11+N('参数'!$C$14)*F165+N('参数'!$C$15))/1,6))*1,"预算不足，这笔不做")),"")</f>
        <v/>
      </c>
      <c r="K165" s="36" t="n"/>
      <c r="L165" s="20" t="str">
        <f>IF(AND(ISNUMBER(F165),ISNUMBER(G165),ISNUMBER(K165)),IF(AND(F165&lt;&gt;G165,K165&gt;0),ABS(F165-G165)*K165*1,""),"")</f>
        <v/>
      </c>
      <c r="M165" s="30" t="n"/>
      <c r="N165" s="37" t="str">
        <f>IF(AND(ISNUMBER(L165),ISNUMBER(M165)),IF(E165="空",(G165*(1+'参数'!$C$17)-F165),(F165-G165*(1-'参数'!$C$17)))*K165/L165,"")</f>
        <v/>
      </c>
      <c r="O165" s="38" t="n"/>
      <c r="P165" s="31" t="n"/>
      <c r="Q165" s="32" t="n"/>
      <c r="R165" s="39" t="str">
        <f>IF(N(U165)&gt;0,SUMPRODUCT(LARGE(('成交明细'!$A$5:$A$804=A165)*('成交明细'!$D$5:$D$804=IF(E165="空","卖","买"))*'成交明细'!$B$5:$B$804,COUNTIFS('成交明细'!$A$5:$A$804,A165,'成交明细'!$D$5:$D$804,IF(E165="空","卖","买")))),"")</f>
        <v/>
      </c>
      <c r="S165" s="39" t="str">
        <f>IF(AND(N(U165)&gt;0,N(W165)&gt;=N(U165)),SUMPRODUCT(MAX(('成交明细'!$A$5:$A$804=A165)*('成交明细'!$D$5:$D$804=IF(E165="空","买","卖"))*'成交明细'!$B$5:$B$804)),"")</f>
        <v/>
      </c>
      <c r="T165" s="32" t="n"/>
      <c r="U165" s="35" t="str">
        <f>IF(A165="","",SUMIFS('成交明细'!$F$5:$F$804,'成交明细'!$A$5:$A$804,A165,'成交明细'!$D$5:$D$804,IF(E165="空","卖","买")))</f>
        <v/>
      </c>
      <c r="V165" s="40" t="str">
        <f>IF(N(U165)&gt;0,SUMIFS('成交明细'!$H$5:$H$804,'成交明细'!$A$5:$A$804,A165,'成交明细'!$D$5:$D$804,IF(E165="空","卖","买"))/U165,"")</f>
        <v/>
      </c>
      <c r="W165" s="35" t="str">
        <f>IF(A165="","",SUMIFS('成交明细'!$F$5:$F$804,'成交明细'!$A$5:$A$804,A165,'成交明细'!$D$5:$D$804,IF(E165="空","买","卖")))</f>
        <v/>
      </c>
      <c r="X165" s="40" t="str">
        <f>IF(N(W165)&gt;0,SUMIFS('成交明细'!$H$5:$H$804,'成交明细'!$A$5:$A$804,A165,'成交明细'!$D$5:$D$804,IF(E165="空","买","卖"))/W165,"")</f>
        <v/>
      </c>
      <c r="Y165" s="41" t="str">
        <f>IF(A165="","",IF(Q165&lt;&gt;"已执行",IF(Q165="","未填执行情况",Q165),IF(N(U165)=0,"待录成交",IF(N(W165)&gt;N(U165),"平仓多于开仓",IF(N(W165)&lt;N(U165),"持仓中","已平仓")))))</f>
        <v/>
      </c>
      <c r="Z165" s="41" t="str">
        <f>IF(AND(ISNUMBER(R165),ISNUMBER(S165)),IF(R165=S165,"日内",""),"")</f>
        <v/>
      </c>
      <c r="AA165" s="42" t="str">
        <f>IF(Z165&lt;&gt;"日内","",COUNTIFS($Z$5:$Z$304,"日内",$S$5:$S$304,"&gt;"&amp;WORKDAY(S165,-5),$S$5:$S$304,"&lt;="&amp;S165))</f>
        <v/>
      </c>
      <c r="AB165" s="41" t="str">
        <f>IF(OR(NOT(ISNUMBER(M165)),NOT(ISNUMBER(R165))),"",IF(AND(M165&gt;=R165,OR(NOT(ISNUMBER(S165)),M165&lt;=S165)),"持仓跨财报",""))</f>
        <v/>
      </c>
      <c r="AC165" s="20">
        <f>IF(AND(E165="空",ISNUMBER(O165),ISNUMBER(S165)),ROUND(O165*(S165-R165)/360*V165*U165,2),0)</f>
        <v>0</v>
      </c>
      <c r="AD165" s="43" t="str">
        <f>IF(N(U165)=0,"",SUMIFS('成交明细'!$L$5:$L$804,'成交明细'!$A$5:$A$804,A165)+AC165)</f>
        <v/>
      </c>
      <c r="AE165" s="44" t="str">
        <f>IF(Y165&lt;&gt;"已平仓","",(SUMIFS('成交明细'!$H$5:$H$804,'成交明细'!$A$5:$A$804,A165,'成交明细'!$D$5:$D$804,"卖")-SUMIFS('成交明细'!$H$5:$H$804,'成交明细'!$A$5:$A$804,A165,'成交明细'!$D$5:$D$804,"买"))*1-AD165)</f>
        <v/>
      </c>
      <c r="AF165" s="45" t="str">
        <f>IF(AND(Y165="已平仓",ISNUMBER(L165)),(SUMIFS('成交明细'!$H$5:$H$804,'成交明细'!$A$5:$A$804,A165,'成交明细'!$D$5:$D$804,"卖")-SUMIFS('成交明细'!$H$5:$H$804,'成交明细'!$A$5:$A$804,A165,'成交明细'!$D$5:$D$804,"买"))*1/L165,"")</f>
        <v/>
      </c>
      <c r="AG165" s="45" t="str">
        <f>IF(AND(Y165="已平仓",ISNUMBER(L165)),AE165/L165,"")</f>
        <v/>
      </c>
      <c r="AH165" s="46" t="str">
        <f>IF(AND(ISNUMBER(V165),ISNUMBER(F165)),IF(E165="空",F165-V165,V165-F165),"")</f>
        <v/>
      </c>
      <c r="AI165" s="46" t="str">
        <f>IF(OR(NOT(ISNUMBER(AE165)),NOT(ISNUMBER(X165))),"",IF(AE165&lt;0,IF(E165="空",X165-G165,G165-X165),IF(NOT(ISNUMBER(H165)),"",IF(E165="空",X165-H165,H165-X165))))</f>
        <v/>
      </c>
      <c r="AJ165" s="32" t="n"/>
      <c r="AK165" s="32" t="n"/>
      <c r="AL165" s="31" t="n"/>
      <c r="AM165" s="45" t="str">
        <f>IF(A165="","",SUM(AG$5:AG165))</f>
        <v/>
      </c>
      <c r="AN165" s="37" t="str">
        <f>IF(A165="","",MAX(0,MAX(AM$5:AM165))-AM165)</f>
        <v/>
      </c>
    </row>
    <row r="166">
      <c r="A166" s="29" t="n"/>
      <c r="B166" s="30" t="n"/>
      <c r="C166" s="31" t="n"/>
      <c r="D166" s="32" t="n"/>
      <c r="E166" s="32" t="n"/>
      <c r="F166" s="33" t="n"/>
      <c r="G166" s="33" t="n"/>
      <c r="H166" s="33" t="n"/>
      <c r="I166" s="34" t="str">
        <f>IF(AND(ISNUMBER(F166),ISNUMBER(G166),ISNUMBER(H166)),IF(OR(AND(E166="多",F166&gt;G166),AND(E166="空",F166&lt;G166)),ABS(H166-F166)/ABS(F166-G166),"止损方向不对"),"")</f>
        <v/>
      </c>
      <c r="J166" s="35" t="str">
        <f>IF(AND(ISNUMBER(F166),ISNUMBER(G166)),IF(F166=G166,"",IF(INT(ROUND('参数'!$C$7/(ABS(F166-G166)*1+2*'参数'!$C$11+N('参数'!$C$14)*F166+N('参数'!$C$15))/1,6))*1&gt;0,INT(ROUND('参数'!$C$7/(ABS(F166-G166)*1+2*'参数'!$C$11+N('参数'!$C$14)*F166+N('参数'!$C$15))/1,6))*1,"预算不足，这笔不做")),"")</f>
        <v/>
      </c>
      <c r="K166" s="36" t="n"/>
      <c r="L166" s="20" t="str">
        <f>IF(AND(ISNUMBER(F166),ISNUMBER(G166),ISNUMBER(K166)),IF(AND(F166&lt;&gt;G166,K166&gt;0),ABS(F166-G166)*K166*1,""),"")</f>
        <v/>
      </c>
      <c r="M166" s="30" t="n"/>
      <c r="N166" s="37" t="str">
        <f>IF(AND(ISNUMBER(L166),ISNUMBER(M166)),IF(E166="空",(G166*(1+'参数'!$C$17)-F166),(F166-G166*(1-'参数'!$C$17)))*K166/L166,"")</f>
        <v/>
      </c>
      <c r="O166" s="38" t="n"/>
      <c r="P166" s="31" t="n"/>
      <c r="Q166" s="32" t="n"/>
      <c r="R166" s="39" t="str">
        <f>IF(N(U166)&gt;0,SUMPRODUCT(LARGE(('成交明细'!$A$5:$A$804=A166)*('成交明细'!$D$5:$D$804=IF(E166="空","卖","买"))*'成交明细'!$B$5:$B$804,COUNTIFS('成交明细'!$A$5:$A$804,A166,'成交明细'!$D$5:$D$804,IF(E166="空","卖","买")))),"")</f>
        <v/>
      </c>
      <c r="S166" s="39" t="str">
        <f>IF(AND(N(U166)&gt;0,N(W166)&gt;=N(U166)),SUMPRODUCT(MAX(('成交明细'!$A$5:$A$804=A166)*('成交明细'!$D$5:$D$804=IF(E166="空","买","卖"))*'成交明细'!$B$5:$B$804)),"")</f>
        <v/>
      </c>
      <c r="T166" s="32" t="n"/>
      <c r="U166" s="35" t="str">
        <f>IF(A166="","",SUMIFS('成交明细'!$F$5:$F$804,'成交明细'!$A$5:$A$804,A166,'成交明细'!$D$5:$D$804,IF(E166="空","卖","买")))</f>
        <v/>
      </c>
      <c r="V166" s="40" t="str">
        <f>IF(N(U166)&gt;0,SUMIFS('成交明细'!$H$5:$H$804,'成交明细'!$A$5:$A$804,A166,'成交明细'!$D$5:$D$804,IF(E166="空","卖","买"))/U166,"")</f>
        <v/>
      </c>
      <c r="W166" s="35" t="str">
        <f>IF(A166="","",SUMIFS('成交明细'!$F$5:$F$804,'成交明细'!$A$5:$A$804,A166,'成交明细'!$D$5:$D$804,IF(E166="空","买","卖")))</f>
        <v/>
      </c>
      <c r="X166" s="40" t="str">
        <f>IF(N(W166)&gt;0,SUMIFS('成交明细'!$H$5:$H$804,'成交明细'!$A$5:$A$804,A166,'成交明细'!$D$5:$D$804,IF(E166="空","买","卖"))/W166,"")</f>
        <v/>
      </c>
      <c r="Y166" s="41" t="str">
        <f>IF(A166="","",IF(Q166&lt;&gt;"已执行",IF(Q166="","未填执行情况",Q166),IF(N(U166)=0,"待录成交",IF(N(W166)&gt;N(U166),"平仓多于开仓",IF(N(W166)&lt;N(U166),"持仓中","已平仓")))))</f>
        <v/>
      </c>
      <c r="Z166" s="41" t="str">
        <f>IF(AND(ISNUMBER(R166),ISNUMBER(S166)),IF(R166=S166,"日内",""),"")</f>
        <v/>
      </c>
      <c r="AA166" s="42" t="str">
        <f>IF(Z166&lt;&gt;"日内","",COUNTIFS($Z$5:$Z$304,"日内",$S$5:$S$304,"&gt;"&amp;WORKDAY(S166,-5),$S$5:$S$304,"&lt;="&amp;S166))</f>
        <v/>
      </c>
      <c r="AB166" s="41" t="str">
        <f>IF(OR(NOT(ISNUMBER(M166)),NOT(ISNUMBER(R166))),"",IF(AND(M166&gt;=R166,OR(NOT(ISNUMBER(S166)),M166&lt;=S166)),"持仓跨财报",""))</f>
        <v/>
      </c>
      <c r="AC166" s="20">
        <f>IF(AND(E166="空",ISNUMBER(O166),ISNUMBER(S166)),ROUND(O166*(S166-R166)/360*V166*U166,2),0)</f>
        <v>0</v>
      </c>
      <c r="AD166" s="43" t="str">
        <f>IF(N(U166)=0,"",SUMIFS('成交明细'!$L$5:$L$804,'成交明细'!$A$5:$A$804,A166)+AC166)</f>
        <v/>
      </c>
      <c r="AE166" s="44" t="str">
        <f>IF(Y166&lt;&gt;"已平仓","",(SUMIFS('成交明细'!$H$5:$H$804,'成交明细'!$A$5:$A$804,A166,'成交明细'!$D$5:$D$804,"卖")-SUMIFS('成交明细'!$H$5:$H$804,'成交明细'!$A$5:$A$804,A166,'成交明细'!$D$5:$D$804,"买"))*1-AD166)</f>
        <v/>
      </c>
      <c r="AF166" s="45" t="str">
        <f>IF(AND(Y166="已平仓",ISNUMBER(L166)),(SUMIFS('成交明细'!$H$5:$H$804,'成交明细'!$A$5:$A$804,A166,'成交明细'!$D$5:$D$804,"卖")-SUMIFS('成交明细'!$H$5:$H$804,'成交明细'!$A$5:$A$804,A166,'成交明细'!$D$5:$D$804,"买"))*1/L166,"")</f>
        <v/>
      </c>
      <c r="AG166" s="45" t="str">
        <f>IF(AND(Y166="已平仓",ISNUMBER(L166)),AE166/L166,"")</f>
        <v/>
      </c>
      <c r="AH166" s="46" t="str">
        <f>IF(AND(ISNUMBER(V166),ISNUMBER(F166)),IF(E166="空",F166-V166,V166-F166),"")</f>
        <v/>
      </c>
      <c r="AI166" s="46" t="str">
        <f>IF(OR(NOT(ISNUMBER(AE166)),NOT(ISNUMBER(X166))),"",IF(AE166&lt;0,IF(E166="空",X166-G166,G166-X166),IF(NOT(ISNUMBER(H166)),"",IF(E166="空",X166-H166,H166-X166))))</f>
        <v/>
      </c>
      <c r="AJ166" s="32" t="n"/>
      <c r="AK166" s="32" t="n"/>
      <c r="AL166" s="31" t="n"/>
      <c r="AM166" s="45" t="str">
        <f>IF(A166="","",SUM(AG$5:AG166))</f>
        <v/>
      </c>
      <c r="AN166" s="37" t="str">
        <f>IF(A166="","",MAX(0,MAX(AM$5:AM166))-AM166)</f>
        <v/>
      </c>
    </row>
    <row r="167">
      <c r="A167" s="29" t="n"/>
      <c r="B167" s="30" t="n"/>
      <c r="C167" s="31" t="n"/>
      <c r="D167" s="32" t="n"/>
      <c r="E167" s="32" t="n"/>
      <c r="F167" s="33" t="n"/>
      <c r="G167" s="33" t="n"/>
      <c r="H167" s="33" t="n"/>
      <c r="I167" s="34" t="str">
        <f>IF(AND(ISNUMBER(F167),ISNUMBER(G167),ISNUMBER(H167)),IF(OR(AND(E167="多",F167&gt;G167),AND(E167="空",F167&lt;G167)),ABS(H167-F167)/ABS(F167-G167),"止损方向不对"),"")</f>
        <v/>
      </c>
      <c r="J167" s="35" t="str">
        <f>IF(AND(ISNUMBER(F167),ISNUMBER(G167)),IF(F167=G167,"",IF(INT(ROUND('参数'!$C$7/(ABS(F167-G167)*1+2*'参数'!$C$11+N('参数'!$C$14)*F167+N('参数'!$C$15))/1,6))*1&gt;0,INT(ROUND('参数'!$C$7/(ABS(F167-G167)*1+2*'参数'!$C$11+N('参数'!$C$14)*F167+N('参数'!$C$15))/1,6))*1,"预算不足，这笔不做")),"")</f>
        <v/>
      </c>
      <c r="K167" s="36" t="n"/>
      <c r="L167" s="20" t="str">
        <f>IF(AND(ISNUMBER(F167),ISNUMBER(G167),ISNUMBER(K167)),IF(AND(F167&lt;&gt;G167,K167&gt;0),ABS(F167-G167)*K167*1,""),"")</f>
        <v/>
      </c>
      <c r="M167" s="30" t="n"/>
      <c r="N167" s="37" t="str">
        <f>IF(AND(ISNUMBER(L167),ISNUMBER(M167)),IF(E167="空",(G167*(1+'参数'!$C$17)-F167),(F167-G167*(1-'参数'!$C$17)))*K167/L167,"")</f>
        <v/>
      </c>
      <c r="O167" s="38" t="n"/>
      <c r="P167" s="31" t="n"/>
      <c r="Q167" s="32" t="n"/>
      <c r="R167" s="39" t="str">
        <f>IF(N(U167)&gt;0,SUMPRODUCT(LARGE(('成交明细'!$A$5:$A$804=A167)*('成交明细'!$D$5:$D$804=IF(E167="空","卖","买"))*'成交明细'!$B$5:$B$804,COUNTIFS('成交明细'!$A$5:$A$804,A167,'成交明细'!$D$5:$D$804,IF(E167="空","卖","买")))),"")</f>
        <v/>
      </c>
      <c r="S167" s="39" t="str">
        <f>IF(AND(N(U167)&gt;0,N(W167)&gt;=N(U167)),SUMPRODUCT(MAX(('成交明细'!$A$5:$A$804=A167)*('成交明细'!$D$5:$D$804=IF(E167="空","买","卖"))*'成交明细'!$B$5:$B$804)),"")</f>
        <v/>
      </c>
      <c r="T167" s="32" t="n"/>
      <c r="U167" s="35" t="str">
        <f>IF(A167="","",SUMIFS('成交明细'!$F$5:$F$804,'成交明细'!$A$5:$A$804,A167,'成交明细'!$D$5:$D$804,IF(E167="空","卖","买")))</f>
        <v/>
      </c>
      <c r="V167" s="40" t="str">
        <f>IF(N(U167)&gt;0,SUMIFS('成交明细'!$H$5:$H$804,'成交明细'!$A$5:$A$804,A167,'成交明细'!$D$5:$D$804,IF(E167="空","卖","买"))/U167,"")</f>
        <v/>
      </c>
      <c r="W167" s="35" t="str">
        <f>IF(A167="","",SUMIFS('成交明细'!$F$5:$F$804,'成交明细'!$A$5:$A$804,A167,'成交明细'!$D$5:$D$804,IF(E167="空","买","卖")))</f>
        <v/>
      </c>
      <c r="X167" s="40" t="str">
        <f>IF(N(W167)&gt;0,SUMIFS('成交明细'!$H$5:$H$804,'成交明细'!$A$5:$A$804,A167,'成交明细'!$D$5:$D$804,IF(E167="空","买","卖"))/W167,"")</f>
        <v/>
      </c>
      <c r="Y167" s="41" t="str">
        <f>IF(A167="","",IF(Q167&lt;&gt;"已执行",IF(Q167="","未填执行情况",Q167),IF(N(U167)=0,"待录成交",IF(N(W167)&gt;N(U167),"平仓多于开仓",IF(N(W167)&lt;N(U167),"持仓中","已平仓")))))</f>
        <v/>
      </c>
      <c r="Z167" s="41" t="str">
        <f>IF(AND(ISNUMBER(R167),ISNUMBER(S167)),IF(R167=S167,"日内",""),"")</f>
        <v/>
      </c>
      <c r="AA167" s="42" t="str">
        <f>IF(Z167&lt;&gt;"日内","",COUNTIFS($Z$5:$Z$304,"日内",$S$5:$S$304,"&gt;"&amp;WORKDAY(S167,-5),$S$5:$S$304,"&lt;="&amp;S167))</f>
        <v/>
      </c>
      <c r="AB167" s="41" t="str">
        <f>IF(OR(NOT(ISNUMBER(M167)),NOT(ISNUMBER(R167))),"",IF(AND(M167&gt;=R167,OR(NOT(ISNUMBER(S167)),M167&lt;=S167)),"持仓跨财报",""))</f>
        <v/>
      </c>
      <c r="AC167" s="20">
        <f>IF(AND(E167="空",ISNUMBER(O167),ISNUMBER(S167)),ROUND(O167*(S167-R167)/360*V167*U167,2),0)</f>
        <v>0</v>
      </c>
      <c r="AD167" s="43" t="str">
        <f>IF(N(U167)=0,"",SUMIFS('成交明细'!$L$5:$L$804,'成交明细'!$A$5:$A$804,A167)+AC167)</f>
        <v/>
      </c>
      <c r="AE167" s="44" t="str">
        <f>IF(Y167&lt;&gt;"已平仓","",(SUMIFS('成交明细'!$H$5:$H$804,'成交明细'!$A$5:$A$804,A167,'成交明细'!$D$5:$D$804,"卖")-SUMIFS('成交明细'!$H$5:$H$804,'成交明细'!$A$5:$A$804,A167,'成交明细'!$D$5:$D$804,"买"))*1-AD167)</f>
        <v/>
      </c>
      <c r="AF167" s="45" t="str">
        <f>IF(AND(Y167="已平仓",ISNUMBER(L167)),(SUMIFS('成交明细'!$H$5:$H$804,'成交明细'!$A$5:$A$804,A167,'成交明细'!$D$5:$D$804,"卖")-SUMIFS('成交明细'!$H$5:$H$804,'成交明细'!$A$5:$A$804,A167,'成交明细'!$D$5:$D$804,"买"))*1/L167,"")</f>
        <v/>
      </c>
      <c r="AG167" s="45" t="str">
        <f>IF(AND(Y167="已平仓",ISNUMBER(L167)),AE167/L167,"")</f>
        <v/>
      </c>
      <c r="AH167" s="46" t="str">
        <f>IF(AND(ISNUMBER(V167),ISNUMBER(F167)),IF(E167="空",F167-V167,V167-F167),"")</f>
        <v/>
      </c>
      <c r="AI167" s="46" t="str">
        <f>IF(OR(NOT(ISNUMBER(AE167)),NOT(ISNUMBER(X167))),"",IF(AE167&lt;0,IF(E167="空",X167-G167,G167-X167),IF(NOT(ISNUMBER(H167)),"",IF(E167="空",X167-H167,H167-X167))))</f>
        <v/>
      </c>
      <c r="AJ167" s="32" t="n"/>
      <c r="AK167" s="32" t="n"/>
      <c r="AL167" s="31" t="n"/>
      <c r="AM167" s="45" t="str">
        <f>IF(A167="","",SUM(AG$5:AG167))</f>
        <v/>
      </c>
      <c r="AN167" s="37" t="str">
        <f>IF(A167="","",MAX(0,MAX(AM$5:AM167))-AM167)</f>
        <v/>
      </c>
    </row>
    <row r="168">
      <c r="A168" s="29" t="n"/>
      <c r="B168" s="30" t="n"/>
      <c r="C168" s="31" t="n"/>
      <c r="D168" s="32" t="n"/>
      <c r="E168" s="32" t="n"/>
      <c r="F168" s="33" t="n"/>
      <c r="G168" s="33" t="n"/>
      <c r="H168" s="33" t="n"/>
      <c r="I168" s="34" t="str">
        <f>IF(AND(ISNUMBER(F168),ISNUMBER(G168),ISNUMBER(H168)),IF(OR(AND(E168="多",F168&gt;G168),AND(E168="空",F168&lt;G168)),ABS(H168-F168)/ABS(F168-G168),"止损方向不对"),"")</f>
        <v/>
      </c>
      <c r="J168" s="35" t="str">
        <f>IF(AND(ISNUMBER(F168),ISNUMBER(G168)),IF(F168=G168,"",IF(INT(ROUND('参数'!$C$7/(ABS(F168-G168)*1+2*'参数'!$C$11+N('参数'!$C$14)*F168+N('参数'!$C$15))/1,6))*1&gt;0,INT(ROUND('参数'!$C$7/(ABS(F168-G168)*1+2*'参数'!$C$11+N('参数'!$C$14)*F168+N('参数'!$C$15))/1,6))*1,"预算不足，这笔不做")),"")</f>
        <v/>
      </c>
      <c r="K168" s="36" t="n"/>
      <c r="L168" s="20" t="str">
        <f>IF(AND(ISNUMBER(F168),ISNUMBER(G168),ISNUMBER(K168)),IF(AND(F168&lt;&gt;G168,K168&gt;0),ABS(F168-G168)*K168*1,""),"")</f>
        <v/>
      </c>
      <c r="M168" s="30" t="n"/>
      <c r="N168" s="37" t="str">
        <f>IF(AND(ISNUMBER(L168),ISNUMBER(M168)),IF(E168="空",(G168*(1+'参数'!$C$17)-F168),(F168-G168*(1-'参数'!$C$17)))*K168/L168,"")</f>
        <v/>
      </c>
      <c r="O168" s="38" t="n"/>
      <c r="P168" s="31" t="n"/>
      <c r="Q168" s="32" t="n"/>
      <c r="R168" s="39" t="str">
        <f>IF(N(U168)&gt;0,SUMPRODUCT(LARGE(('成交明细'!$A$5:$A$804=A168)*('成交明细'!$D$5:$D$804=IF(E168="空","卖","买"))*'成交明细'!$B$5:$B$804,COUNTIFS('成交明细'!$A$5:$A$804,A168,'成交明细'!$D$5:$D$804,IF(E168="空","卖","买")))),"")</f>
        <v/>
      </c>
      <c r="S168" s="39" t="str">
        <f>IF(AND(N(U168)&gt;0,N(W168)&gt;=N(U168)),SUMPRODUCT(MAX(('成交明细'!$A$5:$A$804=A168)*('成交明细'!$D$5:$D$804=IF(E168="空","买","卖"))*'成交明细'!$B$5:$B$804)),"")</f>
        <v/>
      </c>
      <c r="T168" s="32" t="n"/>
      <c r="U168" s="35" t="str">
        <f>IF(A168="","",SUMIFS('成交明细'!$F$5:$F$804,'成交明细'!$A$5:$A$804,A168,'成交明细'!$D$5:$D$804,IF(E168="空","卖","买")))</f>
        <v/>
      </c>
      <c r="V168" s="40" t="str">
        <f>IF(N(U168)&gt;0,SUMIFS('成交明细'!$H$5:$H$804,'成交明细'!$A$5:$A$804,A168,'成交明细'!$D$5:$D$804,IF(E168="空","卖","买"))/U168,"")</f>
        <v/>
      </c>
      <c r="W168" s="35" t="str">
        <f>IF(A168="","",SUMIFS('成交明细'!$F$5:$F$804,'成交明细'!$A$5:$A$804,A168,'成交明细'!$D$5:$D$804,IF(E168="空","买","卖")))</f>
        <v/>
      </c>
      <c r="X168" s="40" t="str">
        <f>IF(N(W168)&gt;0,SUMIFS('成交明细'!$H$5:$H$804,'成交明细'!$A$5:$A$804,A168,'成交明细'!$D$5:$D$804,IF(E168="空","买","卖"))/W168,"")</f>
        <v/>
      </c>
      <c r="Y168" s="41" t="str">
        <f>IF(A168="","",IF(Q168&lt;&gt;"已执行",IF(Q168="","未填执行情况",Q168),IF(N(U168)=0,"待录成交",IF(N(W168)&gt;N(U168),"平仓多于开仓",IF(N(W168)&lt;N(U168),"持仓中","已平仓")))))</f>
        <v/>
      </c>
      <c r="Z168" s="41" t="str">
        <f>IF(AND(ISNUMBER(R168),ISNUMBER(S168)),IF(R168=S168,"日内",""),"")</f>
        <v/>
      </c>
      <c r="AA168" s="42" t="str">
        <f>IF(Z168&lt;&gt;"日内","",COUNTIFS($Z$5:$Z$304,"日内",$S$5:$S$304,"&gt;"&amp;WORKDAY(S168,-5),$S$5:$S$304,"&lt;="&amp;S168))</f>
        <v/>
      </c>
      <c r="AB168" s="41" t="str">
        <f>IF(OR(NOT(ISNUMBER(M168)),NOT(ISNUMBER(R168))),"",IF(AND(M168&gt;=R168,OR(NOT(ISNUMBER(S168)),M168&lt;=S168)),"持仓跨财报",""))</f>
        <v/>
      </c>
      <c r="AC168" s="20">
        <f>IF(AND(E168="空",ISNUMBER(O168),ISNUMBER(S168)),ROUND(O168*(S168-R168)/360*V168*U168,2),0)</f>
        <v>0</v>
      </c>
      <c r="AD168" s="43" t="str">
        <f>IF(N(U168)=0,"",SUMIFS('成交明细'!$L$5:$L$804,'成交明细'!$A$5:$A$804,A168)+AC168)</f>
        <v/>
      </c>
      <c r="AE168" s="44" t="str">
        <f>IF(Y168&lt;&gt;"已平仓","",(SUMIFS('成交明细'!$H$5:$H$804,'成交明细'!$A$5:$A$804,A168,'成交明细'!$D$5:$D$804,"卖")-SUMIFS('成交明细'!$H$5:$H$804,'成交明细'!$A$5:$A$804,A168,'成交明细'!$D$5:$D$804,"买"))*1-AD168)</f>
        <v/>
      </c>
      <c r="AF168" s="45" t="str">
        <f>IF(AND(Y168="已平仓",ISNUMBER(L168)),(SUMIFS('成交明细'!$H$5:$H$804,'成交明细'!$A$5:$A$804,A168,'成交明细'!$D$5:$D$804,"卖")-SUMIFS('成交明细'!$H$5:$H$804,'成交明细'!$A$5:$A$804,A168,'成交明细'!$D$5:$D$804,"买"))*1/L168,"")</f>
        <v/>
      </c>
      <c r="AG168" s="45" t="str">
        <f>IF(AND(Y168="已平仓",ISNUMBER(L168)),AE168/L168,"")</f>
        <v/>
      </c>
      <c r="AH168" s="46" t="str">
        <f>IF(AND(ISNUMBER(V168),ISNUMBER(F168)),IF(E168="空",F168-V168,V168-F168),"")</f>
        <v/>
      </c>
      <c r="AI168" s="46" t="str">
        <f>IF(OR(NOT(ISNUMBER(AE168)),NOT(ISNUMBER(X168))),"",IF(AE168&lt;0,IF(E168="空",X168-G168,G168-X168),IF(NOT(ISNUMBER(H168)),"",IF(E168="空",X168-H168,H168-X168))))</f>
        <v/>
      </c>
      <c r="AJ168" s="32" t="n"/>
      <c r="AK168" s="32" t="n"/>
      <c r="AL168" s="31" t="n"/>
      <c r="AM168" s="45" t="str">
        <f>IF(A168="","",SUM(AG$5:AG168))</f>
        <v/>
      </c>
      <c r="AN168" s="37" t="str">
        <f>IF(A168="","",MAX(0,MAX(AM$5:AM168))-AM168)</f>
        <v/>
      </c>
    </row>
    <row r="169">
      <c r="A169" s="29" t="n"/>
      <c r="B169" s="30" t="n"/>
      <c r="C169" s="31" t="n"/>
      <c r="D169" s="32" t="n"/>
      <c r="E169" s="32" t="n"/>
      <c r="F169" s="33" t="n"/>
      <c r="G169" s="33" t="n"/>
      <c r="H169" s="33" t="n"/>
      <c r="I169" s="34" t="str">
        <f>IF(AND(ISNUMBER(F169),ISNUMBER(G169),ISNUMBER(H169)),IF(OR(AND(E169="多",F169&gt;G169),AND(E169="空",F169&lt;G169)),ABS(H169-F169)/ABS(F169-G169),"止损方向不对"),"")</f>
        <v/>
      </c>
      <c r="J169" s="35" t="str">
        <f>IF(AND(ISNUMBER(F169),ISNUMBER(G169)),IF(F169=G169,"",IF(INT(ROUND('参数'!$C$7/(ABS(F169-G169)*1+2*'参数'!$C$11+N('参数'!$C$14)*F169+N('参数'!$C$15))/1,6))*1&gt;0,INT(ROUND('参数'!$C$7/(ABS(F169-G169)*1+2*'参数'!$C$11+N('参数'!$C$14)*F169+N('参数'!$C$15))/1,6))*1,"预算不足，这笔不做")),"")</f>
        <v/>
      </c>
      <c r="K169" s="36" t="n"/>
      <c r="L169" s="20" t="str">
        <f>IF(AND(ISNUMBER(F169),ISNUMBER(G169),ISNUMBER(K169)),IF(AND(F169&lt;&gt;G169,K169&gt;0),ABS(F169-G169)*K169*1,""),"")</f>
        <v/>
      </c>
      <c r="M169" s="30" t="n"/>
      <c r="N169" s="37" t="str">
        <f>IF(AND(ISNUMBER(L169),ISNUMBER(M169)),IF(E169="空",(G169*(1+'参数'!$C$17)-F169),(F169-G169*(1-'参数'!$C$17)))*K169/L169,"")</f>
        <v/>
      </c>
      <c r="O169" s="38" t="n"/>
      <c r="P169" s="31" t="n"/>
      <c r="Q169" s="32" t="n"/>
      <c r="R169" s="39" t="str">
        <f>IF(N(U169)&gt;0,SUMPRODUCT(LARGE(('成交明细'!$A$5:$A$804=A169)*('成交明细'!$D$5:$D$804=IF(E169="空","卖","买"))*'成交明细'!$B$5:$B$804,COUNTIFS('成交明细'!$A$5:$A$804,A169,'成交明细'!$D$5:$D$804,IF(E169="空","卖","买")))),"")</f>
        <v/>
      </c>
      <c r="S169" s="39" t="str">
        <f>IF(AND(N(U169)&gt;0,N(W169)&gt;=N(U169)),SUMPRODUCT(MAX(('成交明细'!$A$5:$A$804=A169)*('成交明细'!$D$5:$D$804=IF(E169="空","买","卖"))*'成交明细'!$B$5:$B$804)),"")</f>
        <v/>
      </c>
      <c r="T169" s="32" t="n"/>
      <c r="U169" s="35" t="str">
        <f>IF(A169="","",SUMIFS('成交明细'!$F$5:$F$804,'成交明细'!$A$5:$A$804,A169,'成交明细'!$D$5:$D$804,IF(E169="空","卖","买")))</f>
        <v/>
      </c>
      <c r="V169" s="40" t="str">
        <f>IF(N(U169)&gt;0,SUMIFS('成交明细'!$H$5:$H$804,'成交明细'!$A$5:$A$804,A169,'成交明细'!$D$5:$D$804,IF(E169="空","卖","买"))/U169,"")</f>
        <v/>
      </c>
      <c r="W169" s="35" t="str">
        <f>IF(A169="","",SUMIFS('成交明细'!$F$5:$F$804,'成交明细'!$A$5:$A$804,A169,'成交明细'!$D$5:$D$804,IF(E169="空","买","卖")))</f>
        <v/>
      </c>
      <c r="X169" s="40" t="str">
        <f>IF(N(W169)&gt;0,SUMIFS('成交明细'!$H$5:$H$804,'成交明细'!$A$5:$A$804,A169,'成交明细'!$D$5:$D$804,IF(E169="空","买","卖"))/W169,"")</f>
        <v/>
      </c>
      <c r="Y169" s="41" t="str">
        <f>IF(A169="","",IF(Q169&lt;&gt;"已执行",IF(Q169="","未填执行情况",Q169),IF(N(U169)=0,"待录成交",IF(N(W169)&gt;N(U169),"平仓多于开仓",IF(N(W169)&lt;N(U169),"持仓中","已平仓")))))</f>
        <v/>
      </c>
      <c r="Z169" s="41" t="str">
        <f>IF(AND(ISNUMBER(R169),ISNUMBER(S169)),IF(R169=S169,"日内",""),"")</f>
        <v/>
      </c>
      <c r="AA169" s="42" t="str">
        <f>IF(Z169&lt;&gt;"日内","",COUNTIFS($Z$5:$Z$304,"日内",$S$5:$S$304,"&gt;"&amp;WORKDAY(S169,-5),$S$5:$S$304,"&lt;="&amp;S169))</f>
        <v/>
      </c>
      <c r="AB169" s="41" t="str">
        <f>IF(OR(NOT(ISNUMBER(M169)),NOT(ISNUMBER(R169))),"",IF(AND(M169&gt;=R169,OR(NOT(ISNUMBER(S169)),M169&lt;=S169)),"持仓跨财报",""))</f>
        <v/>
      </c>
      <c r="AC169" s="20">
        <f>IF(AND(E169="空",ISNUMBER(O169),ISNUMBER(S169)),ROUND(O169*(S169-R169)/360*V169*U169,2),0)</f>
        <v>0</v>
      </c>
      <c r="AD169" s="43" t="str">
        <f>IF(N(U169)=0,"",SUMIFS('成交明细'!$L$5:$L$804,'成交明细'!$A$5:$A$804,A169)+AC169)</f>
        <v/>
      </c>
      <c r="AE169" s="44" t="str">
        <f>IF(Y169&lt;&gt;"已平仓","",(SUMIFS('成交明细'!$H$5:$H$804,'成交明细'!$A$5:$A$804,A169,'成交明细'!$D$5:$D$804,"卖")-SUMIFS('成交明细'!$H$5:$H$804,'成交明细'!$A$5:$A$804,A169,'成交明细'!$D$5:$D$804,"买"))*1-AD169)</f>
        <v/>
      </c>
      <c r="AF169" s="45" t="str">
        <f>IF(AND(Y169="已平仓",ISNUMBER(L169)),(SUMIFS('成交明细'!$H$5:$H$804,'成交明细'!$A$5:$A$804,A169,'成交明细'!$D$5:$D$804,"卖")-SUMIFS('成交明细'!$H$5:$H$804,'成交明细'!$A$5:$A$804,A169,'成交明细'!$D$5:$D$804,"买"))*1/L169,"")</f>
        <v/>
      </c>
      <c r="AG169" s="45" t="str">
        <f>IF(AND(Y169="已平仓",ISNUMBER(L169)),AE169/L169,"")</f>
        <v/>
      </c>
      <c r="AH169" s="46" t="str">
        <f>IF(AND(ISNUMBER(V169),ISNUMBER(F169)),IF(E169="空",F169-V169,V169-F169),"")</f>
        <v/>
      </c>
      <c r="AI169" s="46" t="str">
        <f>IF(OR(NOT(ISNUMBER(AE169)),NOT(ISNUMBER(X169))),"",IF(AE169&lt;0,IF(E169="空",X169-G169,G169-X169),IF(NOT(ISNUMBER(H169)),"",IF(E169="空",X169-H169,H169-X169))))</f>
        <v/>
      </c>
      <c r="AJ169" s="32" t="n"/>
      <c r="AK169" s="32" t="n"/>
      <c r="AL169" s="31" t="n"/>
      <c r="AM169" s="45" t="str">
        <f>IF(A169="","",SUM(AG$5:AG169))</f>
        <v/>
      </c>
      <c r="AN169" s="37" t="str">
        <f>IF(A169="","",MAX(0,MAX(AM$5:AM169))-AM169)</f>
        <v/>
      </c>
    </row>
    <row r="170">
      <c r="A170" s="29" t="n"/>
      <c r="B170" s="30" t="n"/>
      <c r="C170" s="31" t="n"/>
      <c r="D170" s="32" t="n"/>
      <c r="E170" s="32" t="n"/>
      <c r="F170" s="33" t="n"/>
      <c r="G170" s="33" t="n"/>
      <c r="H170" s="33" t="n"/>
      <c r="I170" s="34" t="str">
        <f>IF(AND(ISNUMBER(F170),ISNUMBER(G170),ISNUMBER(H170)),IF(OR(AND(E170="多",F170&gt;G170),AND(E170="空",F170&lt;G170)),ABS(H170-F170)/ABS(F170-G170),"止损方向不对"),"")</f>
        <v/>
      </c>
      <c r="J170" s="35" t="str">
        <f>IF(AND(ISNUMBER(F170),ISNUMBER(G170)),IF(F170=G170,"",IF(INT(ROUND('参数'!$C$7/(ABS(F170-G170)*1+2*'参数'!$C$11+N('参数'!$C$14)*F170+N('参数'!$C$15))/1,6))*1&gt;0,INT(ROUND('参数'!$C$7/(ABS(F170-G170)*1+2*'参数'!$C$11+N('参数'!$C$14)*F170+N('参数'!$C$15))/1,6))*1,"预算不足，这笔不做")),"")</f>
        <v/>
      </c>
      <c r="K170" s="36" t="n"/>
      <c r="L170" s="20" t="str">
        <f>IF(AND(ISNUMBER(F170),ISNUMBER(G170),ISNUMBER(K170)),IF(AND(F170&lt;&gt;G170,K170&gt;0),ABS(F170-G170)*K170*1,""),"")</f>
        <v/>
      </c>
      <c r="M170" s="30" t="n"/>
      <c r="N170" s="37" t="str">
        <f>IF(AND(ISNUMBER(L170),ISNUMBER(M170)),IF(E170="空",(G170*(1+'参数'!$C$17)-F170),(F170-G170*(1-'参数'!$C$17)))*K170/L170,"")</f>
        <v/>
      </c>
      <c r="O170" s="38" t="n"/>
      <c r="P170" s="31" t="n"/>
      <c r="Q170" s="32" t="n"/>
      <c r="R170" s="39" t="str">
        <f>IF(N(U170)&gt;0,SUMPRODUCT(LARGE(('成交明细'!$A$5:$A$804=A170)*('成交明细'!$D$5:$D$804=IF(E170="空","卖","买"))*'成交明细'!$B$5:$B$804,COUNTIFS('成交明细'!$A$5:$A$804,A170,'成交明细'!$D$5:$D$804,IF(E170="空","卖","买")))),"")</f>
        <v/>
      </c>
      <c r="S170" s="39" t="str">
        <f>IF(AND(N(U170)&gt;0,N(W170)&gt;=N(U170)),SUMPRODUCT(MAX(('成交明细'!$A$5:$A$804=A170)*('成交明细'!$D$5:$D$804=IF(E170="空","买","卖"))*'成交明细'!$B$5:$B$804)),"")</f>
        <v/>
      </c>
      <c r="T170" s="32" t="n"/>
      <c r="U170" s="35" t="str">
        <f>IF(A170="","",SUMIFS('成交明细'!$F$5:$F$804,'成交明细'!$A$5:$A$804,A170,'成交明细'!$D$5:$D$804,IF(E170="空","卖","买")))</f>
        <v/>
      </c>
      <c r="V170" s="40" t="str">
        <f>IF(N(U170)&gt;0,SUMIFS('成交明细'!$H$5:$H$804,'成交明细'!$A$5:$A$804,A170,'成交明细'!$D$5:$D$804,IF(E170="空","卖","买"))/U170,"")</f>
        <v/>
      </c>
      <c r="W170" s="35" t="str">
        <f>IF(A170="","",SUMIFS('成交明细'!$F$5:$F$804,'成交明细'!$A$5:$A$804,A170,'成交明细'!$D$5:$D$804,IF(E170="空","买","卖")))</f>
        <v/>
      </c>
      <c r="X170" s="40" t="str">
        <f>IF(N(W170)&gt;0,SUMIFS('成交明细'!$H$5:$H$804,'成交明细'!$A$5:$A$804,A170,'成交明细'!$D$5:$D$804,IF(E170="空","买","卖"))/W170,"")</f>
        <v/>
      </c>
      <c r="Y170" s="41" t="str">
        <f>IF(A170="","",IF(Q170&lt;&gt;"已执行",IF(Q170="","未填执行情况",Q170),IF(N(U170)=0,"待录成交",IF(N(W170)&gt;N(U170),"平仓多于开仓",IF(N(W170)&lt;N(U170),"持仓中","已平仓")))))</f>
        <v/>
      </c>
      <c r="Z170" s="41" t="str">
        <f>IF(AND(ISNUMBER(R170),ISNUMBER(S170)),IF(R170=S170,"日内",""),"")</f>
        <v/>
      </c>
      <c r="AA170" s="42" t="str">
        <f>IF(Z170&lt;&gt;"日内","",COUNTIFS($Z$5:$Z$304,"日内",$S$5:$S$304,"&gt;"&amp;WORKDAY(S170,-5),$S$5:$S$304,"&lt;="&amp;S170))</f>
        <v/>
      </c>
      <c r="AB170" s="41" t="str">
        <f>IF(OR(NOT(ISNUMBER(M170)),NOT(ISNUMBER(R170))),"",IF(AND(M170&gt;=R170,OR(NOT(ISNUMBER(S170)),M170&lt;=S170)),"持仓跨财报",""))</f>
        <v/>
      </c>
      <c r="AC170" s="20">
        <f>IF(AND(E170="空",ISNUMBER(O170),ISNUMBER(S170)),ROUND(O170*(S170-R170)/360*V170*U170,2),0)</f>
        <v>0</v>
      </c>
      <c r="AD170" s="43" t="str">
        <f>IF(N(U170)=0,"",SUMIFS('成交明细'!$L$5:$L$804,'成交明细'!$A$5:$A$804,A170)+AC170)</f>
        <v/>
      </c>
      <c r="AE170" s="44" t="str">
        <f>IF(Y170&lt;&gt;"已平仓","",(SUMIFS('成交明细'!$H$5:$H$804,'成交明细'!$A$5:$A$804,A170,'成交明细'!$D$5:$D$804,"卖")-SUMIFS('成交明细'!$H$5:$H$804,'成交明细'!$A$5:$A$804,A170,'成交明细'!$D$5:$D$804,"买"))*1-AD170)</f>
        <v/>
      </c>
      <c r="AF170" s="45" t="str">
        <f>IF(AND(Y170="已平仓",ISNUMBER(L170)),(SUMIFS('成交明细'!$H$5:$H$804,'成交明细'!$A$5:$A$804,A170,'成交明细'!$D$5:$D$804,"卖")-SUMIFS('成交明细'!$H$5:$H$804,'成交明细'!$A$5:$A$804,A170,'成交明细'!$D$5:$D$804,"买"))*1/L170,"")</f>
        <v/>
      </c>
      <c r="AG170" s="45" t="str">
        <f>IF(AND(Y170="已平仓",ISNUMBER(L170)),AE170/L170,"")</f>
        <v/>
      </c>
      <c r="AH170" s="46" t="str">
        <f>IF(AND(ISNUMBER(V170),ISNUMBER(F170)),IF(E170="空",F170-V170,V170-F170),"")</f>
        <v/>
      </c>
      <c r="AI170" s="46" t="str">
        <f>IF(OR(NOT(ISNUMBER(AE170)),NOT(ISNUMBER(X170))),"",IF(AE170&lt;0,IF(E170="空",X170-G170,G170-X170),IF(NOT(ISNUMBER(H170)),"",IF(E170="空",X170-H170,H170-X170))))</f>
        <v/>
      </c>
      <c r="AJ170" s="32" t="n"/>
      <c r="AK170" s="32" t="n"/>
      <c r="AL170" s="31" t="n"/>
      <c r="AM170" s="45" t="str">
        <f>IF(A170="","",SUM(AG$5:AG170))</f>
        <v/>
      </c>
      <c r="AN170" s="37" t="str">
        <f>IF(A170="","",MAX(0,MAX(AM$5:AM170))-AM170)</f>
        <v/>
      </c>
    </row>
    <row r="171">
      <c r="A171" s="29" t="n"/>
      <c r="B171" s="30" t="n"/>
      <c r="C171" s="31" t="n"/>
      <c r="D171" s="32" t="n"/>
      <c r="E171" s="32" t="n"/>
      <c r="F171" s="33" t="n"/>
      <c r="G171" s="33" t="n"/>
      <c r="H171" s="33" t="n"/>
      <c r="I171" s="34" t="str">
        <f>IF(AND(ISNUMBER(F171),ISNUMBER(G171),ISNUMBER(H171)),IF(OR(AND(E171="多",F171&gt;G171),AND(E171="空",F171&lt;G171)),ABS(H171-F171)/ABS(F171-G171),"止损方向不对"),"")</f>
        <v/>
      </c>
      <c r="J171" s="35" t="str">
        <f>IF(AND(ISNUMBER(F171),ISNUMBER(G171)),IF(F171=G171,"",IF(INT(ROUND('参数'!$C$7/(ABS(F171-G171)*1+2*'参数'!$C$11+N('参数'!$C$14)*F171+N('参数'!$C$15))/1,6))*1&gt;0,INT(ROUND('参数'!$C$7/(ABS(F171-G171)*1+2*'参数'!$C$11+N('参数'!$C$14)*F171+N('参数'!$C$15))/1,6))*1,"预算不足，这笔不做")),"")</f>
        <v/>
      </c>
      <c r="K171" s="36" t="n"/>
      <c r="L171" s="20" t="str">
        <f>IF(AND(ISNUMBER(F171),ISNUMBER(G171),ISNUMBER(K171)),IF(AND(F171&lt;&gt;G171,K171&gt;0),ABS(F171-G171)*K171*1,""),"")</f>
        <v/>
      </c>
      <c r="M171" s="30" t="n"/>
      <c r="N171" s="37" t="str">
        <f>IF(AND(ISNUMBER(L171),ISNUMBER(M171)),IF(E171="空",(G171*(1+'参数'!$C$17)-F171),(F171-G171*(1-'参数'!$C$17)))*K171/L171,"")</f>
        <v/>
      </c>
      <c r="O171" s="38" t="n"/>
      <c r="P171" s="31" t="n"/>
      <c r="Q171" s="32" t="n"/>
      <c r="R171" s="39" t="str">
        <f>IF(N(U171)&gt;0,SUMPRODUCT(LARGE(('成交明细'!$A$5:$A$804=A171)*('成交明细'!$D$5:$D$804=IF(E171="空","卖","买"))*'成交明细'!$B$5:$B$804,COUNTIFS('成交明细'!$A$5:$A$804,A171,'成交明细'!$D$5:$D$804,IF(E171="空","卖","买")))),"")</f>
        <v/>
      </c>
      <c r="S171" s="39" t="str">
        <f>IF(AND(N(U171)&gt;0,N(W171)&gt;=N(U171)),SUMPRODUCT(MAX(('成交明细'!$A$5:$A$804=A171)*('成交明细'!$D$5:$D$804=IF(E171="空","买","卖"))*'成交明细'!$B$5:$B$804)),"")</f>
        <v/>
      </c>
      <c r="T171" s="32" t="n"/>
      <c r="U171" s="35" t="str">
        <f>IF(A171="","",SUMIFS('成交明细'!$F$5:$F$804,'成交明细'!$A$5:$A$804,A171,'成交明细'!$D$5:$D$804,IF(E171="空","卖","买")))</f>
        <v/>
      </c>
      <c r="V171" s="40" t="str">
        <f>IF(N(U171)&gt;0,SUMIFS('成交明细'!$H$5:$H$804,'成交明细'!$A$5:$A$804,A171,'成交明细'!$D$5:$D$804,IF(E171="空","卖","买"))/U171,"")</f>
        <v/>
      </c>
      <c r="W171" s="35" t="str">
        <f>IF(A171="","",SUMIFS('成交明细'!$F$5:$F$804,'成交明细'!$A$5:$A$804,A171,'成交明细'!$D$5:$D$804,IF(E171="空","买","卖")))</f>
        <v/>
      </c>
      <c r="X171" s="40" t="str">
        <f>IF(N(W171)&gt;0,SUMIFS('成交明细'!$H$5:$H$804,'成交明细'!$A$5:$A$804,A171,'成交明细'!$D$5:$D$804,IF(E171="空","买","卖"))/W171,"")</f>
        <v/>
      </c>
      <c r="Y171" s="41" t="str">
        <f>IF(A171="","",IF(Q171&lt;&gt;"已执行",IF(Q171="","未填执行情况",Q171),IF(N(U171)=0,"待录成交",IF(N(W171)&gt;N(U171),"平仓多于开仓",IF(N(W171)&lt;N(U171),"持仓中","已平仓")))))</f>
        <v/>
      </c>
      <c r="Z171" s="41" t="str">
        <f>IF(AND(ISNUMBER(R171),ISNUMBER(S171)),IF(R171=S171,"日内",""),"")</f>
        <v/>
      </c>
      <c r="AA171" s="42" t="str">
        <f>IF(Z171&lt;&gt;"日内","",COUNTIFS($Z$5:$Z$304,"日内",$S$5:$S$304,"&gt;"&amp;WORKDAY(S171,-5),$S$5:$S$304,"&lt;="&amp;S171))</f>
        <v/>
      </c>
      <c r="AB171" s="41" t="str">
        <f>IF(OR(NOT(ISNUMBER(M171)),NOT(ISNUMBER(R171))),"",IF(AND(M171&gt;=R171,OR(NOT(ISNUMBER(S171)),M171&lt;=S171)),"持仓跨财报",""))</f>
        <v/>
      </c>
      <c r="AC171" s="20">
        <f>IF(AND(E171="空",ISNUMBER(O171),ISNUMBER(S171)),ROUND(O171*(S171-R171)/360*V171*U171,2),0)</f>
        <v>0</v>
      </c>
      <c r="AD171" s="43" t="str">
        <f>IF(N(U171)=0,"",SUMIFS('成交明细'!$L$5:$L$804,'成交明细'!$A$5:$A$804,A171)+AC171)</f>
        <v/>
      </c>
      <c r="AE171" s="44" t="str">
        <f>IF(Y171&lt;&gt;"已平仓","",(SUMIFS('成交明细'!$H$5:$H$804,'成交明细'!$A$5:$A$804,A171,'成交明细'!$D$5:$D$804,"卖")-SUMIFS('成交明细'!$H$5:$H$804,'成交明细'!$A$5:$A$804,A171,'成交明细'!$D$5:$D$804,"买"))*1-AD171)</f>
        <v/>
      </c>
      <c r="AF171" s="45" t="str">
        <f>IF(AND(Y171="已平仓",ISNUMBER(L171)),(SUMIFS('成交明细'!$H$5:$H$804,'成交明细'!$A$5:$A$804,A171,'成交明细'!$D$5:$D$804,"卖")-SUMIFS('成交明细'!$H$5:$H$804,'成交明细'!$A$5:$A$804,A171,'成交明细'!$D$5:$D$804,"买"))*1/L171,"")</f>
        <v/>
      </c>
      <c r="AG171" s="45" t="str">
        <f>IF(AND(Y171="已平仓",ISNUMBER(L171)),AE171/L171,"")</f>
        <v/>
      </c>
      <c r="AH171" s="46" t="str">
        <f>IF(AND(ISNUMBER(V171),ISNUMBER(F171)),IF(E171="空",F171-V171,V171-F171),"")</f>
        <v/>
      </c>
      <c r="AI171" s="46" t="str">
        <f>IF(OR(NOT(ISNUMBER(AE171)),NOT(ISNUMBER(X171))),"",IF(AE171&lt;0,IF(E171="空",X171-G171,G171-X171),IF(NOT(ISNUMBER(H171)),"",IF(E171="空",X171-H171,H171-X171))))</f>
        <v/>
      </c>
      <c r="AJ171" s="32" t="n"/>
      <c r="AK171" s="32" t="n"/>
      <c r="AL171" s="31" t="n"/>
      <c r="AM171" s="45" t="str">
        <f>IF(A171="","",SUM(AG$5:AG171))</f>
        <v/>
      </c>
      <c r="AN171" s="37" t="str">
        <f>IF(A171="","",MAX(0,MAX(AM$5:AM171))-AM171)</f>
        <v/>
      </c>
    </row>
    <row r="172">
      <c r="A172" s="29" t="n"/>
      <c r="B172" s="30" t="n"/>
      <c r="C172" s="31" t="n"/>
      <c r="D172" s="32" t="n"/>
      <c r="E172" s="32" t="n"/>
      <c r="F172" s="33" t="n"/>
      <c r="G172" s="33" t="n"/>
      <c r="H172" s="33" t="n"/>
      <c r="I172" s="34" t="str">
        <f>IF(AND(ISNUMBER(F172),ISNUMBER(G172),ISNUMBER(H172)),IF(OR(AND(E172="多",F172&gt;G172),AND(E172="空",F172&lt;G172)),ABS(H172-F172)/ABS(F172-G172),"止损方向不对"),"")</f>
        <v/>
      </c>
      <c r="J172" s="35" t="str">
        <f>IF(AND(ISNUMBER(F172),ISNUMBER(G172)),IF(F172=G172,"",IF(INT(ROUND('参数'!$C$7/(ABS(F172-G172)*1+2*'参数'!$C$11+N('参数'!$C$14)*F172+N('参数'!$C$15))/1,6))*1&gt;0,INT(ROUND('参数'!$C$7/(ABS(F172-G172)*1+2*'参数'!$C$11+N('参数'!$C$14)*F172+N('参数'!$C$15))/1,6))*1,"预算不足，这笔不做")),"")</f>
        <v/>
      </c>
      <c r="K172" s="36" t="n"/>
      <c r="L172" s="20" t="str">
        <f>IF(AND(ISNUMBER(F172),ISNUMBER(G172),ISNUMBER(K172)),IF(AND(F172&lt;&gt;G172,K172&gt;0),ABS(F172-G172)*K172*1,""),"")</f>
        <v/>
      </c>
      <c r="M172" s="30" t="n"/>
      <c r="N172" s="37" t="str">
        <f>IF(AND(ISNUMBER(L172),ISNUMBER(M172)),IF(E172="空",(G172*(1+'参数'!$C$17)-F172),(F172-G172*(1-'参数'!$C$17)))*K172/L172,"")</f>
        <v/>
      </c>
      <c r="O172" s="38" t="n"/>
      <c r="P172" s="31" t="n"/>
      <c r="Q172" s="32" t="n"/>
      <c r="R172" s="39" t="str">
        <f>IF(N(U172)&gt;0,SUMPRODUCT(LARGE(('成交明细'!$A$5:$A$804=A172)*('成交明细'!$D$5:$D$804=IF(E172="空","卖","买"))*'成交明细'!$B$5:$B$804,COUNTIFS('成交明细'!$A$5:$A$804,A172,'成交明细'!$D$5:$D$804,IF(E172="空","卖","买")))),"")</f>
        <v/>
      </c>
      <c r="S172" s="39" t="str">
        <f>IF(AND(N(U172)&gt;0,N(W172)&gt;=N(U172)),SUMPRODUCT(MAX(('成交明细'!$A$5:$A$804=A172)*('成交明细'!$D$5:$D$804=IF(E172="空","买","卖"))*'成交明细'!$B$5:$B$804)),"")</f>
        <v/>
      </c>
      <c r="T172" s="32" t="n"/>
      <c r="U172" s="35" t="str">
        <f>IF(A172="","",SUMIFS('成交明细'!$F$5:$F$804,'成交明细'!$A$5:$A$804,A172,'成交明细'!$D$5:$D$804,IF(E172="空","卖","买")))</f>
        <v/>
      </c>
      <c r="V172" s="40" t="str">
        <f>IF(N(U172)&gt;0,SUMIFS('成交明细'!$H$5:$H$804,'成交明细'!$A$5:$A$804,A172,'成交明细'!$D$5:$D$804,IF(E172="空","卖","买"))/U172,"")</f>
        <v/>
      </c>
      <c r="W172" s="35" t="str">
        <f>IF(A172="","",SUMIFS('成交明细'!$F$5:$F$804,'成交明细'!$A$5:$A$804,A172,'成交明细'!$D$5:$D$804,IF(E172="空","买","卖")))</f>
        <v/>
      </c>
      <c r="X172" s="40" t="str">
        <f>IF(N(W172)&gt;0,SUMIFS('成交明细'!$H$5:$H$804,'成交明细'!$A$5:$A$804,A172,'成交明细'!$D$5:$D$804,IF(E172="空","买","卖"))/W172,"")</f>
        <v/>
      </c>
      <c r="Y172" s="41" t="str">
        <f>IF(A172="","",IF(Q172&lt;&gt;"已执行",IF(Q172="","未填执行情况",Q172),IF(N(U172)=0,"待录成交",IF(N(W172)&gt;N(U172),"平仓多于开仓",IF(N(W172)&lt;N(U172),"持仓中","已平仓")))))</f>
        <v/>
      </c>
      <c r="Z172" s="41" t="str">
        <f>IF(AND(ISNUMBER(R172),ISNUMBER(S172)),IF(R172=S172,"日内",""),"")</f>
        <v/>
      </c>
      <c r="AA172" s="42" t="str">
        <f>IF(Z172&lt;&gt;"日内","",COUNTIFS($Z$5:$Z$304,"日内",$S$5:$S$304,"&gt;"&amp;WORKDAY(S172,-5),$S$5:$S$304,"&lt;="&amp;S172))</f>
        <v/>
      </c>
      <c r="AB172" s="41" t="str">
        <f>IF(OR(NOT(ISNUMBER(M172)),NOT(ISNUMBER(R172))),"",IF(AND(M172&gt;=R172,OR(NOT(ISNUMBER(S172)),M172&lt;=S172)),"持仓跨财报",""))</f>
        <v/>
      </c>
      <c r="AC172" s="20">
        <f>IF(AND(E172="空",ISNUMBER(O172),ISNUMBER(S172)),ROUND(O172*(S172-R172)/360*V172*U172,2),0)</f>
        <v>0</v>
      </c>
      <c r="AD172" s="43" t="str">
        <f>IF(N(U172)=0,"",SUMIFS('成交明细'!$L$5:$L$804,'成交明细'!$A$5:$A$804,A172)+AC172)</f>
        <v/>
      </c>
      <c r="AE172" s="44" t="str">
        <f>IF(Y172&lt;&gt;"已平仓","",(SUMIFS('成交明细'!$H$5:$H$804,'成交明细'!$A$5:$A$804,A172,'成交明细'!$D$5:$D$804,"卖")-SUMIFS('成交明细'!$H$5:$H$804,'成交明细'!$A$5:$A$804,A172,'成交明细'!$D$5:$D$804,"买"))*1-AD172)</f>
        <v/>
      </c>
      <c r="AF172" s="45" t="str">
        <f>IF(AND(Y172="已平仓",ISNUMBER(L172)),(SUMIFS('成交明细'!$H$5:$H$804,'成交明细'!$A$5:$A$804,A172,'成交明细'!$D$5:$D$804,"卖")-SUMIFS('成交明细'!$H$5:$H$804,'成交明细'!$A$5:$A$804,A172,'成交明细'!$D$5:$D$804,"买"))*1/L172,"")</f>
        <v/>
      </c>
      <c r="AG172" s="45" t="str">
        <f>IF(AND(Y172="已平仓",ISNUMBER(L172)),AE172/L172,"")</f>
        <v/>
      </c>
      <c r="AH172" s="46" t="str">
        <f>IF(AND(ISNUMBER(V172),ISNUMBER(F172)),IF(E172="空",F172-V172,V172-F172),"")</f>
        <v/>
      </c>
      <c r="AI172" s="46" t="str">
        <f>IF(OR(NOT(ISNUMBER(AE172)),NOT(ISNUMBER(X172))),"",IF(AE172&lt;0,IF(E172="空",X172-G172,G172-X172),IF(NOT(ISNUMBER(H172)),"",IF(E172="空",X172-H172,H172-X172))))</f>
        <v/>
      </c>
      <c r="AJ172" s="32" t="n"/>
      <c r="AK172" s="32" t="n"/>
      <c r="AL172" s="31" t="n"/>
      <c r="AM172" s="45" t="str">
        <f>IF(A172="","",SUM(AG$5:AG172))</f>
        <v/>
      </c>
      <c r="AN172" s="37" t="str">
        <f>IF(A172="","",MAX(0,MAX(AM$5:AM172))-AM172)</f>
        <v/>
      </c>
    </row>
    <row r="173">
      <c r="A173" s="29" t="n"/>
      <c r="B173" s="30" t="n"/>
      <c r="C173" s="31" t="n"/>
      <c r="D173" s="32" t="n"/>
      <c r="E173" s="32" t="n"/>
      <c r="F173" s="33" t="n"/>
      <c r="G173" s="33" t="n"/>
      <c r="H173" s="33" t="n"/>
      <c r="I173" s="34" t="str">
        <f>IF(AND(ISNUMBER(F173),ISNUMBER(G173),ISNUMBER(H173)),IF(OR(AND(E173="多",F173&gt;G173),AND(E173="空",F173&lt;G173)),ABS(H173-F173)/ABS(F173-G173),"止损方向不对"),"")</f>
        <v/>
      </c>
      <c r="J173" s="35" t="str">
        <f>IF(AND(ISNUMBER(F173),ISNUMBER(G173)),IF(F173=G173,"",IF(INT(ROUND('参数'!$C$7/(ABS(F173-G173)*1+2*'参数'!$C$11+N('参数'!$C$14)*F173+N('参数'!$C$15))/1,6))*1&gt;0,INT(ROUND('参数'!$C$7/(ABS(F173-G173)*1+2*'参数'!$C$11+N('参数'!$C$14)*F173+N('参数'!$C$15))/1,6))*1,"预算不足，这笔不做")),"")</f>
        <v/>
      </c>
      <c r="K173" s="36" t="n"/>
      <c r="L173" s="20" t="str">
        <f>IF(AND(ISNUMBER(F173),ISNUMBER(G173),ISNUMBER(K173)),IF(AND(F173&lt;&gt;G173,K173&gt;0),ABS(F173-G173)*K173*1,""),"")</f>
        <v/>
      </c>
      <c r="M173" s="30" t="n"/>
      <c r="N173" s="37" t="str">
        <f>IF(AND(ISNUMBER(L173),ISNUMBER(M173)),IF(E173="空",(G173*(1+'参数'!$C$17)-F173),(F173-G173*(1-'参数'!$C$17)))*K173/L173,"")</f>
        <v/>
      </c>
      <c r="O173" s="38" t="n"/>
      <c r="P173" s="31" t="n"/>
      <c r="Q173" s="32" t="n"/>
      <c r="R173" s="39" t="str">
        <f>IF(N(U173)&gt;0,SUMPRODUCT(LARGE(('成交明细'!$A$5:$A$804=A173)*('成交明细'!$D$5:$D$804=IF(E173="空","卖","买"))*'成交明细'!$B$5:$B$804,COUNTIFS('成交明细'!$A$5:$A$804,A173,'成交明细'!$D$5:$D$804,IF(E173="空","卖","买")))),"")</f>
        <v/>
      </c>
      <c r="S173" s="39" t="str">
        <f>IF(AND(N(U173)&gt;0,N(W173)&gt;=N(U173)),SUMPRODUCT(MAX(('成交明细'!$A$5:$A$804=A173)*('成交明细'!$D$5:$D$804=IF(E173="空","买","卖"))*'成交明细'!$B$5:$B$804)),"")</f>
        <v/>
      </c>
      <c r="T173" s="32" t="n"/>
      <c r="U173" s="35" t="str">
        <f>IF(A173="","",SUMIFS('成交明细'!$F$5:$F$804,'成交明细'!$A$5:$A$804,A173,'成交明细'!$D$5:$D$804,IF(E173="空","卖","买")))</f>
        <v/>
      </c>
      <c r="V173" s="40" t="str">
        <f>IF(N(U173)&gt;0,SUMIFS('成交明细'!$H$5:$H$804,'成交明细'!$A$5:$A$804,A173,'成交明细'!$D$5:$D$804,IF(E173="空","卖","买"))/U173,"")</f>
        <v/>
      </c>
      <c r="W173" s="35" t="str">
        <f>IF(A173="","",SUMIFS('成交明细'!$F$5:$F$804,'成交明细'!$A$5:$A$804,A173,'成交明细'!$D$5:$D$804,IF(E173="空","买","卖")))</f>
        <v/>
      </c>
      <c r="X173" s="40" t="str">
        <f>IF(N(W173)&gt;0,SUMIFS('成交明细'!$H$5:$H$804,'成交明细'!$A$5:$A$804,A173,'成交明细'!$D$5:$D$804,IF(E173="空","买","卖"))/W173,"")</f>
        <v/>
      </c>
      <c r="Y173" s="41" t="str">
        <f>IF(A173="","",IF(Q173&lt;&gt;"已执行",IF(Q173="","未填执行情况",Q173),IF(N(U173)=0,"待录成交",IF(N(W173)&gt;N(U173),"平仓多于开仓",IF(N(W173)&lt;N(U173),"持仓中","已平仓")))))</f>
        <v/>
      </c>
      <c r="Z173" s="41" t="str">
        <f>IF(AND(ISNUMBER(R173),ISNUMBER(S173)),IF(R173=S173,"日内",""),"")</f>
        <v/>
      </c>
      <c r="AA173" s="42" t="str">
        <f>IF(Z173&lt;&gt;"日内","",COUNTIFS($Z$5:$Z$304,"日内",$S$5:$S$304,"&gt;"&amp;WORKDAY(S173,-5),$S$5:$S$304,"&lt;="&amp;S173))</f>
        <v/>
      </c>
      <c r="AB173" s="41" t="str">
        <f>IF(OR(NOT(ISNUMBER(M173)),NOT(ISNUMBER(R173))),"",IF(AND(M173&gt;=R173,OR(NOT(ISNUMBER(S173)),M173&lt;=S173)),"持仓跨财报",""))</f>
        <v/>
      </c>
      <c r="AC173" s="20">
        <f>IF(AND(E173="空",ISNUMBER(O173),ISNUMBER(S173)),ROUND(O173*(S173-R173)/360*V173*U173,2),0)</f>
        <v>0</v>
      </c>
      <c r="AD173" s="43" t="str">
        <f>IF(N(U173)=0,"",SUMIFS('成交明细'!$L$5:$L$804,'成交明细'!$A$5:$A$804,A173)+AC173)</f>
        <v/>
      </c>
      <c r="AE173" s="44" t="str">
        <f>IF(Y173&lt;&gt;"已平仓","",(SUMIFS('成交明细'!$H$5:$H$804,'成交明细'!$A$5:$A$804,A173,'成交明细'!$D$5:$D$804,"卖")-SUMIFS('成交明细'!$H$5:$H$804,'成交明细'!$A$5:$A$804,A173,'成交明细'!$D$5:$D$804,"买"))*1-AD173)</f>
        <v/>
      </c>
      <c r="AF173" s="45" t="str">
        <f>IF(AND(Y173="已平仓",ISNUMBER(L173)),(SUMIFS('成交明细'!$H$5:$H$804,'成交明细'!$A$5:$A$804,A173,'成交明细'!$D$5:$D$804,"卖")-SUMIFS('成交明细'!$H$5:$H$804,'成交明细'!$A$5:$A$804,A173,'成交明细'!$D$5:$D$804,"买"))*1/L173,"")</f>
        <v/>
      </c>
      <c r="AG173" s="45" t="str">
        <f>IF(AND(Y173="已平仓",ISNUMBER(L173)),AE173/L173,"")</f>
        <v/>
      </c>
      <c r="AH173" s="46" t="str">
        <f>IF(AND(ISNUMBER(V173),ISNUMBER(F173)),IF(E173="空",F173-V173,V173-F173),"")</f>
        <v/>
      </c>
      <c r="AI173" s="46" t="str">
        <f>IF(OR(NOT(ISNUMBER(AE173)),NOT(ISNUMBER(X173))),"",IF(AE173&lt;0,IF(E173="空",X173-G173,G173-X173),IF(NOT(ISNUMBER(H173)),"",IF(E173="空",X173-H173,H173-X173))))</f>
        <v/>
      </c>
      <c r="AJ173" s="32" t="n"/>
      <c r="AK173" s="32" t="n"/>
      <c r="AL173" s="31" t="n"/>
      <c r="AM173" s="45" t="str">
        <f>IF(A173="","",SUM(AG$5:AG173))</f>
        <v/>
      </c>
      <c r="AN173" s="37" t="str">
        <f>IF(A173="","",MAX(0,MAX(AM$5:AM173))-AM173)</f>
        <v/>
      </c>
    </row>
    <row r="174">
      <c r="A174" s="29" t="n"/>
      <c r="B174" s="30" t="n"/>
      <c r="C174" s="31" t="n"/>
      <c r="D174" s="32" t="n"/>
      <c r="E174" s="32" t="n"/>
      <c r="F174" s="33" t="n"/>
      <c r="G174" s="33" t="n"/>
      <c r="H174" s="33" t="n"/>
      <c r="I174" s="34" t="str">
        <f>IF(AND(ISNUMBER(F174),ISNUMBER(G174),ISNUMBER(H174)),IF(OR(AND(E174="多",F174&gt;G174),AND(E174="空",F174&lt;G174)),ABS(H174-F174)/ABS(F174-G174),"止损方向不对"),"")</f>
        <v/>
      </c>
      <c r="J174" s="35" t="str">
        <f>IF(AND(ISNUMBER(F174),ISNUMBER(G174)),IF(F174=G174,"",IF(INT(ROUND('参数'!$C$7/(ABS(F174-G174)*1+2*'参数'!$C$11+N('参数'!$C$14)*F174+N('参数'!$C$15))/1,6))*1&gt;0,INT(ROUND('参数'!$C$7/(ABS(F174-G174)*1+2*'参数'!$C$11+N('参数'!$C$14)*F174+N('参数'!$C$15))/1,6))*1,"预算不足，这笔不做")),"")</f>
        <v/>
      </c>
      <c r="K174" s="36" t="n"/>
      <c r="L174" s="20" t="str">
        <f>IF(AND(ISNUMBER(F174),ISNUMBER(G174),ISNUMBER(K174)),IF(AND(F174&lt;&gt;G174,K174&gt;0),ABS(F174-G174)*K174*1,""),"")</f>
        <v/>
      </c>
      <c r="M174" s="30" t="n"/>
      <c r="N174" s="37" t="str">
        <f>IF(AND(ISNUMBER(L174),ISNUMBER(M174)),IF(E174="空",(G174*(1+'参数'!$C$17)-F174),(F174-G174*(1-'参数'!$C$17)))*K174/L174,"")</f>
        <v/>
      </c>
      <c r="O174" s="38" t="n"/>
      <c r="P174" s="31" t="n"/>
      <c r="Q174" s="32" t="n"/>
      <c r="R174" s="39" t="str">
        <f>IF(N(U174)&gt;0,SUMPRODUCT(LARGE(('成交明细'!$A$5:$A$804=A174)*('成交明细'!$D$5:$D$804=IF(E174="空","卖","买"))*'成交明细'!$B$5:$B$804,COUNTIFS('成交明细'!$A$5:$A$804,A174,'成交明细'!$D$5:$D$804,IF(E174="空","卖","买")))),"")</f>
        <v/>
      </c>
      <c r="S174" s="39" t="str">
        <f>IF(AND(N(U174)&gt;0,N(W174)&gt;=N(U174)),SUMPRODUCT(MAX(('成交明细'!$A$5:$A$804=A174)*('成交明细'!$D$5:$D$804=IF(E174="空","买","卖"))*'成交明细'!$B$5:$B$804)),"")</f>
        <v/>
      </c>
      <c r="T174" s="32" t="n"/>
      <c r="U174" s="35" t="str">
        <f>IF(A174="","",SUMIFS('成交明细'!$F$5:$F$804,'成交明细'!$A$5:$A$804,A174,'成交明细'!$D$5:$D$804,IF(E174="空","卖","买")))</f>
        <v/>
      </c>
      <c r="V174" s="40" t="str">
        <f>IF(N(U174)&gt;0,SUMIFS('成交明细'!$H$5:$H$804,'成交明细'!$A$5:$A$804,A174,'成交明细'!$D$5:$D$804,IF(E174="空","卖","买"))/U174,"")</f>
        <v/>
      </c>
      <c r="W174" s="35" t="str">
        <f>IF(A174="","",SUMIFS('成交明细'!$F$5:$F$804,'成交明细'!$A$5:$A$804,A174,'成交明细'!$D$5:$D$804,IF(E174="空","买","卖")))</f>
        <v/>
      </c>
      <c r="X174" s="40" t="str">
        <f>IF(N(W174)&gt;0,SUMIFS('成交明细'!$H$5:$H$804,'成交明细'!$A$5:$A$804,A174,'成交明细'!$D$5:$D$804,IF(E174="空","买","卖"))/W174,"")</f>
        <v/>
      </c>
      <c r="Y174" s="41" t="str">
        <f>IF(A174="","",IF(Q174&lt;&gt;"已执行",IF(Q174="","未填执行情况",Q174),IF(N(U174)=0,"待录成交",IF(N(W174)&gt;N(U174),"平仓多于开仓",IF(N(W174)&lt;N(U174),"持仓中","已平仓")))))</f>
        <v/>
      </c>
      <c r="Z174" s="41" t="str">
        <f>IF(AND(ISNUMBER(R174),ISNUMBER(S174)),IF(R174=S174,"日内",""),"")</f>
        <v/>
      </c>
      <c r="AA174" s="42" t="str">
        <f>IF(Z174&lt;&gt;"日内","",COUNTIFS($Z$5:$Z$304,"日内",$S$5:$S$304,"&gt;"&amp;WORKDAY(S174,-5),$S$5:$S$304,"&lt;="&amp;S174))</f>
        <v/>
      </c>
      <c r="AB174" s="41" t="str">
        <f>IF(OR(NOT(ISNUMBER(M174)),NOT(ISNUMBER(R174))),"",IF(AND(M174&gt;=R174,OR(NOT(ISNUMBER(S174)),M174&lt;=S174)),"持仓跨财报",""))</f>
        <v/>
      </c>
      <c r="AC174" s="20">
        <f>IF(AND(E174="空",ISNUMBER(O174),ISNUMBER(S174)),ROUND(O174*(S174-R174)/360*V174*U174,2),0)</f>
        <v>0</v>
      </c>
      <c r="AD174" s="43" t="str">
        <f>IF(N(U174)=0,"",SUMIFS('成交明细'!$L$5:$L$804,'成交明细'!$A$5:$A$804,A174)+AC174)</f>
        <v/>
      </c>
      <c r="AE174" s="44" t="str">
        <f>IF(Y174&lt;&gt;"已平仓","",(SUMIFS('成交明细'!$H$5:$H$804,'成交明细'!$A$5:$A$804,A174,'成交明细'!$D$5:$D$804,"卖")-SUMIFS('成交明细'!$H$5:$H$804,'成交明细'!$A$5:$A$804,A174,'成交明细'!$D$5:$D$804,"买"))*1-AD174)</f>
        <v/>
      </c>
      <c r="AF174" s="45" t="str">
        <f>IF(AND(Y174="已平仓",ISNUMBER(L174)),(SUMIFS('成交明细'!$H$5:$H$804,'成交明细'!$A$5:$A$804,A174,'成交明细'!$D$5:$D$804,"卖")-SUMIFS('成交明细'!$H$5:$H$804,'成交明细'!$A$5:$A$804,A174,'成交明细'!$D$5:$D$804,"买"))*1/L174,"")</f>
        <v/>
      </c>
      <c r="AG174" s="45" t="str">
        <f>IF(AND(Y174="已平仓",ISNUMBER(L174)),AE174/L174,"")</f>
        <v/>
      </c>
      <c r="AH174" s="46" t="str">
        <f>IF(AND(ISNUMBER(V174),ISNUMBER(F174)),IF(E174="空",F174-V174,V174-F174),"")</f>
        <v/>
      </c>
      <c r="AI174" s="46" t="str">
        <f>IF(OR(NOT(ISNUMBER(AE174)),NOT(ISNUMBER(X174))),"",IF(AE174&lt;0,IF(E174="空",X174-G174,G174-X174),IF(NOT(ISNUMBER(H174)),"",IF(E174="空",X174-H174,H174-X174))))</f>
        <v/>
      </c>
      <c r="AJ174" s="32" t="n"/>
      <c r="AK174" s="32" t="n"/>
      <c r="AL174" s="31" t="n"/>
      <c r="AM174" s="45" t="str">
        <f>IF(A174="","",SUM(AG$5:AG174))</f>
        <v/>
      </c>
      <c r="AN174" s="37" t="str">
        <f>IF(A174="","",MAX(0,MAX(AM$5:AM174))-AM174)</f>
        <v/>
      </c>
    </row>
    <row r="175">
      <c r="A175" s="29" t="n"/>
      <c r="B175" s="30" t="n"/>
      <c r="C175" s="31" t="n"/>
      <c r="D175" s="32" t="n"/>
      <c r="E175" s="32" t="n"/>
      <c r="F175" s="33" t="n"/>
      <c r="G175" s="33" t="n"/>
      <c r="H175" s="33" t="n"/>
      <c r="I175" s="34" t="str">
        <f>IF(AND(ISNUMBER(F175),ISNUMBER(G175),ISNUMBER(H175)),IF(OR(AND(E175="多",F175&gt;G175),AND(E175="空",F175&lt;G175)),ABS(H175-F175)/ABS(F175-G175),"止损方向不对"),"")</f>
        <v/>
      </c>
      <c r="J175" s="35" t="str">
        <f>IF(AND(ISNUMBER(F175),ISNUMBER(G175)),IF(F175=G175,"",IF(INT(ROUND('参数'!$C$7/(ABS(F175-G175)*1+2*'参数'!$C$11+N('参数'!$C$14)*F175+N('参数'!$C$15))/1,6))*1&gt;0,INT(ROUND('参数'!$C$7/(ABS(F175-G175)*1+2*'参数'!$C$11+N('参数'!$C$14)*F175+N('参数'!$C$15))/1,6))*1,"预算不足，这笔不做")),"")</f>
        <v/>
      </c>
      <c r="K175" s="36" t="n"/>
      <c r="L175" s="20" t="str">
        <f>IF(AND(ISNUMBER(F175),ISNUMBER(G175),ISNUMBER(K175)),IF(AND(F175&lt;&gt;G175,K175&gt;0),ABS(F175-G175)*K175*1,""),"")</f>
        <v/>
      </c>
      <c r="M175" s="30" t="n"/>
      <c r="N175" s="37" t="str">
        <f>IF(AND(ISNUMBER(L175),ISNUMBER(M175)),IF(E175="空",(G175*(1+'参数'!$C$17)-F175),(F175-G175*(1-'参数'!$C$17)))*K175/L175,"")</f>
        <v/>
      </c>
      <c r="O175" s="38" t="n"/>
      <c r="P175" s="31" t="n"/>
      <c r="Q175" s="32" t="n"/>
      <c r="R175" s="39" t="str">
        <f>IF(N(U175)&gt;0,SUMPRODUCT(LARGE(('成交明细'!$A$5:$A$804=A175)*('成交明细'!$D$5:$D$804=IF(E175="空","卖","买"))*'成交明细'!$B$5:$B$804,COUNTIFS('成交明细'!$A$5:$A$804,A175,'成交明细'!$D$5:$D$804,IF(E175="空","卖","买")))),"")</f>
        <v/>
      </c>
      <c r="S175" s="39" t="str">
        <f>IF(AND(N(U175)&gt;0,N(W175)&gt;=N(U175)),SUMPRODUCT(MAX(('成交明细'!$A$5:$A$804=A175)*('成交明细'!$D$5:$D$804=IF(E175="空","买","卖"))*'成交明细'!$B$5:$B$804)),"")</f>
        <v/>
      </c>
      <c r="T175" s="32" t="n"/>
      <c r="U175" s="35" t="str">
        <f>IF(A175="","",SUMIFS('成交明细'!$F$5:$F$804,'成交明细'!$A$5:$A$804,A175,'成交明细'!$D$5:$D$804,IF(E175="空","卖","买")))</f>
        <v/>
      </c>
      <c r="V175" s="40" t="str">
        <f>IF(N(U175)&gt;0,SUMIFS('成交明细'!$H$5:$H$804,'成交明细'!$A$5:$A$804,A175,'成交明细'!$D$5:$D$804,IF(E175="空","卖","买"))/U175,"")</f>
        <v/>
      </c>
      <c r="W175" s="35" t="str">
        <f>IF(A175="","",SUMIFS('成交明细'!$F$5:$F$804,'成交明细'!$A$5:$A$804,A175,'成交明细'!$D$5:$D$804,IF(E175="空","买","卖")))</f>
        <v/>
      </c>
      <c r="X175" s="40" t="str">
        <f>IF(N(W175)&gt;0,SUMIFS('成交明细'!$H$5:$H$804,'成交明细'!$A$5:$A$804,A175,'成交明细'!$D$5:$D$804,IF(E175="空","买","卖"))/W175,"")</f>
        <v/>
      </c>
      <c r="Y175" s="41" t="str">
        <f>IF(A175="","",IF(Q175&lt;&gt;"已执行",IF(Q175="","未填执行情况",Q175),IF(N(U175)=0,"待录成交",IF(N(W175)&gt;N(U175),"平仓多于开仓",IF(N(W175)&lt;N(U175),"持仓中","已平仓")))))</f>
        <v/>
      </c>
      <c r="Z175" s="41" t="str">
        <f>IF(AND(ISNUMBER(R175),ISNUMBER(S175)),IF(R175=S175,"日内",""),"")</f>
        <v/>
      </c>
      <c r="AA175" s="42" t="str">
        <f>IF(Z175&lt;&gt;"日内","",COUNTIFS($Z$5:$Z$304,"日内",$S$5:$S$304,"&gt;"&amp;WORKDAY(S175,-5),$S$5:$S$304,"&lt;="&amp;S175))</f>
        <v/>
      </c>
      <c r="AB175" s="41" t="str">
        <f>IF(OR(NOT(ISNUMBER(M175)),NOT(ISNUMBER(R175))),"",IF(AND(M175&gt;=R175,OR(NOT(ISNUMBER(S175)),M175&lt;=S175)),"持仓跨财报",""))</f>
        <v/>
      </c>
      <c r="AC175" s="20">
        <f>IF(AND(E175="空",ISNUMBER(O175),ISNUMBER(S175)),ROUND(O175*(S175-R175)/360*V175*U175,2),0)</f>
        <v>0</v>
      </c>
      <c r="AD175" s="43" t="str">
        <f>IF(N(U175)=0,"",SUMIFS('成交明细'!$L$5:$L$804,'成交明细'!$A$5:$A$804,A175)+AC175)</f>
        <v/>
      </c>
      <c r="AE175" s="44" t="str">
        <f>IF(Y175&lt;&gt;"已平仓","",(SUMIFS('成交明细'!$H$5:$H$804,'成交明细'!$A$5:$A$804,A175,'成交明细'!$D$5:$D$804,"卖")-SUMIFS('成交明细'!$H$5:$H$804,'成交明细'!$A$5:$A$804,A175,'成交明细'!$D$5:$D$804,"买"))*1-AD175)</f>
        <v/>
      </c>
      <c r="AF175" s="45" t="str">
        <f>IF(AND(Y175="已平仓",ISNUMBER(L175)),(SUMIFS('成交明细'!$H$5:$H$804,'成交明细'!$A$5:$A$804,A175,'成交明细'!$D$5:$D$804,"卖")-SUMIFS('成交明细'!$H$5:$H$804,'成交明细'!$A$5:$A$804,A175,'成交明细'!$D$5:$D$804,"买"))*1/L175,"")</f>
        <v/>
      </c>
      <c r="AG175" s="45" t="str">
        <f>IF(AND(Y175="已平仓",ISNUMBER(L175)),AE175/L175,"")</f>
        <v/>
      </c>
      <c r="AH175" s="46" t="str">
        <f>IF(AND(ISNUMBER(V175),ISNUMBER(F175)),IF(E175="空",F175-V175,V175-F175),"")</f>
        <v/>
      </c>
      <c r="AI175" s="46" t="str">
        <f>IF(OR(NOT(ISNUMBER(AE175)),NOT(ISNUMBER(X175))),"",IF(AE175&lt;0,IF(E175="空",X175-G175,G175-X175),IF(NOT(ISNUMBER(H175)),"",IF(E175="空",X175-H175,H175-X175))))</f>
        <v/>
      </c>
      <c r="AJ175" s="32" t="n"/>
      <c r="AK175" s="32" t="n"/>
      <c r="AL175" s="31" t="n"/>
      <c r="AM175" s="45" t="str">
        <f>IF(A175="","",SUM(AG$5:AG175))</f>
        <v/>
      </c>
      <c r="AN175" s="37" t="str">
        <f>IF(A175="","",MAX(0,MAX(AM$5:AM175))-AM175)</f>
        <v/>
      </c>
    </row>
    <row r="176">
      <c r="A176" s="29" t="n"/>
      <c r="B176" s="30" t="n"/>
      <c r="C176" s="31" t="n"/>
      <c r="D176" s="32" t="n"/>
      <c r="E176" s="32" t="n"/>
      <c r="F176" s="33" t="n"/>
      <c r="G176" s="33" t="n"/>
      <c r="H176" s="33" t="n"/>
      <c r="I176" s="34" t="str">
        <f>IF(AND(ISNUMBER(F176),ISNUMBER(G176),ISNUMBER(H176)),IF(OR(AND(E176="多",F176&gt;G176),AND(E176="空",F176&lt;G176)),ABS(H176-F176)/ABS(F176-G176),"止损方向不对"),"")</f>
        <v/>
      </c>
      <c r="J176" s="35" t="str">
        <f>IF(AND(ISNUMBER(F176),ISNUMBER(G176)),IF(F176=G176,"",IF(INT(ROUND('参数'!$C$7/(ABS(F176-G176)*1+2*'参数'!$C$11+N('参数'!$C$14)*F176+N('参数'!$C$15))/1,6))*1&gt;0,INT(ROUND('参数'!$C$7/(ABS(F176-G176)*1+2*'参数'!$C$11+N('参数'!$C$14)*F176+N('参数'!$C$15))/1,6))*1,"预算不足，这笔不做")),"")</f>
        <v/>
      </c>
      <c r="K176" s="36" t="n"/>
      <c r="L176" s="20" t="str">
        <f>IF(AND(ISNUMBER(F176),ISNUMBER(G176),ISNUMBER(K176)),IF(AND(F176&lt;&gt;G176,K176&gt;0),ABS(F176-G176)*K176*1,""),"")</f>
        <v/>
      </c>
      <c r="M176" s="30" t="n"/>
      <c r="N176" s="37" t="str">
        <f>IF(AND(ISNUMBER(L176),ISNUMBER(M176)),IF(E176="空",(G176*(1+'参数'!$C$17)-F176),(F176-G176*(1-'参数'!$C$17)))*K176/L176,"")</f>
        <v/>
      </c>
      <c r="O176" s="38" t="n"/>
      <c r="P176" s="31" t="n"/>
      <c r="Q176" s="32" t="n"/>
      <c r="R176" s="39" t="str">
        <f>IF(N(U176)&gt;0,SUMPRODUCT(LARGE(('成交明细'!$A$5:$A$804=A176)*('成交明细'!$D$5:$D$804=IF(E176="空","卖","买"))*'成交明细'!$B$5:$B$804,COUNTIFS('成交明细'!$A$5:$A$804,A176,'成交明细'!$D$5:$D$804,IF(E176="空","卖","买")))),"")</f>
        <v/>
      </c>
      <c r="S176" s="39" t="str">
        <f>IF(AND(N(U176)&gt;0,N(W176)&gt;=N(U176)),SUMPRODUCT(MAX(('成交明细'!$A$5:$A$804=A176)*('成交明细'!$D$5:$D$804=IF(E176="空","买","卖"))*'成交明细'!$B$5:$B$804)),"")</f>
        <v/>
      </c>
      <c r="T176" s="32" t="n"/>
      <c r="U176" s="35" t="str">
        <f>IF(A176="","",SUMIFS('成交明细'!$F$5:$F$804,'成交明细'!$A$5:$A$804,A176,'成交明细'!$D$5:$D$804,IF(E176="空","卖","买")))</f>
        <v/>
      </c>
      <c r="V176" s="40" t="str">
        <f>IF(N(U176)&gt;0,SUMIFS('成交明细'!$H$5:$H$804,'成交明细'!$A$5:$A$804,A176,'成交明细'!$D$5:$D$804,IF(E176="空","卖","买"))/U176,"")</f>
        <v/>
      </c>
      <c r="W176" s="35" t="str">
        <f>IF(A176="","",SUMIFS('成交明细'!$F$5:$F$804,'成交明细'!$A$5:$A$804,A176,'成交明细'!$D$5:$D$804,IF(E176="空","买","卖")))</f>
        <v/>
      </c>
      <c r="X176" s="40" t="str">
        <f>IF(N(W176)&gt;0,SUMIFS('成交明细'!$H$5:$H$804,'成交明细'!$A$5:$A$804,A176,'成交明细'!$D$5:$D$804,IF(E176="空","买","卖"))/W176,"")</f>
        <v/>
      </c>
      <c r="Y176" s="41" t="str">
        <f>IF(A176="","",IF(Q176&lt;&gt;"已执行",IF(Q176="","未填执行情况",Q176),IF(N(U176)=0,"待录成交",IF(N(W176)&gt;N(U176),"平仓多于开仓",IF(N(W176)&lt;N(U176),"持仓中","已平仓")))))</f>
        <v/>
      </c>
      <c r="Z176" s="41" t="str">
        <f>IF(AND(ISNUMBER(R176),ISNUMBER(S176)),IF(R176=S176,"日内",""),"")</f>
        <v/>
      </c>
      <c r="AA176" s="42" t="str">
        <f>IF(Z176&lt;&gt;"日内","",COUNTIFS($Z$5:$Z$304,"日内",$S$5:$S$304,"&gt;"&amp;WORKDAY(S176,-5),$S$5:$S$304,"&lt;="&amp;S176))</f>
        <v/>
      </c>
      <c r="AB176" s="41" t="str">
        <f>IF(OR(NOT(ISNUMBER(M176)),NOT(ISNUMBER(R176))),"",IF(AND(M176&gt;=R176,OR(NOT(ISNUMBER(S176)),M176&lt;=S176)),"持仓跨财报",""))</f>
        <v/>
      </c>
      <c r="AC176" s="20">
        <f>IF(AND(E176="空",ISNUMBER(O176),ISNUMBER(S176)),ROUND(O176*(S176-R176)/360*V176*U176,2),0)</f>
        <v>0</v>
      </c>
      <c r="AD176" s="43" t="str">
        <f>IF(N(U176)=0,"",SUMIFS('成交明细'!$L$5:$L$804,'成交明细'!$A$5:$A$804,A176)+AC176)</f>
        <v/>
      </c>
      <c r="AE176" s="44" t="str">
        <f>IF(Y176&lt;&gt;"已平仓","",(SUMIFS('成交明细'!$H$5:$H$804,'成交明细'!$A$5:$A$804,A176,'成交明细'!$D$5:$D$804,"卖")-SUMIFS('成交明细'!$H$5:$H$804,'成交明细'!$A$5:$A$804,A176,'成交明细'!$D$5:$D$804,"买"))*1-AD176)</f>
        <v/>
      </c>
      <c r="AF176" s="45" t="str">
        <f>IF(AND(Y176="已平仓",ISNUMBER(L176)),(SUMIFS('成交明细'!$H$5:$H$804,'成交明细'!$A$5:$A$804,A176,'成交明细'!$D$5:$D$804,"卖")-SUMIFS('成交明细'!$H$5:$H$804,'成交明细'!$A$5:$A$804,A176,'成交明细'!$D$5:$D$804,"买"))*1/L176,"")</f>
        <v/>
      </c>
      <c r="AG176" s="45" t="str">
        <f>IF(AND(Y176="已平仓",ISNUMBER(L176)),AE176/L176,"")</f>
        <v/>
      </c>
      <c r="AH176" s="46" t="str">
        <f>IF(AND(ISNUMBER(V176),ISNUMBER(F176)),IF(E176="空",F176-V176,V176-F176),"")</f>
        <v/>
      </c>
      <c r="AI176" s="46" t="str">
        <f>IF(OR(NOT(ISNUMBER(AE176)),NOT(ISNUMBER(X176))),"",IF(AE176&lt;0,IF(E176="空",X176-G176,G176-X176),IF(NOT(ISNUMBER(H176)),"",IF(E176="空",X176-H176,H176-X176))))</f>
        <v/>
      </c>
      <c r="AJ176" s="32" t="n"/>
      <c r="AK176" s="32" t="n"/>
      <c r="AL176" s="31" t="n"/>
      <c r="AM176" s="45" t="str">
        <f>IF(A176="","",SUM(AG$5:AG176))</f>
        <v/>
      </c>
      <c r="AN176" s="37" t="str">
        <f>IF(A176="","",MAX(0,MAX(AM$5:AM176))-AM176)</f>
        <v/>
      </c>
    </row>
    <row r="177">
      <c r="A177" s="29" t="n"/>
      <c r="B177" s="30" t="n"/>
      <c r="C177" s="31" t="n"/>
      <c r="D177" s="32" t="n"/>
      <c r="E177" s="32" t="n"/>
      <c r="F177" s="33" t="n"/>
      <c r="G177" s="33" t="n"/>
      <c r="H177" s="33" t="n"/>
      <c r="I177" s="34" t="str">
        <f>IF(AND(ISNUMBER(F177),ISNUMBER(G177),ISNUMBER(H177)),IF(OR(AND(E177="多",F177&gt;G177),AND(E177="空",F177&lt;G177)),ABS(H177-F177)/ABS(F177-G177),"止损方向不对"),"")</f>
        <v/>
      </c>
      <c r="J177" s="35" t="str">
        <f>IF(AND(ISNUMBER(F177),ISNUMBER(G177)),IF(F177=G177,"",IF(INT(ROUND('参数'!$C$7/(ABS(F177-G177)*1+2*'参数'!$C$11+N('参数'!$C$14)*F177+N('参数'!$C$15))/1,6))*1&gt;0,INT(ROUND('参数'!$C$7/(ABS(F177-G177)*1+2*'参数'!$C$11+N('参数'!$C$14)*F177+N('参数'!$C$15))/1,6))*1,"预算不足，这笔不做")),"")</f>
        <v/>
      </c>
      <c r="K177" s="36" t="n"/>
      <c r="L177" s="20" t="str">
        <f>IF(AND(ISNUMBER(F177),ISNUMBER(G177),ISNUMBER(K177)),IF(AND(F177&lt;&gt;G177,K177&gt;0),ABS(F177-G177)*K177*1,""),"")</f>
        <v/>
      </c>
      <c r="M177" s="30" t="n"/>
      <c r="N177" s="37" t="str">
        <f>IF(AND(ISNUMBER(L177),ISNUMBER(M177)),IF(E177="空",(G177*(1+'参数'!$C$17)-F177),(F177-G177*(1-'参数'!$C$17)))*K177/L177,"")</f>
        <v/>
      </c>
      <c r="O177" s="38" t="n"/>
      <c r="P177" s="31" t="n"/>
      <c r="Q177" s="32" t="n"/>
      <c r="R177" s="39" t="str">
        <f>IF(N(U177)&gt;0,SUMPRODUCT(LARGE(('成交明细'!$A$5:$A$804=A177)*('成交明细'!$D$5:$D$804=IF(E177="空","卖","买"))*'成交明细'!$B$5:$B$804,COUNTIFS('成交明细'!$A$5:$A$804,A177,'成交明细'!$D$5:$D$804,IF(E177="空","卖","买")))),"")</f>
        <v/>
      </c>
      <c r="S177" s="39" t="str">
        <f>IF(AND(N(U177)&gt;0,N(W177)&gt;=N(U177)),SUMPRODUCT(MAX(('成交明细'!$A$5:$A$804=A177)*('成交明细'!$D$5:$D$804=IF(E177="空","买","卖"))*'成交明细'!$B$5:$B$804)),"")</f>
        <v/>
      </c>
      <c r="T177" s="32" t="n"/>
      <c r="U177" s="35" t="str">
        <f>IF(A177="","",SUMIFS('成交明细'!$F$5:$F$804,'成交明细'!$A$5:$A$804,A177,'成交明细'!$D$5:$D$804,IF(E177="空","卖","买")))</f>
        <v/>
      </c>
      <c r="V177" s="40" t="str">
        <f>IF(N(U177)&gt;0,SUMIFS('成交明细'!$H$5:$H$804,'成交明细'!$A$5:$A$804,A177,'成交明细'!$D$5:$D$804,IF(E177="空","卖","买"))/U177,"")</f>
        <v/>
      </c>
      <c r="W177" s="35" t="str">
        <f>IF(A177="","",SUMIFS('成交明细'!$F$5:$F$804,'成交明细'!$A$5:$A$804,A177,'成交明细'!$D$5:$D$804,IF(E177="空","买","卖")))</f>
        <v/>
      </c>
      <c r="X177" s="40" t="str">
        <f>IF(N(W177)&gt;0,SUMIFS('成交明细'!$H$5:$H$804,'成交明细'!$A$5:$A$804,A177,'成交明细'!$D$5:$D$804,IF(E177="空","买","卖"))/W177,"")</f>
        <v/>
      </c>
      <c r="Y177" s="41" t="str">
        <f>IF(A177="","",IF(Q177&lt;&gt;"已执行",IF(Q177="","未填执行情况",Q177),IF(N(U177)=0,"待录成交",IF(N(W177)&gt;N(U177),"平仓多于开仓",IF(N(W177)&lt;N(U177),"持仓中","已平仓")))))</f>
        <v/>
      </c>
      <c r="Z177" s="41" t="str">
        <f>IF(AND(ISNUMBER(R177),ISNUMBER(S177)),IF(R177=S177,"日内",""),"")</f>
        <v/>
      </c>
      <c r="AA177" s="42" t="str">
        <f>IF(Z177&lt;&gt;"日内","",COUNTIFS($Z$5:$Z$304,"日内",$S$5:$S$304,"&gt;"&amp;WORKDAY(S177,-5),$S$5:$S$304,"&lt;="&amp;S177))</f>
        <v/>
      </c>
      <c r="AB177" s="41" t="str">
        <f>IF(OR(NOT(ISNUMBER(M177)),NOT(ISNUMBER(R177))),"",IF(AND(M177&gt;=R177,OR(NOT(ISNUMBER(S177)),M177&lt;=S177)),"持仓跨财报",""))</f>
        <v/>
      </c>
      <c r="AC177" s="20">
        <f>IF(AND(E177="空",ISNUMBER(O177),ISNUMBER(S177)),ROUND(O177*(S177-R177)/360*V177*U177,2),0)</f>
        <v>0</v>
      </c>
      <c r="AD177" s="43" t="str">
        <f>IF(N(U177)=0,"",SUMIFS('成交明细'!$L$5:$L$804,'成交明细'!$A$5:$A$804,A177)+AC177)</f>
        <v/>
      </c>
      <c r="AE177" s="44" t="str">
        <f>IF(Y177&lt;&gt;"已平仓","",(SUMIFS('成交明细'!$H$5:$H$804,'成交明细'!$A$5:$A$804,A177,'成交明细'!$D$5:$D$804,"卖")-SUMIFS('成交明细'!$H$5:$H$804,'成交明细'!$A$5:$A$804,A177,'成交明细'!$D$5:$D$804,"买"))*1-AD177)</f>
        <v/>
      </c>
      <c r="AF177" s="45" t="str">
        <f>IF(AND(Y177="已平仓",ISNUMBER(L177)),(SUMIFS('成交明细'!$H$5:$H$804,'成交明细'!$A$5:$A$804,A177,'成交明细'!$D$5:$D$804,"卖")-SUMIFS('成交明细'!$H$5:$H$804,'成交明细'!$A$5:$A$804,A177,'成交明细'!$D$5:$D$804,"买"))*1/L177,"")</f>
        <v/>
      </c>
      <c r="AG177" s="45" t="str">
        <f>IF(AND(Y177="已平仓",ISNUMBER(L177)),AE177/L177,"")</f>
        <v/>
      </c>
      <c r="AH177" s="46" t="str">
        <f>IF(AND(ISNUMBER(V177),ISNUMBER(F177)),IF(E177="空",F177-V177,V177-F177),"")</f>
        <v/>
      </c>
      <c r="AI177" s="46" t="str">
        <f>IF(OR(NOT(ISNUMBER(AE177)),NOT(ISNUMBER(X177))),"",IF(AE177&lt;0,IF(E177="空",X177-G177,G177-X177),IF(NOT(ISNUMBER(H177)),"",IF(E177="空",X177-H177,H177-X177))))</f>
        <v/>
      </c>
      <c r="AJ177" s="32" t="n"/>
      <c r="AK177" s="32" t="n"/>
      <c r="AL177" s="31" t="n"/>
      <c r="AM177" s="45" t="str">
        <f>IF(A177="","",SUM(AG$5:AG177))</f>
        <v/>
      </c>
      <c r="AN177" s="37" t="str">
        <f>IF(A177="","",MAX(0,MAX(AM$5:AM177))-AM177)</f>
        <v/>
      </c>
    </row>
    <row r="178">
      <c r="A178" s="29" t="n"/>
      <c r="B178" s="30" t="n"/>
      <c r="C178" s="31" t="n"/>
      <c r="D178" s="32" t="n"/>
      <c r="E178" s="32" t="n"/>
      <c r="F178" s="33" t="n"/>
      <c r="G178" s="33" t="n"/>
      <c r="H178" s="33" t="n"/>
      <c r="I178" s="34" t="str">
        <f>IF(AND(ISNUMBER(F178),ISNUMBER(G178),ISNUMBER(H178)),IF(OR(AND(E178="多",F178&gt;G178),AND(E178="空",F178&lt;G178)),ABS(H178-F178)/ABS(F178-G178),"止损方向不对"),"")</f>
        <v/>
      </c>
      <c r="J178" s="35" t="str">
        <f>IF(AND(ISNUMBER(F178),ISNUMBER(G178)),IF(F178=G178,"",IF(INT(ROUND('参数'!$C$7/(ABS(F178-G178)*1+2*'参数'!$C$11+N('参数'!$C$14)*F178+N('参数'!$C$15))/1,6))*1&gt;0,INT(ROUND('参数'!$C$7/(ABS(F178-G178)*1+2*'参数'!$C$11+N('参数'!$C$14)*F178+N('参数'!$C$15))/1,6))*1,"预算不足，这笔不做")),"")</f>
        <v/>
      </c>
      <c r="K178" s="36" t="n"/>
      <c r="L178" s="20" t="str">
        <f>IF(AND(ISNUMBER(F178),ISNUMBER(G178),ISNUMBER(K178)),IF(AND(F178&lt;&gt;G178,K178&gt;0),ABS(F178-G178)*K178*1,""),"")</f>
        <v/>
      </c>
      <c r="M178" s="30" t="n"/>
      <c r="N178" s="37" t="str">
        <f>IF(AND(ISNUMBER(L178),ISNUMBER(M178)),IF(E178="空",(G178*(1+'参数'!$C$17)-F178),(F178-G178*(1-'参数'!$C$17)))*K178/L178,"")</f>
        <v/>
      </c>
      <c r="O178" s="38" t="n"/>
      <c r="P178" s="31" t="n"/>
      <c r="Q178" s="32" t="n"/>
      <c r="R178" s="39" t="str">
        <f>IF(N(U178)&gt;0,SUMPRODUCT(LARGE(('成交明细'!$A$5:$A$804=A178)*('成交明细'!$D$5:$D$804=IF(E178="空","卖","买"))*'成交明细'!$B$5:$B$804,COUNTIFS('成交明细'!$A$5:$A$804,A178,'成交明细'!$D$5:$D$804,IF(E178="空","卖","买")))),"")</f>
        <v/>
      </c>
      <c r="S178" s="39" t="str">
        <f>IF(AND(N(U178)&gt;0,N(W178)&gt;=N(U178)),SUMPRODUCT(MAX(('成交明细'!$A$5:$A$804=A178)*('成交明细'!$D$5:$D$804=IF(E178="空","买","卖"))*'成交明细'!$B$5:$B$804)),"")</f>
        <v/>
      </c>
      <c r="T178" s="32" t="n"/>
      <c r="U178" s="35" t="str">
        <f>IF(A178="","",SUMIFS('成交明细'!$F$5:$F$804,'成交明细'!$A$5:$A$804,A178,'成交明细'!$D$5:$D$804,IF(E178="空","卖","买")))</f>
        <v/>
      </c>
      <c r="V178" s="40" t="str">
        <f>IF(N(U178)&gt;0,SUMIFS('成交明细'!$H$5:$H$804,'成交明细'!$A$5:$A$804,A178,'成交明细'!$D$5:$D$804,IF(E178="空","卖","买"))/U178,"")</f>
        <v/>
      </c>
      <c r="W178" s="35" t="str">
        <f>IF(A178="","",SUMIFS('成交明细'!$F$5:$F$804,'成交明细'!$A$5:$A$804,A178,'成交明细'!$D$5:$D$804,IF(E178="空","买","卖")))</f>
        <v/>
      </c>
      <c r="X178" s="40" t="str">
        <f>IF(N(W178)&gt;0,SUMIFS('成交明细'!$H$5:$H$804,'成交明细'!$A$5:$A$804,A178,'成交明细'!$D$5:$D$804,IF(E178="空","买","卖"))/W178,"")</f>
        <v/>
      </c>
      <c r="Y178" s="41" t="str">
        <f>IF(A178="","",IF(Q178&lt;&gt;"已执行",IF(Q178="","未填执行情况",Q178),IF(N(U178)=0,"待录成交",IF(N(W178)&gt;N(U178),"平仓多于开仓",IF(N(W178)&lt;N(U178),"持仓中","已平仓")))))</f>
        <v/>
      </c>
      <c r="Z178" s="41" t="str">
        <f>IF(AND(ISNUMBER(R178),ISNUMBER(S178)),IF(R178=S178,"日内",""),"")</f>
        <v/>
      </c>
      <c r="AA178" s="42" t="str">
        <f>IF(Z178&lt;&gt;"日内","",COUNTIFS($Z$5:$Z$304,"日内",$S$5:$S$304,"&gt;"&amp;WORKDAY(S178,-5),$S$5:$S$304,"&lt;="&amp;S178))</f>
        <v/>
      </c>
      <c r="AB178" s="41" t="str">
        <f>IF(OR(NOT(ISNUMBER(M178)),NOT(ISNUMBER(R178))),"",IF(AND(M178&gt;=R178,OR(NOT(ISNUMBER(S178)),M178&lt;=S178)),"持仓跨财报",""))</f>
        <v/>
      </c>
      <c r="AC178" s="20">
        <f>IF(AND(E178="空",ISNUMBER(O178),ISNUMBER(S178)),ROUND(O178*(S178-R178)/360*V178*U178,2),0)</f>
        <v>0</v>
      </c>
      <c r="AD178" s="43" t="str">
        <f>IF(N(U178)=0,"",SUMIFS('成交明细'!$L$5:$L$804,'成交明细'!$A$5:$A$804,A178)+AC178)</f>
        <v/>
      </c>
      <c r="AE178" s="44" t="str">
        <f>IF(Y178&lt;&gt;"已平仓","",(SUMIFS('成交明细'!$H$5:$H$804,'成交明细'!$A$5:$A$804,A178,'成交明细'!$D$5:$D$804,"卖")-SUMIFS('成交明细'!$H$5:$H$804,'成交明细'!$A$5:$A$804,A178,'成交明细'!$D$5:$D$804,"买"))*1-AD178)</f>
        <v/>
      </c>
      <c r="AF178" s="45" t="str">
        <f>IF(AND(Y178="已平仓",ISNUMBER(L178)),(SUMIFS('成交明细'!$H$5:$H$804,'成交明细'!$A$5:$A$804,A178,'成交明细'!$D$5:$D$804,"卖")-SUMIFS('成交明细'!$H$5:$H$804,'成交明细'!$A$5:$A$804,A178,'成交明细'!$D$5:$D$804,"买"))*1/L178,"")</f>
        <v/>
      </c>
      <c r="AG178" s="45" t="str">
        <f>IF(AND(Y178="已平仓",ISNUMBER(L178)),AE178/L178,"")</f>
        <v/>
      </c>
      <c r="AH178" s="46" t="str">
        <f>IF(AND(ISNUMBER(V178),ISNUMBER(F178)),IF(E178="空",F178-V178,V178-F178),"")</f>
        <v/>
      </c>
      <c r="AI178" s="46" t="str">
        <f>IF(OR(NOT(ISNUMBER(AE178)),NOT(ISNUMBER(X178))),"",IF(AE178&lt;0,IF(E178="空",X178-G178,G178-X178),IF(NOT(ISNUMBER(H178)),"",IF(E178="空",X178-H178,H178-X178))))</f>
        <v/>
      </c>
      <c r="AJ178" s="32" t="n"/>
      <c r="AK178" s="32" t="n"/>
      <c r="AL178" s="31" t="n"/>
      <c r="AM178" s="45" t="str">
        <f>IF(A178="","",SUM(AG$5:AG178))</f>
        <v/>
      </c>
      <c r="AN178" s="37" t="str">
        <f>IF(A178="","",MAX(0,MAX(AM$5:AM178))-AM178)</f>
        <v/>
      </c>
    </row>
    <row r="179">
      <c r="A179" s="29" t="n"/>
      <c r="B179" s="30" t="n"/>
      <c r="C179" s="31" t="n"/>
      <c r="D179" s="32" t="n"/>
      <c r="E179" s="32" t="n"/>
      <c r="F179" s="33" t="n"/>
      <c r="G179" s="33" t="n"/>
      <c r="H179" s="33" t="n"/>
      <c r="I179" s="34" t="str">
        <f>IF(AND(ISNUMBER(F179),ISNUMBER(G179),ISNUMBER(H179)),IF(OR(AND(E179="多",F179&gt;G179),AND(E179="空",F179&lt;G179)),ABS(H179-F179)/ABS(F179-G179),"止损方向不对"),"")</f>
        <v/>
      </c>
      <c r="J179" s="35" t="str">
        <f>IF(AND(ISNUMBER(F179),ISNUMBER(G179)),IF(F179=G179,"",IF(INT(ROUND('参数'!$C$7/(ABS(F179-G179)*1+2*'参数'!$C$11+N('参数'!$C$14)*F179+N('参数'!$C$15))/1,6))*1&gt;0,INT(ROUND('参数'!$C$7/(ABS(F179-G179)*1+2*'参数'!$C$11+N('参数'!$C$14)*F179+N('参数'!$C$15))/1,6))*1,"预算不足，这笔不做")),"")</f>
        <v/>
      </c>
      <c r="K179" s="36" t="n"/>
      <c r="L179" s="20" t="str">
        <f>IF(AND(ISNUMBER(F179),ISNUMBER(G179),ISNUMBER(K179)),IF(AND(F179&lt;&gt;G179,K179&gt;0),ABS(F179-G179)*K179*1,""),"")</f>
        <v/>
      </c>
      <c r="M179" s="30" t="n"/>
      <c r="N179" s="37" t="str">
        <f>IF(AND(ISNUMBER(L179),ISNUMBER(M179)),IF(E179="空",(G179*(1+'参数'!$C$17)-F179),(F179-G179*(1-'参数'!$C$17)))*K179/L179,"")</f>
        <v/>
      </c>
      <c r="O179" s="38" t="n"/>
      <c r="P179" s="31" t="n"/>
      <c r="Q179" s="32" t="n"/>
      <c r="R179" s="39" t="str">
        <f>IF(N(U179)&gt;0,SUMPRODUCT(LARGE(('成交明细'!$A$5:$A$804=A179)*('成交明细'!$D$5:$D$804=IF(E179="空","卖","买"))*'成交明细'!$B$5:$B$804,COUNTIFS('成交明细'!$A$5:$A$804,A179,'成交明细'!$D$5:$D$804,IF(E179="空","卖","买")))),"")</f>
        <v/>
      </c>
      <c r="S179" s="39" t="str">
        <f>IF(AND(N(U179)&gt;0,N(W179)&gt;=N(U179)),SUMPRODUCT(MAX(('成交明细'!$A$5:$A$804=A179)*('成交明细'!$D$5:$D$804=IF(E179="空","买","卖"))*'成交明细'!$B$5:$B$804)),"")</f>
        <v/>
      </c>
      <c r="T179" s="32" t="n"/>
      <c r="U179" s="35" t="str">
        <f>IF(A179="","",SUMIFS('成交明细'!$F$5:$F$804,'成交明细'!$A$5:$A$804,A179,'成交明细'!$D$5:$D$804,IF(E179="空","卖","买")))</f>
        <v/>
      </c>
      <c r="V179" s="40" t="str">
        <f>IF(N(U179)&gt;0,SUMIFS('成交明细'!$H$5:$H$804,'成交明细'!$A$5:$A$804,A179,'成交明细'!$D$5:$D$804,IF(E179="空","卖","买"))/U179,"")</f>
        <v/>
      </c>
      <c r="W179" s="35" t="str">
        <f>IF(A179="","",SUMIFS('成交明细'!$F$5:$F$804,'成交明细'!$A$5:$A$804,A179,'成交明细'!$D$5:$D$804,IF(E179="空","买","卖")))</f>
        <v/>
      </c>
      <c r="X179" s="40" t="str">
        <f>IF(N(W179)&gt;0,SUMIFS('成交明细'!$H$5:$H$804,'成交明细'!$A$5:$A$804,A179,'成交明细'!$D$5:$D$804,IF(E179="空","买","卖"))/W179,"")</f>
        <v/>
      </c>
      <c r="Y179" s="41" t="str">
        <f>IF(A179="","",IF(Q179&lt;&gt;"已执行",IF(Q179="","未填执行情况",Q179),IF(N(U179)=0,"待录成交",IF(N(W179)&gt;N(U179),"平仓多于开仓",IF(N(W179)&lt;N(U179),"持仓中","已平仓")))))</f>
        <v/>
      </c>
      <c r="Z179" s="41" t="str">
        <f>IF(AND(ISNUMBER(R179),ISNUMBER(S179)),IF(R179=S179,"日内",""),"")</f>
        <v/>
      </c>
      <c r="AA179" s="42" t="str">
        <f>IF(Z179&lt;&gt;"日内","",COUNTIFS($Z$5:$Z$304,"日内",$S$5:$S$304,"&gt;"&amp;WORKDAY(S179,-5),$S$5:$S$304,"&lt;="&amp;S179))</f>
        <v/>
      </c>
      <c r="AB179" s="41" t="str">
        <f>IF(OR(NOT(ISNUMBER(M179)),NOT(ISNUMBER(R179))),"",IF(AND(M179&gt;=R179,OR(NOT(ISNUMBER(S179)),M179&lt;=S179)),"持仓跨财报",""))</f>
        <v/>
      </c>
      <c r="AC179" s="20">
        <f>IF(AND(E179="空",ISNUMBER(O179),ISNUMBER(S179)),ROUND(O179*(S179-R179)/360*V179*U179,2),0)</f>
        <v>0</v>
      </c>
      <c r="AD179" s="43" t="str">
        <f>IF(N(U179)=0,"",SUMIFS('成交明细'!$L$5:$L$804,'成交明细'!$A$5:$A$804,A179)+AC179)</f>
        <v/>
      </c>
      <c r="AE179" s="44" t="str">
        <f>IF(Y179&lt;&gt;"已平仓","",(SUMIFS('成交明细'!$H$5:$H$804,'成交明细'!$A$5:$A$804,A179,'成交明细'!$D$5:$D$804,"卖")-SUMIFS('成交明细'!$H$5:$H$804,'成交明细'!$A$5:$A$804,A179,'成交明细'!$D$5:$D$804,"买"))*1-AD179)</f>
        <v/>
      </c>
      <c r="AF179" s="45" t="str">
        <f>IF(AND(Y179="已平仓",ISNUMBER(L179)),(SUMIFS('成交明细'!$H$5:$H$804,'成交明细'!$A$5:$A$804,A179,'成交明细'!$D$5:$D$804,"卖")-SUMIFS('成交明细'!$H$5:$H$804,'成交明细'!$A$5:$A$804,A179,'成交明细'!$D$5:$D$804,"买"))*1/L179,"")</f>
        <v/>
      </c>
      <c r="AG179" s="45" t="str">
        <f>IF(AND(Y179="已平仓",ISNUMBER(L179)),AE179/L179,"")</f>
        <v/>
      </c>
      <c r="AH179" s="46" t="str">
        <f>IF(AND(ISNUMBER(V179),ISNUMBER(F179)),IF(E179="空",F179-V179,V179-F179),"")</f>
        <v/>
      </c>
      <c r="AI179" s="46" t="str">
        <f>IF(OR(NOT(ISNUMBER(AE179)),NOT(ISNUMBER(X179))),"",IF(AE179&lt;0,IF(E179="空",X179-G179,G179-X179),IF(NOT(ISNUMBER(H179)),"",IF(E179="空",X179-H179,H179-X179))))</f>
        <v/>
      </c>
      <c r="AJ179" s="32" t="n"/>
      <c r="AK179" s="32" t="n"/>
      <c r="AL179" s="31" t="n"/>
      <c r="AM179" s="45" t="str">
        <f>IF(A179="","",SUM(AG$5:AG179))</f>
        <v/>
      </c>
      <c r="AN179" s="37" t="str">
        <f>IF(A179="","",MAX(0,MAX(AM$5:AM179))-AM179)</f>
        <v/>
      </c>
    </row>
    <row r="180">
      <c r="A180" s="29" t="n"/>
      <c r="B180" s="30" t="n"/>
      <c r="C180" s="31" t="n"/>
      <c r="D180" s="32" t="n"/>
      <c r="E180" s="32" t="n"/>
      <c r="F180" s="33" t="n"/>
      <c r="G180" s="33" t="n"/>
      <c r="H180" s="33" t="n"/>
      <c r="I180" s="34" t="str">
        <f>IF(AND(ISNUMBER(F180),ISNUMBER(G180),ISNUMBER(H180)),IF(OR(AND(E180="多",F180&gt;G180),AND(E180="空",F180&lt;G180)),ABS(H180-F180)/ABS(F180-G180),"止损方向不对"),"")</f>
        <v/>
      </c>
      <c r="J180" s="35" t="str">
        <f>IF(AND(ISNUMBER(F180),ISNUMBER(G180)),IF(F180=G180,"",IF(INT(ROUND('参数'!$C$7/(ABS(F180-G180)*1+2*'参数'!$C$11+N('参数'!$C$14)*F180+N('参数'!$C$15))/1,6))*1&gt;0,INT(ROUND('参数'!$C$7/(ABS(F180-G180)*1+2*'参数'!$C$11+N('参数'!$C$14)*F180+N('参数'!$C$15))/1,6))*1,"预算不足，这笔不做")),"")</f>
        <v/>
      </c>
      <c r="K180" s="36" t="n"/>
      <c r="L180" s="20" t="str">
        <f>IF(AND(ISNUMBER(F180),ISNUMBER(G180),ISNUMBER(K180)),IF(AND(F180&lt;&gt;G180,K180&gt;0),ABS(F180-G180)*K180*1,""),"")</f>
        <v/>
      </c>
      <c r="M180" s="30" t="n"/>
      <c r="N180" s="37" t="str">
        <f>IF(AND(ISNUMBER(L180),ISNUMBER(M180)),IF(E180="空",(G180*(1+'参数'!$C$17)-F180),(F180-G180*(1-'参数'!$C$17)))*K180/L180,"")</f>
        <v/>
      </c>
      <c r="O180" s="38" t="n"/>
      <c r="P180" s="31" t="n"/>
      <c r="Q180" s="32" t="n"/>
      <c r="R180" s="39" t="str">
        <f>IF(N(U180)&gt;0,SUMPRODUCT(LARGE(('成交明细'!$A$5:$A$804=A180)*('成交明细'!$D$5:$D$804=IF(E180="空","卖","买"))*'成交明细'!$B$5:$B$804,COUNTIFS('成交明细'!$A$5:$A$804,A180,'成交明细'!$D$5:$D$804,IF(E180="空","卖","买")))),"")</f>
        <v/>
      </c>
      <c r="S180" s="39" t="str">
        <f>IF(AND(N(U180)&gt;0,N(W180)&gt;=N(U180)),SUMPRODUCT(MAX(('成交明细'!$A$5:$A$804=A180)*('成交明细'!$D$5:$D$804=IF(E180="空","买","卖"))*'成交明细'!$B$5:$B$804)),"")</f>
        <v/>
      </c>
      <c r="T180" s="32" t="n"/>
      <c r="U180" s="35" t="str">
        <f>IF(A180="","",SUMIFS('成交明细'!$F$5:$F$804,'成交明细'!$A$5:$A$804,A180,'成交明细'!$D$5:$D$804,IF(E180="空","卖","买")))</f>
        <v/>
      </c>
      <c r="V180" s="40" t="str">
        <f>IF(N(U180)&gt;0,SUMIFS('成交明细'!$H$5:$H$804,'成交明细'!$A$5:$A$804,A180,'成交明细'!$D$5:$D$804,IF(E180="空","卖","买"))/U180,"")</f>
        <v/>
      </c>
      <c r="W180" s="35" t="str">
        <f>IF(A180="","",SUMIFS('成交明细'!$F$5:$F$804,'成交明细'!$A$5:$A$804,A180,'成交明细'!$D$5:$D$804,IF(E180="空","买","卖")))</f>
        <v/>
      </c>
      <c r="X180" s="40" t="str">
        <f>IF(N(W180)&gt;0,SUMIFS('成交明细'!$H$5:$H$804,'成交明细'!$A$5:$A$804,A180,'成交明细'!$D$5:$D$804,IF(E180="空","买","卖"))/W180,"")</f>
        <v/>
      </c>
      <c r="Y180" s="41" t="str">
        <f>IF(A180="","",IF(Q180&lt;&gt;"已执行",IF(Q180="","未填执行情况",Q180),IF(N(U180)=0,"待录成交",IF(N(W180)&gt;N(U180),"平仓多于开仓",IF(N(W180)&lt;N(U180),"持仓中","已平仓")))))</f>
        <v/>
      </c>
      <c r="Z180" s="41" t="str">
        <f>IF(AND(ISNUMBER(R180),ISNUMBER(S180)),IF(R180=S180,"日内",""),"")</f>
        <v/>
      </c>
      <c r="AA180" s="42" t="str">
        <f>IF(Z180&lt;&gt;"日内","",COUNTIFS($Z$5:$Z$304,"日内",$S$5:$S$304,"&gt;"&amp;WORKDAY(S180,-5),$S$5:$S$304,"&lt;="&amp;S180))</f>
        <v/>
      </c>
      <c r="AB180" s="41" t="str">
        <f>IF(OR(NOT(ISNUMBER(M180)),NOT(ISNUMBER(R180))),"",IF(AND(M180&gt;=R180,OR(NOT(ISNUMBER(S180)),M180&lt;=S180)),"持仓跨财报",""))</f>
        <v/>
      </c>
      <c r="AC180" s="20">
        <f>IF(AND(E180="空",ISNUMBER(O180),ISNUMBER(S180)),ROUND(O180*(S180-R180)/360*V180*U180,2),0)</f>
        <v>0</v>
      </c>
      <c r="AD180" s="43" t="str">
        <f>IF(N(U180)=0,"",SUMIFS('成交明细'!$L$5:$L$804,'成交明细'!$A$5:$A$804,A180)+AC180)</f>
        <v/>
      </c>
      <c r="AE180" s="44" t="str">
        <f>IF(Y180&lt;&gt;"已平仓","",(SUMIFS('成交明细'!$H$5:$H$804,'成交明细'!$A$5:$A$804,A180,'成交明细'!$D$5:$D$804,"卖")-SUMIFS('成交明细'!$H$5:$H$804,'成交明细'!$A$5:$A$804,A180,'成交明细'!$D$5:$D$804,"买"))*1-AD180)</f>
        <v/>
      </c>
      <c r="AF180" s="45" t="str">
        <f>IF(AND(Y180="已平仓",ISNUMBER(L180)),(SUMIFS('成交明细'!$H$5:$H$804,'成交明细'!$A$5:$A$804,A180,'成交明细'!$D$5:$D$804,"卖")-SUMIFS('成交明细'!$H$5:$H$804,'成交明细'!$A$5:$A$804,A180,'成交明细'!$D$5:$D$804,"买"))*1/L180,"")</f>
        <v/>
      </c>
      <c r="AG180" s="45" t="str">
        <f>IF(AND(Y180="已平仓",ISNUMBER(L180)),AE180/L180,"")</f>
        <v/>
      </c>
      <c r="AH180" s="46" t="str">
        <f>IF(AND(ISNUMBER(V180),ISNUMBER(F180)),IF(E180="空",F180-V180,V180-F180),"")</f>
        <v/>
      </c>
      <c r="AI180" s="46" t="str">
        <f>IF(OR(NOT(ISNUMBER(AE180)),NOT(ISNUMBER(X180))),"",IF(AE180&lt;0,IF(E180="空",X180-G180,G180-X180),IF(NOT(ISNUMBER(H180)),"",IF(E180="空",X180-H180,H180-X180))))</f>
        <v/>
      </c>
      <c r="AJ180" s="32" t="n"/>
      <c r="AK180" s="32" t="n"/>
      <c r="AL180" s="31" t="n"/>
      <c r="AM180" s="45" t="str">
        <f>IF(A180="","",SUM(AG$5:AG180))</f>
        <v/>
      </c>
      <c r="AN180" s="37" t="str">
        <f>IF(A180="","",MAX(0,MAX(AM$5:AM180))-AM180)</f>
        <v/>
      </c>
    </row>
    <row r="181">
      <c r="A181" s="29" t="n"/>
      <c r="B181" s="30" t="n"/>
      <c r="C181" s="31" t="n"/>
      <c r="D181" s="32" t="n"/>
      <c r="E181" s="32" t="n"/>
      <c r="F181" s="33" t="n"/>
      <c r="G181" s="33" t="n"/>
      <c r="H181" s="33" t="n"/>
      <c r="I181" s="34" t="str">
        <f>IF(AND(ISNUMBER(F181),ISNUMBER(G181),ISNUMBER(H181)),IF(OR(AND(E181="多",F181&gt;G181),AND(E181="空",F181&lt;G181)),ABS(H181-F181)/ABS(F181-G181),"止损方向不对"),"")</f>
        <v/>
      </c>
      <c r="J181" s="35" t="str">
        <f>IF(AND(ISNUMBER(F181),ISNUMBER(G181)),IF(F181=G181,"",IF(INT(ROUND('参数'!$C$7/(ABS(F181-G181)*1+2*'参数'!$C$11+N('参数'!$C$14)*F181+N('参数'!$C$15))/1,6))*1&gt;0,INT(ROUND('参数'!$C$7/(ABS(F181-G181)*1+2*'参数'!$C$11+N('参数'!$C$14)*F181+N('参数'!$C$15))/1,6))*1,"预算不足，这笔不做")),"")</f>
        <v/>
      </c>
      <c r="K181" s="36" t="n"/>
      <c r="L181" s="20" t="str">
        <f>IF(AND(ISNUMBER(F181),ISNUMBER(G181),ISNUMBER(K181)),IF(AND(F181&lt;&gt;G181,K181&gt;0),ABS(F181-G181)*K181*1,""),"")</f>
        <v/>
      </c>
      <c r="M181" s="30" t="n"/>
      <c r="N181" s="37" t="str">
        <f>IF(AND(ISNUMBER(L181),ISNUMBER(M181)),IF(E181="空",(G181*(1+'参数'!$C$17)-F181),(F181-G181*(1-'参数'!$C$17)))*K181/L181,"")</f>
        <v/>
      </c>
      <c r="O181" s="38" t="n"/>
      <c r="P181" s="31" t="n"/>
      <c r="Q181" s="32" t="n"/>
      <c r="R181" s="39" t="str">
        <f>IF(N(U181)&gt;0,SUMPRODUCT(LARGE(('成交明细'!$A$5:$A$804=A181)*('成交明细'!$D$5:$D$804=IF(E181="空","卖","买"))*'成交明细'!$B$5:$B$804,COUNTIFS('成交明细'!$A$5:$A$804,A181,'成交明细'!$D$5:$D$804,IF(E181="空","卖","买")))),"")</f>
        <v/>
      </c>
      <c r="S181" s="39" t="str">
        <f>IF(AND(N(U181)&gt;0,N(W181)&gt;=N(U181)),SUMPRODUCT(MAX(('成交明细'!$A$5:$A$804=A181)*('成交明细'!$D$5:$D$804=IF(E181="空","买","卖"))*'成交明细'!$B$5:$B$804)),"")</f>
        <v/>
      </c>
      <c r="T181" s="32" t="n"/>
      <c r="U181" s="35" t="str">
        <f>IF(A181="","",SUMIFS('成交明细'!$F$5:$F$804,'成交明细'!$A$5:$A$804,A181,'成交明细'!$D$5:$D$804,IF(E181="空","卖","买")))</f>
        <v/>
      </c>
      <c r="V181" s="40" t="str">
        <f>IF(N(U181)&gt;0,SUMIFS('成交明细'!$H$5:$H$804,'成交明细'!$A$5:$A$804,A181,'成交明细'!$D$5:$D$804,IF(E181="空","卖","买"))/U181,"")</f>
        <v/>
      </c>
      <c r="W181" s="35" t="str">
        <f>IF(A181="","",SUMIFS('成交明细'!$F$5:$F$804,'成交明细'!$A$5:$A$804,A181,'成交明细'!$D$5:$D$804,IF(E181="空","买","卖")))</f>
        <v/>
      </c>
      <c r="X181" s="40" t="str">
        <f>IF(N(W181)&gt;0,SUMIFS('成交明细'!$H$5:$H$804,'成交明细'!$A$5:$A$804,A181,'成交明细'!$D$5:$D$804,IF(E181="空","买","卖"))/W181,"")</f>
        <v/>
      </c>
      <c r="Y181" s="41" t="str">
        <f>IF(A181="","",IF(Q181&lt;&gt;"已执行",IF(Q181="","未填执行情况",Q181),IF(N(U181)=0,"待录成交",IF(N(W181)&gt;N(U181),"平仓多于开仓",IF(N(W181)&lt;N(U181),"持仓中","已平仓")))))</f>
        <v/>
      </c>
      <c r="Z181" s="41" t="str">
        <f>IF(AND(ISNUMBER(R181),ISNUMBER(S181)),IF(R181=S181,"日内",""),"")</f>
        <v/>
      </c>
      <c r="AA181" s="42" t="str">
        <f>IF(Z181&lt;&gt;"日内","",COUNTIFS($Z$5:$Z$304,"日内",$S$5:$S$304,"&gt;"&amp;WORKDAY(S181,-5),$S$5:$S$304,"&lt;="&amp;S181))</f>
        <v/>
      </c>
      <c r="AB181" s="41" t="str">
        <f>IF(OR(NOT(ISNUMBER(M181)),NOT(ISNUMBER(R181))),"",IF(AND(M181&gt;=R181,OR(NOT(ISNUMBER(S181)),M181&lt;=S181)),"持仓跨财报",""))</f>
        <v/>
      </c>
      <c r="AC181" s="20">
        <f>IF(AND(E181="空",ISNUMBER(O181),ISNUMBER(S181)),ROUND(O181*(S181-R181)/360*V181*U181,2),0)</f>
        <v>0</v>
      </c>
      <c r="AD181" s="43" t="str">
        <f>IF(N(U181)=0,"",SUMIFS('成交明细'!$L$5:$L$804,'成交明细'!$A$5:$A$804,A181)+AC181)</f>
        <v/>
      </c>
      <c r="AE181" s="44" t="str">
        <f>IF(Y181&lt;&gt;"已平仓","",(SUMIFS('成交明细'!$H$5:$H$804,'成交明细'!$A$5:$A$804,A181,'成交明细'!$D$5:$D$804,"卖")-SUMIFS('成交明细'!$H$5:$H$804,'成交明细'!$A$5:$A$804,A181,'成交明细'!$D$5:$D$804,"买"))*1-AD181)</f>
        <v/>
      </c>
      <c r="AF181" s="45" t="str">
        <f>IF(AND(Y181="已平仓",ISNUMBER(L181)),(SUMIFS('成交明细'!$H$5:$H$804,'成交明细'!$A$5:$A$804,A181,'成交明细'!$D$5:$D$804,"卖")-SUMIFS('成交明细'!$H$5:$H$804,'成交明细'!$A$5:$A$804,A181,'成交明细'!$D$5:$D$804,"买"))*1/L181,"")</f>
        <v/>
      </c>
      <c r="AG181" s="45" t="str">
        <f>IF(AND(Y181="已平仓",ISNUMBER(L181)),AE181/L181,"")</f>
        <v/>
      </c>
      <c r="AH181" s="46" t="str">
        <f>IF(AND(ISNUMBER(V181),ISNUMBER(F181)),IF(E181="空",F181-V181,V181-F181),"")</f>
        <v/>
      </c>
      <c r="AI181" s="46" t="str">
        <f>IF(OR(NOT(ISNUMBER(AE181)),NOT(ISNUMBER(X181))),"",IF(AE181&lt;0,IF(E181="空",X181-G181,G181-X181),IF(NOT(ISNUMBER(H181)),"",IF(E181="空",X181-H181,H181-X181))))</f>
        <v/>
      </c>
      <c r="AJ181" s="32" t="n"/>
      <c r="AK181" s="32" t="n"/>
      <c r="AL181" s="31" t="n"/>
      <c r="AM181" s="45" t="str">
        <f>IF(A181="","",SUM(AG$5:AG181))</f>
        <v/>
      </c>
      <c r="AN181" s="37" t="str">
        <f>IF(A181="","",MAX(0,MAX(AM$5:AM181))-AM181)</f>
        <v/>
      </c>
    </row>
    <row r="182">
      <c r="A182" s="29" t="n"/>
      <c r="B182" s="30" t="n"/>
      <c r="C182" s="31" t="n"/>
      <c r="D182" s="32" t="n"/>
      <c r="E182" s="32" t="n"/>
      <c r="F182" s="33" t="n"/>
      <c r="G182" s="33" t="n"/>
      <c r="H182" s="33" t="n"/>
      <c r="I182" s="34" t="str">
        <f>IF(AND(ISNUMBER(F182),ISNUMBER(G182),ISNUMBER(H182)),IF(OR(AND(E182="多",F182&gt;G182),AND(E182="空",F182&lt;G182)),ABS(H182-F182)/ABS(F182-G182),"止损方向不对"),"")</f>
        <v/>
      </c>
      <c r="J182" s="35" t="str">
        <f>IF(AND(ISNUMBER(F182),ISNUMBER(G182)),IF(F182=G182,"",IF(INT(ROUND('参数'!$C$7/(ABS(F182-G182)*1+2*'参数'!$C$11+N('参数'!$C$14)*F182+N('参数'!$C$15))/1,6))*1&gt;0,INT(ROUND('参数'!$C$7/(ABS(F182-G182)*1+2*'参数'!$C$11+N('参数'!$C$14)*F182+N('参数'!$C$15))/1,6))*1,"预算不足，这笔不做")),"")</f>
        <v/>
      </c>
      <c r="K182" s="36" t="n"/>
      <c r="L182" s="20" t="str">
        <f>IF(AND(ISNUMBER(F182),ISNUMBER(G182),ISNUMBER(K182)),IF(AND(F182&lt;&gt;G182,K182&gt;0),ABS(F182-G182)*K182*1,""),"")</f>
        <v/>
      </c>
      <c r="M182" s="30" t="n"/>
      <c r="N182" s="37" t="str">
        <f>IF(AND(ISNUMBER(L182),ISNUMBER(M182)),IF(E182="空",(G182*(1+'参数'!$C$17)-F182),(F182-G182*(1-'参数'!$C$17)))*K182/L182,"")</f>
        <v/>
      </c>
      <c r="O182" s="38" t="n"/>
      <c r="P182" s="31" t="n"/>
      <c r="Q182" s="32" t="n"/>
      <c r="R182" s="39" t="str">
        <f>IF(N(U182)&gt;0,SUMPRODUCT(LARGE(('成交明细'!$A$5:$A$804=A182)*('成交明细'!$D$5:$D$804=IF(E182="空","卖","买"))*'成交明细'!$B$5:$B$804,COUNTIFS('成交明细'!$A$5:$A$804,A182,'成交明细'!$D$5:$D$804,IF(E182="空","卖","买")))),"")</f>
        <v/>
      </c>
      <c r="S182" s="39" t="str">
        <f>IF(AND(N(U182)&gt;0,N(W182)&gt;=N(U182)),SUMPRODUCT(MAX(('成交明细'!$A$5:$A$804=A182)*('成交明细'!$D$5:$D$804=IF(E182="空","买","卖"))*'成交明细'!$B$5:$B$804)),"")</f>
        <v/>
      </c>
      <c r="T182" s="32" t="n"/>
      <c r="U182" s="35" t="str">
        <f>IF(A182="","",SUMIFS('成交明细'!$F$5:$F$804,'成交明细'!$A$5:$A$804,A182,'成交明细'!$D$5:$D$804,IF(E182="空","卖","买")))</f>
        <v/>
      </c>
      <c r="V182" s="40" t="str">
        <f>IF(N(U182)&gt;0,SUMIFS('成交明细'!$H$5:$H$804,'成交明细'!$A$5:$A$804,A182,'成交明细'!$D$5:$D$804,IF(E182="空","卖","买"))/U182,"")</f>
        <v/>
      </c>
      <c r="W182" s="35" t="str">
        <f>IF(A182="","",SUMIFS('成交明细'!$F$5:$F$804,'成交明细'!$A$5:$A$804,A182,'成交明细'!$D$5:$D$804,IF(E182="空","买","卖")))</f>
        <v/>
      </c>
      <c r="X182" s="40" t="str">
        <f>IF(N(W182)&gt;0,SUMIFS('成交明细'!$H$5:$H$804,'成交明细'!$A$5:$A$804,A182,'成交明细'!$D$5:$D$804,IF(E182="空","买","卖"))/W182,"")</f>
        <v/>
      </c>
      <c r="Y182" s="41" t="str">
        <f>IF(A182="","",IF(Q182&lt;&gt;"已执行",IF(Q182="","未填执行情况",Q182),IF(N(U182)=0,"待录成交",IF(N(W182)&gt;N(U182),"平仓多于开仓",IF(N(W182)&lt;N(U182),"持仓中","已平仓")))))</f>
        <v/>
      </c>
      <c r="Z182" s="41" t="str">
        <f>IF(AND(ISNUMBER(R182),ISNUMBER(S182)),IF(R182=S182,"日内",""),"")</f>
        <v/>
      </c>
      <c r="AA182" s="42" t="str">
        <f>IF(Z182&lt;&gt;"日内","",COUNTIFS($Z$5:$Z$304,"日内",$S$5:$S$304,"&gt;"&amp;WORKDAY(S182,-5),$S$5:$S$304,"&lt;="&amp;S182))</f>
        <v/>
      </c>
      <c r="AB182" s="41" t="str">
        <f>IF(OR(NOT(ISNUMBER(M182)),NOT(ISNUMBER(R182))),"",IF(AND(M182&gt;=R182,OR(NOT(ISNUMBER(S182)),M182&lt;=S182)),"持仓跨财报",""))</f>
        <v/>
      </c>
      <c r="AC182" s="20">
        <f>IF(AND(E182="空",ISNUMBER(O182),ISNUMBER(S182)),ROUND(O182*(S182-R182)/360*V182*U182,2),0)</f>
        <v>0</v>
      </c>
      <c r="AD182" s="43" t="str">
        <f>IF(N(U182)=0,"",SUMIFS('成交明细'!$L$5:$L$804,'成交明细'!$A$5:$A$804,A182)+AC182)</f>
        <v/>
      </c>
      <c r="AE182" s="44" t="str">
        <f>IF(Y182&lt;&gt;"已平仓","",(SUMIFS('成交明细'!$H$5:$H$804,'成交明细'!$A$5:$A$804,A182,'成交明细'!$D$5:$D$804,"卖")-SUMIFS('成交明细'!$H$5:$H$804,'成交明细'!$A$5:$A$804,A182,'成交明细'!$D$5:$D$804,"买"))*1-AD182)</f>
        <v/>
      </c>
      <c r="AF182" s="45" t="str">
        <f>IF(AND(Y182="已平仓",ISNUMBER(L182)),(SUMIFS('成交明细'!$H$5:$H$804,'成交明细'!$A$5:$A$804,A182,'成交明细'!$D$5:$D$804,"卖")-SUMIFS('成交明细'!$H$5:$H$804,'成交明细'!$A$5:$A$804,A182,'成交明细'!$D$5:$D$804,"买"))*1/L182,"")</f>
        <v/>
      </c>
      <c r="AG182" s="45" t="str">
        <f>IF(AND(Y182="已平仓",ISNUMBER(L182)),AE182/L182,"")</f>
        <v/>
      </c>
      <c r="AH182" s="46" t="str">
        <f>IF(AND(ISNUMBER(V182),ISNUMBER(F182)),IF(E182="空",F182-V182,V182-F182),"")</f>
        <v/>
      </c>
      <c r="AI182" s="46" t="str">
        <f>IF(OR(NOT(ISNUMBER(AE182)),NOT(ISNUMBER(X182))),"",IF(AE182&lt;0,IF(E182="空",X182-G182,G182-X182),IF(NOT(ISNUMBER(H182)),"",IF(E182="空",X182-H182,H182-X182))))</f>
        <v/>
      </c>
      <c r="AJ182" s="32" t="n"/>
      <c r="AK182" s="32" t="n"/>
      <c r="AL182" s="31" t="n"/>
      <c r="AM182" s="45" t="str">
        <f>IF(A182="","",SUM(AG$5:AG182))</f>
        <v/>
      </c>
      <c r="AN182" s="37" t="str">
        <f>IF(A182="","",MAX(0,MAX(AM$5:AM182))-AM182)</f>
        <v/>
      </c>
    </row>
    <row r="183">
      <c r="A183" s="29" t="n"/>
      <c r="B183" s="30" t="n"/>
      <c r="C183" s="31" t="n"/>
      <c r="D183" s="32" t="n"/>
      <c r="E183" s="32" t="n"/>
      <c r="F183" s="33" t="n"/>
      <c r="G183" s="33" t="n"/>
      <c r="H183" s="33" t="n"/>
      <c r="I183" s="34" t="str">
        <f>IF(AND(ISNUMBER(F183),ISNUMBER(G183),ISNUMBER(H183)),IF(OR(AND(E183="多",F183&gt;G183),AND(E183="空",F183&lt;G183)),ABS(H183-F183)/ABS(F183-G183),"止损方向不对"),"")</f>
        <v/>
      </c>
      <c r="J183" s="35" t="str">
        <f>IF(AND(ISNUMBER(F183),ISNUMBER(G183)),IF(F183=G183,"",IF(INT(ROUND('参数'!$C$7/(ABS(F183-G183)*1+2*'参数'!$C$11+N('参数'!$C$14)*F183+N('参数'!$C$15))/1,6))*1&gt;0,INT(ROUND('参数'!$C$7/(ABS(F183-G183)*1+2*'参数'!$C$11+N('参数'!$C$14)*F183+N('参数'!$C$15))/1,6))*1,"预算不足，这笔不做")),"")</f>
        <v/>
      </c>
      <c r="K183" s="36" t="n"/>
      <c r="L183" s="20" t="str">
        <f>IF(AND(ISNUMBER(F183),ISNUMBER(G183),ISNUMBER(K183)),IF(AND(F183&lt;&gt;G183,K183&gt;0),ABS(F183-G183)*K183*1,""),"")</f>
        <v/>
      </c>
      <c r="M183" s="30" t="n"/>
      <c r="N183" s="37" t="str">
        <f>IF(AND(ISNUMBER(L183),ISNUMBER(M183)),IF(E183="空",(G183*(1+'参数'!$C$17)-F183),(F183-G183*(1-'参数'!$C$17)))*K183/L183,"")</f>
        <v/>
      </c>
      <c r="O183" s="38" t="n"/>
      <c r="P183" s="31" t="n"/>
      <c r="Q183" s="32" t="n"/>
      <c r="R183" s="39" t="str">
        <f>IF(N(U183)&gt;0,SUMPRODUCT(LARGE(('成交明细'!$A$5:$A$804=A183)*('成交明细'!$D$5:$D$804=IF(E183="空","卖","买"))*'成交明细'!$B$5:$B$804,COUNTIFS('成交明细'!$A$5:$A$804,A183,'成交明细'!$D$5:$D$804,IF(E183="空","卖","买")))),"")</f>
        <v/>
      </c>
      <c r="S183" s="39" t="str">
        <f>IF(AND(N(U183)&gt;0,N(W183)&gt;=N(U183)),SUMPRODUCT(MAX(('成交明细'!$A$5:$A$804=A183)*('成交明细'!$D$5:$D$804=IF(E183="空","买","卖"))*'成交明细'!$B$5:$B$804)),"")</f>
        <v/>
      </c>
      <c r="T183" s="32" t="n"/>
      <c r="U183" s="35" t="str">
        <f>IF(A183="","",SUMIFS('成交明细'!$F$5:$F$804,'成交明细'!$A$5:$A$804,A183,'成交明细'!$D$5:$D$804,IF(E183="空","卖","买")))</f>
        <v/>
      </c>
      <c r="V183" s="40" t="str">
        <f>IF(N(U183)&gt;0,SUMIFS('成交明细'!$H$5:$H$804,'成交明细'!$A$5:$A$804,A183,'成交明细'!$D$5:$D$804,IF(E183="空","卖","买"))/U183,"")</f>
        <v/>
      </c>
      <c r="W183" s="35" t="str">
        <f>IF(A183="","",SUMIFS('成交明细'!$F$5:$F$804,'成交明细'!$A$5:$A$804,A183,'成交明细'!$D$5:$D$804,IF(E183="空","买","卖")))</f>
        <v/>
      </c>
      <c r="X183" s="40" t="str">
        <f>IF(N(W183)&gt;0,SUMIFS('成交明细'!$H$5:$H$804,'成交明细'!$A$5:$A$804,A183,'成交明细'!$D$5:$D$804,IF(E183="空","买","卖"))/W183,"")</f>
        <v/>
      </c>
      <c r="Y183" s="41" t="str">
        <f>IF(A183="","",IF(Q183&lt;&gt;"已执行",IF(Q183="","未填执行情况",Q183),IF(N(U183)=0,"待录成交",IF(N(W183)&gt;N(U183),"平仓多于开仓",IF(N(W183)&lt;N(U183),"持仓中","已平仓")))))</f>
        <v/>
      </c>
      <c r="Z183" s="41" t="str">
        <f>IF(AND(ISNUMBER(R183),ISNUMBER(S183)),IF(R183=S183,"日内",""),"")</f>
        <v/>
      </c>
      <c r="AA183" s="42" t="str">
        <f>IF(Z183&lt;&gt;"日内","",COUNTIFS($Z$5:$Z$304,"日内",$S$5:$S$304,"&gt;"&amp;WORKDAY(S183,-5),$S$5:$S$304,"&lt;="&amp;S183))</f>
        <v/>
      </c>
      <c r="AB183" s="41" t="str">
        <f>IF(OR(NOT(ISNUMBER(M183)),NOT(ISNUMBER(R183))),"",IF(AND(M183&gt;=R183,OR(NOT(ISNUMBER(S183)),M183&lt;=S183)),"持仓跨财报",""))</f>
        <v/>
      </c>
      <c r="AC183" s="20">
        <f>IF(AND(E183="空",ISNUMBER(O183),ISNUMBER(S183)),ROUND(O183*(S183-R183)/360*V183*U183,2),0)</f>
        <v>0</v>
      </c>
      <c r="AD183" s="43" t="str">
        <f>IF(N(U183)=0,"",SUMIFS('成交明细'!$L$5:$L$804,'成交明细'!$A$5:$A$804,A183)+AC183)</f>
        <v/>
      </c>
      <c r="AE183" s="44" t="str">
        <f>IF(Y183&lt;&gt;"已平仓","",(SUMIFS('成交明细'!$H$5:$H$804,'成交明细'!$A$5:$A$804,A183,'成交明细'!$D$5:$D$804,"卖")-SUMIFS('成交明细'!$H$5:$H$804,'成交明细'!$A$5:$A$804,A183,'成交明细'!$D$5:$D$804,"买"))*1-AD183)</f>
        <v/>
      </c>
      <c r="AF183" s="45" t="str">
        <f>IF(AND(Y183="已平仓",ISNUMBER(L183)),(SUMIFS('成交明细'!$H$5:$H$804,'成交明细'!$A$5:$A$804,A183,'成交明细'!$D$5:$D$804,"卖")-SUMIFS('成交明细'!$H$5:$H$804,'成交明细'!$A$5:$A$804,A183,'成交明细'!$D$5:$D$804,"买"))*1/L183,"")</f>
        <v/>
      </c>
      <c r="AG183" s="45" t="str">
        <f>IF(AND(Y183="已平仓",ISNUMBER(L183)),AE183/L183,"")</f>
        <v/>
      </c>
      <c r="AH183" s="46" t="str">
        <f>IF(AND(ISNUMBER(V183),ISNUMBER(F183)),IF(E183="空",F183-V183,V183-F183),"")</f>
        <v/>
      </c>
      <c r="AI183" s="46" t="str">
        <f>IF(OR(NOT(ISNUMBER(AE183)),NOT(ISNUMBER(X183))),"",IF(AE183&lt;0,IF(E183="空",X183-G183,G183-X183),IF(NOT(ISNUMBER(H183)),"",IF(E183="空",X183-H183,H183-X183))))</f>
        <v/>
      </c>
      <c r="AJ183" s="32" t="n"/>
      <c r="AK183" s="32" t="n"/>
      <c r="AL183" s="31" t="n"/>
      <c r="AM183" s="45" t="str">
        <f>IF(A183="","",SUM(AG$5:AG183))</f>
        <v/>
      </c>
      <c r="AN183" s="37" t="str">
        <f>IF(A183="","",MAX(0,MAX(AM$5:AM183))-AM183)</f>
        <v/>
      </c>
    </row>
    <row r="184">
      <c r="A184" s="29" t="n"/>
      <c r="B184" s="30" t="n"/>
      <c r="C184" s="31" t="n"/>
      <c r="D184" s="32" t="n"/>
      <c r="E184" s="32" t="n"/>
      <c r="F184" s="33" t="n"/>
      <c r="G184" s="33" t="n"/>
      <c r="H184" s="33" t="n"/>
      <c r="I184" s="34" t="str">
        <f>IF(AND(ISNUMBER(F184),ISNUMBER(G184),ISNUMBER(H184)),IF(OR(AND(E184="多",F184&gt;G184),AND(E184="空",F184&lt;G184)),ABS(H184-F184)/ABS(F184-G184),"止损方向不对"),"")</f>
        <v/>
      </c>
      <c r="J184" s="35" t="str">
        <f>IF(AND(ISNUMBER(F184),ISNUMBER(G184)),IF(F184=G184,"",IF(INT(ROUND('参数'!$C$7/(ABS(F184-G184)*1+2*'参数'!$C$11+N('参数'!$C$14)*F184+N('参数'!$C$15))/1,6))*1&gt;0,INT(ROUND('参数'!$C$7/(ABS(F184-G184)*1+2*'参数'!$C$11+N('参数'!$C$14)*F184+N('参数'!$C$15))/1,6))*1,"预算不足，这笔不做")),"")</f>
        <v/>
      </c>
      <c r="K184" s="36" t="n"/>
      <c r="L184" s="20" t="str">
        <f>IF(AND(ISNUMBER(F184),ISNUMBER(G184),ISNUMBER(K184)),IF(AND(F184&lt;&gt;G184,K184&gt;0),ABS(F184-G184)*K184*1,""),"")</f>
        <v/>
      </c>
      <c r="M184" s="30" t="n"/>
      <c r="N184" s="37" t="str">
        <f>IF(AND(ISNUMBER(L184),ISNUMBER(M184)),IF(E184="空",(G184*(1+'参数'!$C$17)-F184),(F184-G184*(1-'参数'!$C$17)))*K184/L184,"")</f>
        <v/>
      </c>
      <c r="O184" s="38" t="n"/>
      <c r="P184" s="31" t="n"/>
      <c r="Q184" s="32" t="n"/>
      <c r="R184" s="39" t="str">
        <f>IF(N(U184)&gt;0,SUMPRODUCT(LARGE(('成交明细'!$A$5:$A$804=A184)*('成交明细'!$D$5:$D$804=IF(E184="空","卖","买"))*'成交明细'!$B$5:$B$804,COUNTIFS('成交明细'!$A$5:$A$804,A184,'成交明细'!$D$5:$D$804,IF(E184="空","卖","买")))),"")</f>
        <v/>
      </c>
      <c r="S184" s="39" t="str">
        <f>IF(AND(N(U184)&gt;0,N(W184)&gt;=N(U184)),SUMPRODUCT(MAX(('成交明细'!$A$5:$A$804=A184)*('成交明细'!$D$5:$D$804=IF(E184="空","买","卖"))*'成交明细'!$B$5:$B$804)),"")</f>
        <v/>
      </c>
      <c r="T184" s="32" t="n"/>
      <c r="U184" s="35" t="str">
        <f>IF(A184="","",SUMIFS('成交明细'!$F$5:$F$804,'成交明细'!$A$5:$A$804,A184,'成交明细'!$D$5:$D$804,IF(E184="空","卖","买")))</f>
        <v/>
      </c>
      <c r="V184" s="40" t="str">
        <f>IF(N(U184)&gt;0,SUMIFS('成交明细'!$H$5:$H$804,'成交明细'!$A$5:$A$804,A184,'成交明细'!$D$5:$D$804,IF(E184="空","卖","买"))/U184,"")</f>
        <v/>
      </c>
      <c r="W184" s="35" t="str">
        <f>IF(A184="","",SUMIFS('成交明细'!$F$5:$F$804,'成交明细'!$A$5:$A$804,A184,'成交明细'!$D$5:$D$804,IF(E184="空","买","卖")))</f>
        <v/>
      </c>
      <c r="X184" s="40" t="str">
        <f>IF(N(W184)&gt;0,SUMIFS('成交明细'!$H$5:$H$804,'成交明细'!$A$5:$A$804,A184,'成交明细'!$D$5:$D$804,IF(E184="空","买","卖"))/W184,"")</f>
        <v/>
      </c>
      <c r="Y184" s="41" t="str">
        <f>IF(A184="","",IF(Q184&lt;&gt;"已执行",IF(Q184="","未填执行情况",Q184),IF(N(U184)=0,"待录成交",IF(N(W184)&gt;N(U184),"平仓多于开仓",IF(N(W184)&lt;N(U184),"持仓中","已平仓")))))</f>
        <v/>
      </c>
      <c r="Z184" s="41" t="str">
        <f>IF(AND(ISNUMBER(R184),ISNUMBER(S184)),IF(R184=S184,"日内",""),"")</f>
        <v/>
      </c>
      <c r="AA184" s="42" t="str">
        <f>IF(Z184&lt;&gt;"日内","",COUNTIFS($Z$5:$Z$304,"日内",$S$5:$S$304,"&gt;"&amp;WORKDAY(S184,-5),$S$5:$S$304,"&lt;="&amp;S184))</f>
        <v/>
      </c>
      <c r="AB184" s="41" t="str">
        <f>IF(OR(NOT(ISNUMBER(M184)),NOT(ISNUMBER(R184))),"",IF(AND(M184&gt;=R184,OR(NOT(ISNUMBER(S184)),M184&lt;=S184)),"持仓跨财报",""))</f>
        <v/>
      </c>
      <c r="AC184" s="20">
        <f>IF(AND(E184="空",ISNUMBER(O184),ISNUMBER(S184)),ROUND(O184*(S184-R184)/360*V184*U184,2),0)</f>
        <v>0</v>
      </c>
      <c r="AD184" s="43" t="str">
        <f>IF(N(U184)=0,"",SUMIFS('成交明细'!$L$5:$L$804,'成交明细'!$A$5:$A$804,A184)+AC184)</f>
        <v/>
      </c>
      <c r="AE184" s="44" t="str">
        <f>IF(Y184&lt;&gt;"已平仓","",(SUMIFS('成交明细'!$H$5:$H$804,'成交明细'!$A$5:$A$804,A184,'成交明细'!$D$5:$D$804,"卖")-SUMIFS('成交明细'!$H$5:$H$804,'成交明细'!$A$5:$A$804,A184,'成交明细'!$D$5:$D$804,"买"))*1-AD184)</f>
        <v/>
      </c>
      <c r="AF184" s="45" t="str">
        <f>IF(AND(Y184="已平仓",ISNUMBER(L184)),(SUMIFS('成交明细'!$H$5:$H$804,'成交明细'!$A$5:$A$804,A184,'成交明细'!$D$5:$D$804,"卖")-SUMIFS('成交明细'!$H$5:$H$804,'成交明细'!$A$5:$A$804,A184,'成交明细'!$D$5:$D$804,"买"))*1/L184,"")</f>
        <v/>
      </c>
      <c r="AG184" s="45" t="str">
        <f>IF(AND(Y184="已平仓",ISNUMBER(L184)),AE184/L184,"")</f>
        <v/>
      </c>
      <c r="AH184" s="46" t="str">
        <f>IF(AND(ISNUMBER(V184),ISNUMBER(F184)),IF(E184="空",F184-V184,V184-F184),"")</f>
        <v/>
      </c>
      <c r="AI184" s="46" t="str">
        <f>IF(OR(NOT(ISNUMBER(AE184)),NOT(ISNUMBER(X184))),"",IF(AE184&lt;0,IF(E184="空",X184-G184,G184-X184),IF(NOT(ISNUMBER(H184)),"",IF(E184="空",X184-H184,H184-X184))))</f>
        <v/>
      </c>
      <c r="AJ184" s="32" t="n"/>
      <c r="AK184" s="32" t="n"/>
      <c r="AL184" s="31" t="n"/>
      <c r="AM184" s="45" t="str">
        <f>IF(A184="","",SUM(AG$5:AG184))</f>
        <v/>
      </c>
      <c r="AN184" s="37" t="str">
        <f>IF(A184="","",MAX(0,MAX(AM$5:AM184))-AM184)</f>
        <v/>
      </c>
    </row>
    <row r="185">
      <c r="A185" s="29" t="n"/>
      <c r="B185" s="30" t="n"/>
      <c r="C185" s="31" t="n"/>
      <c r="D185" s="32" t="n"/>
      <c r="E185" s="32" t="n"/>
      <c r="F185" s="33" t="n"/>
      <c r="G185" s="33" t="n"/>
      <c r="H185" s="33" t="n"/>
      <c r="I185" s="34" t="str">
        <f>IF(AND(ISNUMBER(F185),ISNUMBER(G185),ISNUMBER(H185)),IF(OR(AND(E185="多",F185&gt;G185),AND(E185="空",F185&lt;G185)),ABS(H185-F185)/ABS(F185-G185),"止损方向不对"),"")</f>
        <v/>
      </c>
      <c r="J185" s="35" t="str">
        <f>IF(AND(ISNUMBER(F185),ISNUMBER(G185)),IF(F185=G185,"",IF(INT(ROUND('参数'!$C$7/(ABS(F185-G185)*1+2*'参数'!$C$11+N('参数'!$C$14)*F185+N('参数'!$C$15))/1,6))*1&gt;0,INT(ROUND('参数'!$C$7/(ABS(F185-G185)*1+2*'参数'!$C$11+N('参数'!$C$14)*F185+N('参数'!$C$15))/1,6))*1,"预算不足，这笔不做")),"")</f>
        <v/>
      </c>
      <c r="K185" s="36" t="n"/>
      <c r="L185" s="20" t="str">
        <f>IF(AND(ISNUMBER(F185),ISNUMBER(G185),ISNUMBER(K185)),IF(AND(F185&lt;&gt;G185,K185&gt;0),ABS(F185-G185)*K185*1,""),"")</f>
        <v/>
      </c>
      <c r="M185" s="30" t="n"/>
      <c r="N185" s="37" t="str">
        <f>IF(AND(ISNUMBER(L185),ISNUMBER(M185)),IF(E185="空",(G185*(1+'参数'!$C$17)-F185),(F185-G185*(1-'参数'!$C$17)))*K185/L185,"")</f>
        <v/>
      </c>
      <c r="O185" s="38" t="n"/>
      <c r="P185" s="31" t="n"/>
      <c r="Q185" s="32" t="n"/>
      <c r="R185" s="39" t="str">
        <f>IF(N(U185)&gt;0,SUMPRODUCT(LARGE(('成交明细'!$A$5:$A$804=A185)*('成交明细'!$D$5:$D$804=IF(E185="空","卖","买"))*'成交明细'!$B$5:$B$804,COUNTIFS('成交明细'!$A$5:$A$804,A185,'成交明细'!$D$5:$D$804,IF(E185="空","卖","买")))),"")</f>
        <v/>
      </c>
      <c r="S185" s="39" t="str">
        <f>IF(AND(N(U185)&gt;0,N(W185)&gt;=N(U185)),SUMPRODUCT(MAX(('成交明细'!$A$5:$A$804=A185)*('成交明细'!$D$5:$D$804=IF(E185="空","买","卖"))*'成交明细'!$B$5:$B$804)),"")</f>
        <v/>
      </c>
      <c r="T185" s="32" t="n"/>
      <c r="U185" s="35" t="str">
        <f>IF(A185="","",SUMIFS('成交明细'!$F$5:$F$804,'成交明细'!$A$5:$A$804,A185,'成交明细'!$D$5:$D$804,IF(E185="空","卖","买")))</f>
        <v/>
      </c>
      <c r="V185" s="40" t="str">
        <f>IF(N(U185)&gt;0,SUMIFS('成交明细'!$H$5:$H$804,'成交明细'!$A$5:$A$804,A185,'成交明细'!$D$5:$D$804,IF(E185="空","卖","买"))/U185,"")</f>
        <v/>
      </c>
      <c r="W185" s="35" t="str">
        <f>IF(A185="","",SUMIFS('成交明细'!$F$5:$F$804,'成交明细'!$A$5:$A$804,A185,'成交明细'!$D$5:$D$804,IF(E185="空","买","卖")))</f>
        <v/>
      </c>
      <c r="X185" s="40" t="str">
        <f>IF(N(W185)&gt;0,SUMIFS('成交明细'!$H$5:$H$804,'成交明细'!$A$5:$A$804,A185,'成交明细'!$D$5:$D$804,IF(E185="空","买","卖"))/W185,"")</f>
        <v/>
      </c>
      <c r="Y185" s="41" t="str">
        <f>IF(A185="","",IF(Q185&lt;&gt;"已执行",IF(Q185="","未填执行情况",Q185),IF(N(U185)=0,"待录成交",IF(N(W185)&gt;N(U185),"平仓多于开仓",IF(N(W185)&lt;N(U185),"持仓中","已平仓")))))</f>
        <v/>
      </c>
      <c r="Z185" s="41" t="str">
        <f>IF(AND(ISNUMBER(R185),ISNUMBER(S185)),IF(R185=S185,"日内",""),"")</f>
        <v/>
      </c>
      <c r="AA185" s="42" t="str">
        <f>IF(Z185&lt;&gt;"日内","",COUNTIFS($Z$5:$Z$304,"日内",$S$5:$S$304,"&gt;"&amp;WORKDAY(S185,-5),$S$5:$S$304,"&lt;="&amp;S185))</f>
        <v/>
      </c>
      <c r="AB185" s="41" t="str">
        <f>IF(OR(NOT(ISNUMBER(M185)),NOT(ISNUMBER(R185))),"",IF(AND(M185&gt;=R185,OR(NOT(ISNUMBER(S185)),M185&lt;=S185)),"持仓跨财报",""))</f>
        <v/>
      </c>
      <c r="AC185" s="20">
        <f>IF(AND(E185="空",ISNUMBER(O185),ISNUMBER(S185)),ROUND(O185*(S185-R185)/360*V185*U185,2),0)</f>
        <v>0</v>
      </c>
      <c r="AD185" s="43" t="str">
        <f>IF(N(U185)=0,"",SUMIFS('成交明细'!$L$5:$L$804,'成交明细'!$A$5:$A$804,A185)+AC185)</f>
        <v/>
      </c>
      <c r="AE185" s="44" t="str">
        <f>IF(Y185&lt;&gt;"已平仓","",(SUMIFS('成交明细'!$H$5:$H$804,'成交明细'!$A$5:$A$804,A185,'成交明细'!$D$5:$D$804,"卖")-SUMIFS('成交明细'!$H$5:$H$804,'成交明细'!$A$5:$A$804,A185,'成交明细'!$D$5:$D$804,"买"))*1-AD185)</f>
        <v/>
      </c>
      <c r="AF185" s="45" t="str">
        <f>IF(AND(Y185="已平仓",ISNUMBER(L185)),(SUMIFS('成交明细'!$H$5:$H$804,'成交明细'!$A$5:$A$804,A185,'成交明细'!$D$5:$D$804,"卖")-SUMIFS('成交明细'!$H$5:$H$804,'成交明细'!$A$5:$A$804,A185,'成交明细'!$D$5:$D$804,"买"))*1/L185,"")</f>
        <v/>
      </c>
      <c r="AG185" s="45" t="str">
        <f>IF(AND(Y185="已平仓",ISNUMBER(L185)),AE185/L185,"")</f>
        <v/>
      </c>
      <c r="AH185" s="46" t="str">
        <f>IF(AND(ISNUMBER(V185),ISNUMBER(F185)),IF(E185="空",F185-V185,V185-F185),"")</f>
        <v/>
      </c>
      <c r="AI185" s="46" t="str">
        <f>IF(OR(NOT(ISNUMBER(AE185)),NOT(ISNUMBER(X185))),"",IF(AE185&lt;0,IF(E185="空",X185-G185,G185-X185),IF(NOT(ISNUMBER(H185)),"",IF(E185="空",X185-H185,H185-X185))))</f>
        <v/>
      </c>
      <c r="AJ185" s="32" t="n"/>
      <c r="AK185" s="32" t="n"/>
      <c r="AL185" s="31" t="n"/>
      <c r="AM185" s="45" t="str">
        <f>IF(A185="","",SUM(AG$5:AG185))</f>
        <v/>
      </c>
      <c r="AN185" s="37" t="str">
        <f>IF(A185="","",MAX(0,MAX(AM$5:AM185))-AM185)</f>
        <v/>
      </c>
    </row>
    <row r="186">
      <c r="A186" s="29" t="n"/>
      <c r="B186" s="30" t="n"/>
      <c r="C186" s="31" t="n"/>
      <c r="D186" s="32" t="n"/>
      <c r="E186" s="32" t="n"/>
      <c r="F186" s="33" t="n"/>
      <c r="G186" s="33" t="n"/>
      <c r="H186" s="33" t="n"/>
      <c r="I186" s="34" t="str">
        <f>IF(AND(ISNUMBER(F186),ISNUMBER(G186),ISNUMBER(H186)),IF(OR(AND(E186="多",F186&gt;G186),AND(E186="空",F186&lt;G186)),ABS(H186-F186)/ABS(F186-G186),"止损方向不对"),"")</f>
        <v/>
      </c>
      <c r="J186" s="35" t="str">
        <f>IF(AND(ISNUMBER(F186),ISNUMBER(G186)),IF(F186=G186,"",IF(INT(ROUND('参数'!$C$7/(ABS(F186-G186)*1+2*'参数'!$C$11+N('参数'!$C$14)*F186+N('参数'!$C$15))/1,6))*1&gt;0,INT(ROUND('参数'!$C$7/(ABS(F186-G186)*1+2*'参数'!$C$11+N('参数'!$C$14)*F186+N('参数'!$C$15))/1,6))*1,"预算不足，这笔不做")),"")</f>
        <v/>
      </c>
      <c r="K186" s="36" t="n"/>
      <c r="L186" s="20" t="str">
        <f>IF(AND(ISNUMBER(F186),ISNUMBER(G186),ISNUMBER(K186)),IF(AND(F186&lt;&gt;G186,K186&gt;0),ABS(F186-G186)*K186*1,""),"")</f>
        <v/>
      </c>
      <c r="M186" s="30" t="n"/>
      <c r="N186" s="37" t="str">
        <f>IF(AND(ISNUMBER(L186),ISNUMBER(M186)),IF(E186="空",(G186*(1+'参数'!$C$17)-F186),(F186-G186*(1-'参数'!$C$17)))*K186/L186,"")</f>
        <v/>
      </c>
      <c r="O186" s="38" t="n"/>
      <c r="P186" s="31" t="n"/>
      <c r="Q186" s="32" t="n"/>
      <c r="R186" s="39" t="str">
        <f>IF(N(U186)&gt;0,SUMPRODUCT(LARGE(('成交明细'!$A$5:$A$804=A186)*('成交明细'!$D$5:$D$804=IF(E186="空","卖","买"))*'成交明细'!$B$5:$B$804,COUNTIFS('成交明细'!$A$5:$A$804,A186,'成交明细'!$D$5:$D$804,IF(E186="空","卖","买")))),"")</f>
        <v/>
      </c>
      <c r="S186" s="39" t="str">
        <f>IF(AND(N(U186)&gt;0,N(W186)&gt;=N(U186)),SUMPRODUCT(MAX(('成交明细'!$A$5:$A$804=A186)*('成交明细'!$D$5:$D$804=IF(E186="空","买","卖"))*'成交明细'!$B$5:$B$804)),"")</f>
        <v/>
      </c>
      <c r="T186" s="32" t="n"/>
      <c r="U186" s="35" t="str">
        <f>IF(A186="","",SUMIFS('成交明细'!$F$5:$F$804,'成交明细'!$A$5:$A$804,A186,'成交明细'!$D$5:$D$804,IF(E186="空","卖","买")))</f>
        <v/>
      </c>
      <c r="V186" s="40" t="str">
        <f>IF(N(U186)&gt;0,SUMIFS('成交明细'!$H$5:$H$804,'成交明细'!$A$5:$A$804,A186,'成交明细'!$D$5:$D$804,IF(E186="空","卖","买"))/U186,"")</f>
        <v/>
      </c>
      <c r="W186" s="35" t="str">
        <f>IF(A186="","",SUMIFS('成交明细'!$F$5:$F$804,'成交明细'!$A$5:$A$804,A186,'成交明细'!$D$5:$D$804,IF(E186="空","买","卖")))</f>
        <v/>
      </c>
      <c r="X186" s="40" t="str">
        <f>IF(N(W186)&gt;0,SUMIFS('成交明细'!$H$5:$H$804,'成交明细'!$A$5:$A$804,A186,'成交明细'!$D$5:$D$804,IF(E186="空","买","卖"))/W186,"")</f>
        <v/>
      </c>
      <c r="Y186" s="41" t="str">
        <f>IF(A186="","",IF(Q186&lt;&gt;"已执行",IF(Q186="","未填执行情况",Q186),IF(N(U186)=0,"待录成交",IF(N(W186)&gt;N(U186),"平仓多于开仓",IF(N(W186)&lt;N(U186),"持仓中","已平仓")))))</f>
        <v/>
      </c>
      <c r="Z186" s="41" t="str">
        <f>IF(AND(ISNUMBER(R186),ISNUMBER(S186)),IF(R186=S186,"日内",""),"")</f>
        <v/>
      </c>
      <c r="AA186" s="42" t="str">
        <f>IF(Z186&lt;&gt;"日内","",COUNTIFS($Z$5:$Z$304,"日内",$S$5:$S$304,"&gt;"&amp;WORKDAY(S186,-5),$S$5:$S$304,"&lt;="&amp;S186))</f>
        <v/>
      </c>
      <c r="AB186" s="41" t="str">
        <f>IF(OR(NOT(ISNUMBER(M186)),NOT(ISNUMBER(R186))),"",IF(AND(M186&gt;=R186,OR(NOT(ISNUMBER(S186)),M186&lt;=S186)),"持仓跨财报",""))</f>
        <v/>
      </c>
      <c r="AC186" s="20">
        <f>IF(AND(E186="空",ISNUMBER(O186),ISNUMBER(S186)),ROUND(O186*(S186-R186)/360*V186*U186,2),0)</f>
        <v>0</v>
      </c>
      <c r="AD186" s="43" t="str">
        <f>IF(N(U186)=0,"",SUMIFS('成交明细'!$L$5:$L$804,'成交明细'!$A$5:$A$804,A186)+AC186)</f>
        <v/>
      </c>
      <c r="AE186" s="44" t="str">
        <f>IF(Y186&lt;&gt;"已平仓","",(SUMIFS('成交明细'!$H$5:$H$804,'成交明细'!$A$5:$A$804,A186,'成交明细'!$D$5:$D$804,"卖")-SUMIFS('成交明细'!$H$5:$H$804,'成交明细'!$A$5:$A$804,A186,'成交明细'!$D$5:$D$804,"买"))*1-AD186)</f>
        <v/>
      </c>
      <c r="AF186" s="45" t="str">
        <f>IF(AND(Y186="已平仓",ISNUMBER(L186)),(SUMIFS('成交明细'!$H$5:$H$804,'成交明细'!$A$5:$A$804,A186,'成交明细'!$D$5:$D$804,"卖")-SUMIFS('成交明细'!$H$5:$H$804,'成交明细'!$A$5:$A$804,A186,'成交明细'!$D$5:$D$804,"买"))*1/L186,"")</f>
        <v/>
      </c>
      <c r="AG186" s="45" t="str">
        <f>IF(AND(Y186="已平仓",ISNUMBER(L186)),AE186/L186,"")</f>
        <v/>
      </c>
      <c r="AH186" s="46" t="str">
        <f>IF(AND(ISNUMBER(V186),ISNUMBER(F186)),IF(E186="空",F186-V186,V186-F186),"")</f>
        <v/>
      </c>
      <c r="AI186" s="46" t="str">
        <f>IF(OR(NOT(ISNUMBER(AE186)),NOT(ISNUMBER(X186))),"",IF(AE186&lt;0,IF(E186="空",X186-G186,G186-X186),IF(NOT(ISNUMBER(H186)),"",IF(E186="空",X186-H186,H186-X186))))</f>
        <v/>
      </c>
      <c r="AJ186" s="32" t="n"/>
      <c r="AK186" s="32" t="n"/>
      <c r="AL186" s="31" t="n"/>
      <c r="AM186" s="45" t="str">
        <f>IF(A186="","",SUM(AG$5:AG186))</f>
        <v/>
      </c>
      <c r="AN186" s="37" t="str">
        <f>IF(A186="","",MAX(0,MAX(AM$5:AM186))-AM186)</f>
        <v/>
      </c>
    </row>
    <row r="187">
      <c r="A187" s="29" t="n"/>
      <c r="B187" s="30" t="n"/>
      <c r="C187" s="31" t="n"/>
      <c r="D187" s="32" t="n"/>
      <c r="E187" s="32" t="n"/>
      <c r="F187" s="33" t="n"/>
      <c r="G187" s="33" t="n"/>
      <c r="H187" s="33" t="n"/>
      <c r="I187" s="34" t="str">
        <f>IF(AND(ISNUMBER(F187),ISNUMBER(G187),ISNUMBER(H187)),IF(OR(AND(E187="多",F187&gt;G187),AND(E187="空",F187&lt;G187)),ABS(H187-F187)/ABS(F187-G187),"止损方向不对"),"")</f>
        <v/>
      </c>
      <c r="J187" s="35" t="str">
        <f>IF(AND(ISNUMBER(F187),ISNUMBER(G187)),IF(F187=G187,"",IF(INT(ROUND('参数'!$C$7/(ABS(F187-G187)*1+2*'参数'!$C$11+N('参数'!$C$14)*F187+N('参数'!$C$15))/1,6))*1&gt;0,INT(ROUND('参数'!$C$7/(ABS(F187-G187)*1+2*'参数'!$C$11+N('参数'!$C$14)*F187+N('参数'!$C$15))/1,6))*1,"预算不足，这笔不做")),"")</f>
        <v/>
      </c>
      <c r="K187" s="36" t="n"/>
      <c r="L187" s="20" t="str">
        <f>IF(AND(ISNUMBER(F187),ISNUMBER(G187),ISNUMBER(K187)),IF(AND(F187&lt;&gt;G187,K187&gt;0),ABS(F187-G187)*K187*1,""),"")</f>
        <v/>
      </c>
      <c r="M187" s="30" t="n"/>
      <c r="N187" s="37" t="str">
        <f>IF(AND(ISNUMBER(L187),ISNUMBER(M187)),IF(E187="空",(G187*(1+'参数'!$C$17)-F187),(F187-G187*(1-'参数'!$C$17)))*K187/L187,"")</f>
        <v/>
      </c>
      <c r="O187" s="38" t="n"/>
      <c r="P187" s="31" t="n"/>
      <c r="Q187" s="32" t="n"/>
      <c r="R187" s="39" t="str">
        <f>IF(N(U187)&gt;0,SUMPRODUCT(LARGE(('成交明细'!$A$5:$A$804=A187)*('成交明细'!$D$5:$D$804=IF(E187="空","卖","买"))*'成交明细'!$B$5:$B$804,COUNTIFS('成交明细'!$A$5:$A$804,A187,'成交明细'!$D$5:$D$804,IF(E187="空","卖","买")))),"")</f>
        <v/>
      </c>
      <c r="S187" s="39" t="str">
        <f>IF(AND(N(U187)&gt;0,N(W187)&gt;=N(U187)),SUMPRODUCT(MAX(('成交明细'!$A$5:$A$804=A187)*('成交明细'!$D$5:$D$804=IF(E187="空","买","卖"))*'成交明细'!$B$5:$B$804)),"")</f>
        <v/>
      </c>
      <c r="T187" s="32" t="n"/>
      <c r="U187" s="35" t="str">
        <f>IF(A187="","",SUMIFS('成交明细'!$F$5:$F$804,'成交明细'!$A$5:$A$804,A187,'成交明细'!$D$5:$D$804,IF(E187="空","卖","买")))</f>
        <v/>
      </c>
      <c r="V187" s="40" t="str">
        <f>IF(N(U187)&gt;0,SUMIFS('成交明细'!$H$5:$H$804,'成交明细'!$A$5:$A$804,A187,'成交明细'!$D$5:$D$804,IF(E187="空","卖","买"))/U187,"")</f>
        <v/>
      </c>
      <c r="W187" s="35" t="str">
        <f>IF(A187="","",SUMIFS('成交明细'!$F$5:$F$804,'成交明细'!$A$5:$A$804,A187,'成交明细'!$D$5:$D$804,IF(E187="空","买","卖")))</f>
        <v/>
      </c>
      <c r="X187" s="40" t="str">
        <f>IF(N(W187)&gt;0,SUMIFS('成交明细'!$H$5:$H$804,'成交明细'!$A$5:$A$804,A187,'成交明细'!$D$5:$D$804,IF(E187="空","买","卖"))/W187,"")</f>
        <v/>
      </c>
      <c r="Y187" s="41" t="str">
        <f>IF(A187="","",IF(Q187&lt;&gt;"已执行",IF(Q187="","未填执行情况",Q187),IF(N(U187)=0,"待录成交",IF(N(W187)&gt;N(U187),"平仓多于开仓",IF(N(W187)&lt;N(U187),"持仓中","已平仓")))))</f>
        <v/>
      </c>
      <c r="Z187" s="41" t="str">
        <f>IF(AND(ISNUMBER(R187),ISNUMBER(S187)),IF(R187=S187,"日内",""),"")</f>
        <v/>
      </c>
      <c r="AA187" s="42" t="str">
        <f>IF(Z187&lt;&gt;"日内","",COUNTIFS($Z$5:$Z$304,"日内",$S$5:$S$304,"&gt;"&amp;WORKDAY(S187,-5),$S$5:$S$304,"&lt;="&amp;S187))</f>
        <v/>
      </c>
      <c r="AB187" s="41" t="str">
        <f>IF(OR(NOT(ISNUMBER(M187)),NOT(ISNUMBER(R187))),"",IF(AND(M187&gt;=R187,OR(NOT(ISNUMBER(S187)),M187&lt;=S187)),"持仓跨财报",""))</f>
        <v/>
      </c>
      <c r="AC187" s="20">
        <f>IF(AND(E187="空",ISNUMBER(O187),ISNUMBER(S187)),ROUND(O187*(S187-R187)/360*V187*U187,2),0)</f>
        <v>0</v>
      </c>
      <c r="AD187" s="43" t="str">
        <f>IF(N(U187)=0,"",SUMIFS('成交明细'!$L$5:$L$804,'成交明细'!$A$5:$A$804,A187)+AC187)</f>
        <v/>
      </c>
      <c r="AE187" s="44" t="str">
        <f>IF(Y187&lt;&gt;"已平仓","",(SUMIFS('成交明细'!$H$5:$H$804,'成交明细'!$A$5:$A$804,A187,'成交明细'!$D$5:$D$804,"卖")-SUMIFS('成交明细'!$H$5:$H$804,'成交明细'!$A$5:$A$804,A187,'成交明细'!$D$5:$D$804,"买"))*1-AD187)</f>
        <v/>
      </c>
      <c r="AF187" s="45" t="str">
        <f>IF(AND(Y187="已平仓",ISNUMBER(L187)),(SUMIFS('成交明细'!$H$5:$H$804,'成交明细'!$A$5:$A$804,A187,'成交明细'!$D$5:$D$804,"卖")-SUMIFS('成交明细'!$H$5:$H$804,'成交明细'!$A$5:$A$804,A187,'成交明细'!$D$5:$D$804,"买"))*1/L187,"")</f>
        <v/>
      </c>
      <c r="AG187" s="45" t="str">
        <f>IF(AND(Y187="已平仓",ISNUMBER(L187)),AE187/L187,"")</f>
        <v/>
      </c>
      <c r="AH187" s="46" t="str">
        <f>IF(AND(ISNUMBER(V187),ISNUMBER(F187)),IF(E187="空",F187-V187,V187-F187),"")</f>
        <v/>
      </c>
      <c r="AI187" s="46" t="str">
        <f>IF(OR(NOT(ISNUMBER(AE187)),NOT(ISNUMBER(X187))),"",IF(AE187&lt;0,IF(E187="空",X187-G187,G187-X187),IF(NOT(ISNUMBER(H187)),"",IF(E187="空",X187-H187,H187-X187))))</f>
        <v/>
      </c>
      <c r="AJ187" s="32" t="n"/>
      <c r="AK187" s="32" t="n"/>
      <c r="AL187" s="31" t="n"/>
      <c r="AM187" s="45" t="str">
        <f>IF(A187="","",SUM(AG$5:AG187))</f>
        <v/>
      </c>
      <c r="AN187" s="37" t="str">
        <f>IF(A187="","",MAX(0,MAX(AM$5:AM187))-AM187)</f>
        <v/>
      </c>
    </row>
    <row r="188">
      <c r="A188" s="29" t="n"/>
      <c r="B188" s="30" t="n"/>
      <c r="C188" s="31" t="n"/>
      <c r="D188" s="32" t="n"/>
      <c r="E188" s="32" t="n"/>
      <c r="F188" s="33" t="n"/>
      <c r="G188" s="33" t="n"/>
      <c r="H188" s="33" t="n"/>
      <c r="I188" s="34" t="str">
        <f>IF(AND(ISNUMBER(F188),ISNUMBER(G188),ISNUMBER(H188)),IF(OR(AND(E188="多",F188&gt;G188),AND(E188="空",F188&lt;G188)),ABS(H188-F188)/ABS(F188-G188),"止损方向不对"),"")</f>
        <v/>
      </c>
      <c r="J188" s="35" t="str">
        <f>IF(AND(ISNUMBER(F188),ISNUMBER(G188)),IF(F188=G188,"",IF(INT(ROUND('参数'!$C$7/(ABS(F188-G188)*1+2*'参数'!$C$11+N('参数'!$C$14)*F188+N('参数'!$C$15))/1,6))*1&gt;0,INT(ROUND('参数'!$C$7/(ABS(F188-G188)*1+2*'参数'!$C$11+N('参数'!$C$14)*F188+N('参数'!$C$15))/1,6))*1,"预算不足，这笔不做")),"")</f>
        <v/>
      </c>
      <c r="K188" s="36" t="n"/>
      <c r="L188" s="20" t="str">
        <f>IF(AND(ISNUMBER(F188),ISNUMBER(G188),ISNUMBER(K188)),IF(AND(F188&lt;&gt;G188,K188&gt;0),ABS(F188-G188)*K188*1,""),"")</f>
        <v/>
      </c>
      <c r="M188" s="30" t="n"/>
      <c r="N188" s="37" t="str">
        <f>IF(AND(ISNUMBER(L188),ISNUMBER(M188)),IF(E188="空",(G188*(1+'参数'!$C$17)-F188),(F188-G188*(1-'参数'!$C$17)))*K188/L188,"")</f>
        <v/>
      </c>
      <c r="O188" s="38" t="n"/>
      <c r="P188" s="31" t="n"/>
      <c r="Q188" s="32" t="n"/>
      <c r="R188" s="39" t="str">
        <f>IF(N(U188)&gt;0,SUMPRODUCT(LARGE(('成交明细'!$A$5:$A$804=A188)*('成交明细'!$D$5:$D$804=IF(E188="空","卖","买"))*'成交明细'!$B$5:$B$804,COUNTIFS('成交明细'!$A$5:$A$804,A188,'成交明细'!$D$5:$D$804,IF(E188="空","卖","买")))),"")</f>
        <v/>
      </c>
      <c r="S188" s="39" t="str">
        <f>IF(AND(N(U188)&gt;0,N(W188)&gt;=N(U188)),SUMPRODUCT(MAX(('成交明细'!$A$5:$A$804=A188)*('成交明细'!$D$5:$D$804=IF(E188="空","买","卖"))*'成交明细'!$B$5:$B$804)),"")</f>
        <v/>
      </c>
      <c r="T188" s="32" t="n"/>
      <c r="U188" s="35" t="str">
        <f>IF(A188="","",SUMIFS('成交明细'!$F$5:$F$804,'成交明细'!$A$5:$A$804,A188,'成交明细'!$D$5:$D$804,IF(E188="空","卖","买")))</f>
        <v/>
      </c>
      <c r="V188" s="40" t="str">
        <f>IF(N(U188)&gt;0,SUMIFS('成交明细'!$H$5:$H$804,'成交明细'!$A$5:$A$804,A188,'成交明细'!$D$5:$D$804,IF(E188="空","卖","买"))/U188,"")</f>
        <v/>
      </c>
      <c r="W188" s="35" t="str">
        <f>IF(A188="","",SUMIFS('成交明细'!$F$5:$F$804,'成交明细'!$A$5:$A$804,A188,'成交明细'!$D$5:$D$804,IF(E188="空","买","卖")))</f>
        <v/>
      </c>
      <c r="X188" s="40" t="str">
        <f>IF(N(W188)&gt;0,SUMIFS('成交明细'!$H$5:$H$804,'成交明细'!$A$5:$A$804,A188,'成交明细'!$D$5:$D$804,IF(E188="空","买","卖"))/W188,"")</f>
        <v/>
      </c>
      <c r="Y188" s="41" t="str">
        <f>IF(A188="","",IF(Q188&lt;&gt;"已执行",IF(Q188="","未填执行情况",Q188),IF(N(U188)=0,"待录成交",IF(N(W188)&gt;N(U188),"平仓多于开仓",IF(N(W188)&lt;N(U188),"持仓中","已平仓")))))</f>
        <v/>
      </c>
      <c r="Z188" s="41" t="str">
        <f>IF(AND(ISNUMBER(R188),ISNUMBER(S188)),IF(R188=S188,"日内",""),"")</f>
        <v/>
      </c>
      <c r="AA188" s="42" t="str">
        <f>IF(Z188&lt;&gt;"日内","",COUNTIFS($Z$5:$Z$304,"日内",$S$5:$S$304,"&gt;"&amp;WORKDAY(S188,-5),$S$5:$S$304,"&lt;="&amp;S188))</f>
        <v/>
      </c>
      <c r="AB188" s="41" t="str">
        <f>IF(OR(NOT(ISNUMBER(M188)),NOT(ISNUMBER(R188))),"",IF(AND(M188&gt;=R188,OR(NOT(ISNUMBER(S188)),M188&lt;=S188)),"持仓跨财报",""))</f>
        <v/>
      </c>
      <c r="AC188" s="20">
        <f>IF(AND(E188="空",ISNUMBER(O188),ISNUMBER(S188)),ROUND(O188*(S188-R188)/360*V188*U188,2),0)</f>
        <v>0</v>
      </c>
      <c r="AD188" s="43" t="str">
        <f>IF(N(U188)=0,"",SUMIFS('成交明细'!$L$5:$L$804,'成交明细'!$A$5:$A$804,A188)+AC188)</f>
        <v/>
      </c>
      <c r="AE188" s="44" t="str">
        <f>IF(Y188&lt;&gt;"已平仓","",(SUMIFS('成交明细'!$H$5:$H$804,'成交明细'!$A$5:$A$804,A188,'成交明细'!$D$5:$D$804,"卖")-SUMIFS('成交明细'!$H$5:$H$804,'成交明细'!$A$5:$A$804,A188,'成交明细'!$D$5:$D$804,"买"))*1-AD188)</f>
        <v/>
      </c>
      <c r="AF188" s="45" t="str">
        <f>IF(AND(Y188="已平仓",ISNUMBER(L188)),(SUMIFS('成交明细'!$H$5:$H$804,'成交明细'!$A$5:$A$804,A188,'成交明细'!$D$5:$D$804,"卖")-SUMIFS('成交明细'!$H$5:$H$804,'成交明细'!$A$5:$A$804,A188,'成交明细'!$D$5:$D$804,"买"))*1/L188,"")</f>
        <v/>
      </c>
      <c r="AG188" s="45" t="str">
        <f>IF(AND(Y188="已平仓",ISNUMBER(L188)),AE188/L188,"")</f>
        <v/>
      </c>
      <c r="AH188" s="46" t="str">
        <f>IF(AND(ISNUMBER(V188),ISNUMBER(F188)),IF(E188="空",F188-V188,V188-F188),"")</f>
        <v/>
      </c>
      <c r="AI188" s="46" t="str">
        <f>IF(OR(NOT(ISNUMBER(AE188)),NOT(ISNUMBER(X188))),"",IF(AE188&lt;0,IF(E188="空",X188-G188,G188-X188),IF(NOT(ISNUMBER(H188)),"",IF(E188="空",X188-H188,H188-X188))))</f>
        <v/>
      </c>
      <c r="AJ188" s="32" t="n"/>
      <c r="AK188" s="32" t="n"/>
      <c r="AL188" s="31" t="n"/>
      <c r="AM188" s="45" t="str">
        <f>IF(A188="","",SUM(AG$5:AG188))</f>
        <v/>
      </c>
      <c r="AN188" s="37" t="str">
        <f>IF(A188="","",MAX(0,MAX(AM$5:AM188))-AM188)</f>
        <v/>
      </c>
    </row>
    <row r="189">
      <c r="A189" s="29" t="n"/>
      <c r="B189" s="30" t="n"/>
      <c r="C189" s="31" t="n"/>
      <c r="D189" s="32" t="n"/>
      <c r="E189" s="32" t="n"/>
      <c r="F189" s="33" t="n"/>
      <c r="G189" s="33" t="n"/>
      <c r="H189" s="33" t="n"/>
      <c r="I189" s="34" t="str">
        <f>IF(AND(ISNUMBER(F189),ISNUMBER(G189),ISNUMBER(H189)),IF(OR(AND(E189="多",F189&gt;G189),AND(E189="空",F189&lt;G189)),ABS(H189-F189)/ABS(F189-G189),"止损方向不对"),"")</f>
        <v/>
      </c>
      <c r="J189" s="35" t="str">
        <f>IF(AND(ISNUMBER(F189),ISNUMBER(G189)),IF(F189=G189,"",IF(INT(ROUND('参数'!$C$7/(ABS(F189-G189)*1+2*'参数'!$C$11+N('参数'!$C$14)*F189+N('参数'!$C$15))/1,6))*1&gt;0,INT(ROUND('参数'!$C$7/(ABS(F189-G189)*1+2*'参数'!$C$11+N('参数'!$C$14)*F189+N('参数'!$C$15))/1,6))*1,"预算不足，这笔不做")),"")</f>
        <v/>
      </c>
      <c r="K189" s="36" t="n"/>
      <c r="L189" s="20" t="str">
        <f>IF(AND(ISNUMBER(F189),ISNUMBER(G189),ISNUMBER(K189)),IF(AND(F189&lt;&gt;G189,K189&gt;0),ABS(F189-G189)*K189*1,""),"")</f>
        <v/>
      </c>
      <c r="M189" s="30" t="n"/>
      <c r="N189" s="37" t="str">
        <f>IF(AND(ISNUMBER(L189),ISNUMBER(M189)),IF(E189="空",(G189*(1+'参数'!$C$17)-F189),(F189-G189*(1-'参数'!$C$17)))*K189/L189,"")</f>
        <v/>
      </c>
      <c r="O189" s="38" t="n"/>
      <c r="P189" s="31" t="n"/>
      <c r="Q189" s="32" t="n"/>
      <c r="R189" s="39" t="str">
        <f>IF(N(U189)&gt;0,SUMPRODUCT(LARGE(('成交明细'!$A$5:$A$804=A189)*('成交明细'!$D$5:$D$804=IF(E189="空","卖","买"))*'成交明细'!$B$5:$B$804,COUNTIFS('成交明细'!$A$5:$A$804,A189,'成交明细'!$D$5:$D$804,IF(E189="空","卖","买")))),"")</f>
        <v/>
      </c>
      <c r="S189" s="39" t="str">
        <f>IF(AND(N(U189)&gt;0,N(W189)&gt;=N(U189)),SUMPRODUCT(MAX(('成交明细'!$A$5:$A$804=A189)*('成交明细'!$D$5:$D$804=IF(E189="空","买","卖"))*'成交明细'!$B$5:$B$804)),"")</f>
        <v/>
      </c>
      <c r="T189" s="32" t="n"/>
      <c r="U189" s="35" t="str">
        <f>IF(A189="","",SUMIFS('成交明细'!$F$5:$F$804,'成交明细'!$A$5:$A$804,A189,'成交明细'!$D$5:$D$804,IF(E189="空","卖","买")))</f>
        <v/>
      </c>
      <c r="V189" s="40" t="str">
        <f>IF(N(U189)&gt;0,SUMIFS('成交明细'!$H$5:$H$804,'成交明细'!$A$5:$A$804,A189,'成交明细'!$D$5:$D$804,IF(E189="空","卖","买"))/U189,"")</f>
        <v/>
      </c>
      <c r="W189" s="35" t="str">
        <f>IF(A189="","",SUMIFS('成交明细'!$F$5:$F$804,'成交明细'!$A$5:$A$804,A189,'成交明细'!$D$5:$D$804,IF(E189="空","买","卖")))</f>
        <v/>
      </c>
      <c r="X189" s="40" t="str">
        <f>IF(N(W189)&gt;0,SUMIFS('成交明细'!$H$5:$H$804,'成交明细'!$A$5:$A$804,A189,'成交明细'!$D$5:$D$804,IF(E189="空","买","卖"))/W189,"")</f>
        <v/>
      </c>
      <c r="Y189" s="41" t="str">
        <f>IF(A189="","",IF(Q189&lt;&gt;"已执行",IF(Q189="","未填执行情况",Q189),IF(N(U189)=0,"待录成交",IF(N(W189)&gt;N(U189),"平仓多于开仓",IF(N(W189)&lt;N(U189),"持仓中","已平仓")))))</f>
        <v/>
      </c>
      <c r="Z189" s="41" t="str">
        <f>IF(AND(ISNUMBER(R189),ISNUMBER(S189)),IF(R189=S189,"日内",""),"")</f>
        <v/>
      </c>
      <c r="AA189" s="42" t="str">
        <f>IF(Z189&lt;&gt;"日内","",COUNTIFS($Z$5:$Z$304,"日内",$S$5:$S$304,"&gt;"&amp;WORKDAY(S189,-5),$S$5:$S$304,"&lt;="&amp;S189))</f>
        <v/>
      </c>
      <c r="AB189" s="41" t="str">
        <f>IF(OR(NOT(ISNUMBER(M189)),NOT(ISNUMBER(R189))),"",IF(AND(M189&gt;=R189,OR(NOT(ISNUMBER(S189)),M189&lt;=S189)),"持仓跨财报",""))</f>
        <v/>
      </c>
      <c r="AC189" s="20">
        <f>IF(AND(E189="空",ISNUMBER(O189),ISNUMBER(S189)),ROUND(O189*(S189-R189)/360*V189*U189,2),0)</f>
        <v>0</v>
      </c>
      <c r="AD189" s="43" t="str">
        <f>IF(N(U189)=0,"",SUMIFS('成交明细'!$L$5:$L$804,'成交明细'!$A$5:$A$804,A189)+AC189)</f>
        <v/>
      </c>
      <c r="AE189" s="44" t="str">
        <f>IF(Y189&lt;&gt;"已平仓","",(SUMIFS('成交明细'!$H$5:$H$804,'成交明细'!$A$5:$A$804,A189,'成交明细'!$D$5:$D$804,"卖")-SUMIFS('成交明细'!$H$5:$H$804,'成交明细'!$A$5:$A$804,A189,'成交明细'!$D$5:$D$804,"买"))*1-AD189)</f>
        <v/>
      </c>
      <c r="AF189" s="45" t="str">
        <f>IF(AND(Y189="已平仓",ISNUMBER(L189)),(SUMIFS('成交明细'!$H$5:$H$804,'成交明细'!$A$5:$A$804,A189,'成交明细'!$D$5:$D$804,"卖")-SUMIFS('成交明细'!$H$5:$H$804,'成交明细'!$A$5:$A$804,A189,'成交明细'!$D$5:$D$804,"买"))*1/L189,"")</f>
        <v/>
      </c>
      <c r="AG189" s="45" t="str">
        <f>IF(AND(Y189="已平仓",ISNUMBER(L189)),AE189/L189,"")</f>
        <v/>
      </c>
      <c r="AH189" s="46" t="str">
        <f>IF(AND(ISNUMBER(V189),ISNUMBER(F189)),IF(E189="空",F189-V189,V189-F189),"")</f>
        <v/>
      </c>
      <c r="AI189" s="46" t="str">
        <f>IF(OR(NOT(ISNUMBER(AE189)),NOT(ISNUMBER(X189))),"",IF(AE189&lt;0,IF(E189="空",X189-G189,G189-X189),IF(NOT(ISNUMBER(H189)),"",IF(E189="空",X189-H189,H189-X189))))</f>
        <v/>
      </c>
      <c r="AJ189" s="32" t="n"/>
      <c r="AK189" s="32" t="n"/>
      <c r="AL189" s="31" t="n"/>
      <c r="AM189" s="45" t="str">
        <f>IF(A189="","",SUM(AG$5:AG189))</f>
        <v/>
      </c>
      <c r="AN189" s="37" t="str">
        <f>IF(A189="","",MAX(0,MAX(AM$5:AM189))-AM189)</f>
        <v/>
      </c>
    </row>
    <row r="190">
      <c r="A190" s="29" t="n"/>
      <c r="B190" s="30" t="n"/>
      <c r="C190" s="31" t="n"/>
      <c r="D190" s="32" t="n"/>
      <c r="E190" s="32" t="n"/>
      <c r="F190" s="33" t="n"/>
      <c r="G190" s="33" t="n"/>
      <c r="H190" s="33" t="n"/>
      <c r="I190" s="34" t="str">
        <f>IF(AND(ISNUMBER(F190),ISNUMBER(G190),ISNUMBER(H190)),IF(OR(AND(E190="多",F190&gt;G190),AND(E190="空",F190&lt;G190)),ABS(H190-F190)/ABS(F190-G190),"止损方向不对"),"")</f>
        <v/>
      </c>
      <c r="J190" s="35" t="str">
        <f>IF(AND(ISNUMBER(F190),ISNUMBER(G190)),IF(F190=G190,"",IF(INT(ROUND('参数'!$C$7/(ABS(F190-G190)*1+2*'参数'!$C$11+N('参数'!$C$14)*F190+N('参数'!$C$15))/1,6))*1&gt;0,INT(ROUND('参数'!$C$7/(ABS(F190-G190)*1+2*'参数'!$C$11+N('参数'!$C$14)*F190+N('参数'!$C$15))/1,6))*1,"预算不足，这笔不做")),"")</f>
        <v/>
      </c>
      <c r="K190" s="36" t="n"/>
      <c r="L190" s="20" t="str">
        <f>IF(AND(ISNUMBER(F190),ISNUMBER(G190),ISNUMBER(K190)),IF(AND(F190&lt;&gt;G190,K190&gt;0),ABS(F190-G190)*K190*1,""),"")</f>
        <v/>
      </c>
      <c r="M190" s="30" t="n"/>
      <c r="N190" s="37" t="str">
        <f>IF(AND(ISNUMBER(L190),ISNUMBER(M190)),IF(E190="空",(G190*(1+'参数'!$C$17)-F190),(F190-G190*(1-'参数'!$C$17)))*K190/L190,"")</f>
        <v/>
      </c>
      <c r="O190" s="38" t="n"/>
      <c r="P190" s="31" t="n"/>
      <c r="Q190" s="32" t="n"/>
      <c r="R190" s="39" t="str">
        <f>IF(N(U190)&gt;0,SUMPRODUCT(LARGE(('成交明细'!$A$5:$A$804=A190)*('成交明细'!$D$5:$D$804=IF(E190="空","卖","买"))*'成交明细'!$B$5:$B$804,COUNTIFS('成交明细'!$A$5:$A$804,A190,'成交明细'!$D$5:$D$804,IF(E190="空","卖","买")))),"")</f>
        <v/>
      </c>
      <c r="S190" s="39" t="str">
        <f>IF(AND(N(U190)&gt;0,N(W190)&gt;=N(U190)),SUMPRODUCT(MAX(('成交明细'!$A$5:$A$804=A190)*('成交明细'!$D$5:$D$804=IF(E190="空","买","卖"))*'成交明细'!$B$5:$B$804)),"")</f>
        <v/>
      </c>
      <c r="T190" s="32" t="n"/>
      <c r="U190" s="35" t="str">
        <f>IF(A190="","",SUMIFS('成交明细'!$F$5:$F$804,'成交明细'!$A$5:$A$804,A190,'成交明细'!$D$5:$D$804,IF(E190="空","卖","买")))</f>
        <v/>
      </c>
      <c r="V190" s="40" t="str">
        <f>IF(N(U190)&gt;0,SUMIFS('成交明细'!$H$5:$H$804,'成交明细'!$A$5:$A$804,A190,'成交明细'!$D$5:$D$804,IF(E190="空","卖","买"))/U190,"")</f>
        <v/>
      </c>
      <c r="W190" s="35" t="str">
        <f>IF(A190="","",SUMIFS('成交明细'!$F$5:$F$804,'成交明细'!$A$5:$A$804,A190,'成交明细'!$D$5:$D$804,IF(E190="空","买","卖")))</f>
        <v/>
      </c>
      <c r="X190" s="40" t="str">
        <f>IF(N(W190)&gt;0,SUMIFS('成交明细'!$H$5:$H$804,'成交明细'!$A$5:$A$804,A190,'成交明细'!$D$5:$D$804,IF(E190="空","买","卖"))/W190,"")</f>
        <v/>
      </c>
      <c r="Y190" s="41" t="str">
        <f>IF(A190="","",IF(Q190&lt;&gt;"已执行",IF(Q190="","未填执行情况",Q190),IF(N(U190)=0,"待录成交",IF(N(W190)&gt;N(U190),"平仓多于开仓",IF(N(W190)&lt;N(U190),"持仓中","已平仓")))))</f>
        <v/>
      </c>
      <c r="Z190" s="41" t="str">
        <f>IF(AND(ISNUMBER(R190),ISNUMBER(S190)),IF(R190=S190,"日内",""),"")</f>
        <v/>
      </c>
      <c r="AA190" s="42" t="str">
        <f>IF(Z190&lt;&gt;"日内","",COUNTIFS($Z$5:$Z$304,"日内",$S$5:$S$304,"&gt;"&amp;WORKDAY(S190,-5),$S$5:$S$304,"&lt;="&amp;S190))</f>
        <v/>
      </c>
      <c r="AB190" s="41" t="str">
        <f>IF(OR(NOT(ISNUMBER(M190)),NOT(ISNUMBER(R190))),"",IF(AND(M190&gt;=R190,OR(NOT(ISNUMBER(S190)),M190&lt;=S190)),"持仓跨财报",""))</f>
        <v/>
      </c>
      <c r="AC190" s="20">
        <f>IF(AND(E190="空",ISNUMBER(O190),ISNUMBER(S190)),ROUND(O190*(S190-R190)/360*V190*U190,2),0)</f>
        <v>0</v>
      </c>
      <c r="AD190" s="43" t="str">
        <f>IF(N(U190)=0,"",SUMIFS('成交明细'!$L$5:$L$804,'成交明细'!$A$5:$A$804,A190)+AC190)</f>
        <v/>
      </c>
      <c r="AE190" s="44" t="str">
        <f>IF(Y190&lt;&gt;"已平仓","",(SUMIFS('成交明细'!$H$5:$H$804,'成交明细'!$A$5:$A$804,A190,'成交明细'!$D$5:$D$804,"卖")-SUMIFS('成交明细'!$H$5:$H$804,'成交明细'!$A$5:$A$804,A190,'成交明细'!$D$5:$D$804,"买"))*1-AD190)</f>
        <v/>
      </c>
      <c r="AF190" s="45" t="str">
        <f>IF(AND(Y190="已平仓",ISNUMBER(L190)),(SUMIFS('成交明细'!$H$5:$H$804,'成交明细'!$A$5:$A$804,A190,'成交明细'!$D$5:$D$804,"卖")-SUMIFS('成交明细'!$H$5:$H$804,'成交明细'!$A$5:$A$804,A190,'成交明细'!$D$5:$D$804,"买"))*1/L190,"")</f>
        <v/>
      </c>
      <c r="AG190" s="45" t="str">
        <f>IF(AND(Y190="已平仓",ISNUMBER(L190)),AE190/L190,"")</f>
        <v/>
      </c>
      <c r="AH190" s="46" t="str">
        <f>IF(AND(ISNUMBER(V190),ISNUMBER(F190)),IF(E190="空",F190-V190,V190-F190),"")</f>
        <v/>
      </c>
      <c r="AI190" s="46" t="str">
        <f>IF(OR(NOT(ISNUMBER(AE190)),NOT(ISNUMBER(X190))),"",IF(AE190&lt;0,IF(E190="空",X190-G190,G190-X190),IF(NOT(ISNUMBER(H190)),"",IF(E190="空",X190-H190,H190-X190))))</f>
        <v/>
      </c>
      <c r="AJ190" s="32" t="n"/>
      <c r="AK190" s="32" t="n"/>
      <c r="AL190" s="31" t="n"/>
      <c r="AM190" s="45" t="str">
        <f>IF(A190="","",SUM(AG$5:AG190))</f>
        <v/>
      </c>
      <c r="AN190" s="37" t="str">
        <f>IF(A190="","",MAX(0,MAX(AM$5:AM190))-AM190)</f>
        <v/>
      </c>
    </row>
    <row r="191">
      <c r="A191" s="29" t="n"/>
      <c r="B191" s="30" t="n"/>
      <c r="C191" s="31" t="n"/>
      <c r="D191" s="32" t="n"/>
      <c r="E191" s="32" t="n"/>
      <c r="F191" s="33" t="n"/>
      <c r="G191" s="33" t="n"/>
      <c r="H191" s="33" t="n"/>
      <c r="I191" s="34" t="str">
        <f>IF(AND(ISNUMBER(F191),ISNUMBER(G191),ISNUMBER(H191)),IF(OR(AND(E191="多",F191&gt;G191),AND(E191="空",F191&lt;G191)),ABS(H191-F191)/ABS(F191-G191),"止损方向不对"),"")</f>
        <v/>
      </c>
      <c r="J191" s="35" t="str">
        <f>IF(AND(ISNUMBER(F191),ISNUMBER(G191)),IF(F191=G191,"",IF(INT(ROUND('参数'!$C$7/(ABS(F191-G191)*1+2*'参数'!$C$11+N('参数'!$C$14)*F191+N('参数'!$C$15))/1,6))*1&gt;0,INT(ROUND('参数'!$C$7/(ABS(F191-G191)*1+2*'参数'!$C$11+N('参数'!$C$14)*F191+N('参数'!$C$15))/1,6))*1,"预算不足，这笔不做")),"")</f>
        <v/>
      </c>
      <c r="K191" s="36" t="n"/>
      <c r="L191" s="20" t="str">
        <f>IF(AND(ISNUMBER(F191),ISNUMBER(G191),ISNUMBER(K191)),IF(AND(F191&lt;&gt;G191,K191&gt;0),ABS(F191-G191)*K191*1,""),"")</f>
        <v/>
      </c>
      <c r="M191" s="30" t="n"/>
      <c r="N191" s="37" t="str">
        <f>IF(AND(ISNUMBER(L191),ISNUMBER(M191)),IF(E191="空",(G191*(1+'参数'!$C$17)-F191),(F191-G191*(1-'参数'!$C$17)))*K191/L191,"")</f>
        <v/>
      </c>
      <c r="O191" s="38" t="n"/>
      <c r="P191" s="31" t="n"/>
      <c r="Q191" s="32" t="n"/>
      <c r="R191" s="39" t="str">
        <f>IF(N(U191)&gt;0,SUMPRODUCT(LARGE(('成交明细'!$A$5:$A$804=A191)*('成交明细'!$D$5:$D$804=IF(E191="空","卖","买"))*'成交明细'!$B$5:$B$804,COUNTIFS('成交明细'!$A$5:$A$804,A191,'成交明细'!$D$5:$D$804,IF(E191="空","卖","买")))),"")</f>
        <v/>
      </c>
      <c r="S191" s="39" t="str">
        <f>IF(AND(N(U191)&gt;0,N(W191)&gt;=N(U191)),SUMPRODUCT(MAX(('成交明细'!$A$5:$A$804=A191)*('成交明细'!$D$5:$D$804=IF(E191="空","买","卖"))*'成交明细'!$B$5:$B$804)),"")</f>
        <v/>
      </c>
      <c r="T191" s="32" t="n"/>
      <c r="U191" s="35" t="str">
        <f>IF(A191="","",SUMIFS('成交明细'!$F$5:$F$804,'成交明细'!$A$5:$A$804,A191,'成交明细'!$D$5:$D$804,IF(E191="空","卖","买")))</f>
        <v/>
      </c>
      <c r="V191" s="40" t="str">
        <f>IF(N(U191)&gt;0,SUMIFS('成交明细'!$H$5:$H$804,'成交明细'!$A$5:$A$804,A191,'成交明细'!$D$5:$D$804,IF(E191="空","卖","买"))/U191,"")</f>
        <v/>
      </c>
      <c r="W191" s="35" t="str">
        <f>IF(A191="","",SUMIFS('成交明细'!$F$5:$F$804,'成交明细'!$A$5:$A$804,A191,'成交明细'!$D$5:$D$804,IF(E191="空","买","卖")))</f>
        <v/>
      </c>
      <c r="X191" s="40" t="str">
        <f>IF(N(W191)&gt;0,SUMIFS('成交明细'!$H$5:$H$804,'成交明细'!$A$5:$A$804,A191,'成交明细'!$D$5:$D$804,IF(E191="空","买","卖"))/W191,"")</f>
        <v/>
      </c>
      <c r="Y191" s="41" t="str">
        <f>IF(A191="","",IF(Q191&lt;&gt;"已执行",IF(Q191="","未填执行情况",Q191),IF(N(U191)=0,"待录成交",IF(N(W191)&gt;N(U191),"平仓多于开仓",IF(N(W191)&lt;N(U191),"持仓中","已平仓")))))</f>
        <v/>
      </c>
      <c r="Z191" s="41" t="str">
        <f>IF(AND(ISNUMBER(R191),ISNUMBER(S191)),IF(R191=S191,"日内",""),"")</f>
        <v/>
      </c>
      <c r="AA191" s="42" t="str">
        <f>IF(Z191&lt;&gt;"日内","",COUNTIFS($Z$5:$Z$304,"日内",$S$5:$S$304,"&gt;"&amp;WORKDAY(S191,-5),$S$5:$S$304,"&lt;="&amp;S191))</f>
        <v/>
      </c>
      <c r="AB191" s="41" t="str">
        <f>IF(OR(NOT(ISNUMBER(M191)),NOT(ISNUMBER(R191))),"",IF(AND(M191&gt;=R191,OR(NOT(ISNUMBER(S191)),M191&lt;=S191)),"持仓跨财报",""))</f>
        <v/>
      </c>
      <c r="AC191" s="20">
        <f>IF(AND(E191="空",ISNUMBER(O191),ISNUMBER(S191)),ROUND(O191*(S191-R191)/360*V191*U191,2),0)</f>
        <v>0</v>
      </c>
      <c r="AD191" s="43" t="str">
        <f>IF(N(U191)=0,"",SUMIFS('成交明细'!$L$5:$L$804,'成交明细'!$A$5:$A$804,A191)+AC191)</f>
        <v/>
      </c>
      <c r="AE191" s="44" t="str">
        <f>IF(Y191&lt;&gt;"已平仓","",(SUMIFS('成交明细'!$H$5:$H$804,'成交明细'!$A$5:$A$804,A191,'成交明细'!$D$5:$D$804,"卖")-SUMIFS('成交明细'!$H$5:$H$804,'成交明细'!$A$5:$A$804,A191,'成交明细'!$D$5:$D$804,"买"))*1-AD191)</f>
        <v/>
      </c>
      <c r="AF191" s="45" t="str">
        <f>IF(AND(Y191="已平仓",ISNUMBER(L191)),(SUMIFS('成交明细'!$H$5:$H$804,'成交明细'!$A$5:$A$804,A191,'成交明细'!$D$5:$D$804,"卖")-SUMIFS('成交明细'!$H$5:$H$804,'成交明细'!$A$5:$A$804,A191,'成交明细'!$D$5:$D$804,"买"))*1/L191,"")</f>
        <v/>
      </c>
      <c r="AG191" s="45" t="str">
        <f>IF(AND(Y191="已平仓",ISNUMBER(L191)),AE191/L191,"")</f>
        <v/>
      </c>
      <c r="AH191" s="46" t="str">
        <f>IF(AND(ISNUMBER(V191),ISNUMBER(F191)),IF(E191="空",F191-V191,V191-F191),"")</f>
        <v/>
      </c>
      <c r="AI191" s="46" t="str">
        <f>IF(OR(NOT(ISNUMBER(AE191)),NOT(ISNUMBER(X191))),"",IF(AE191&lt;0,IF(E191="空",X191-G191,G191-X191),IF(NOT(ISNUMBER(H191)),"",IF(E191="空",X191-H191,H191-X191))))</f>
        <v/>
      </c>
      <c r="AJ191" s="32" t="n"/>
      <c r="AK191" s="32" t="n"/>
      <c r="AL191" s="31" t="n"/>
      <c r="AM191" s="45" t="str">
        <f>IF(A191="","",SUM(AG$5:AG191))</f>
        <v/>
      </c>
      <c r="AN191" s="37" t="str">
        <f>IF(A191="","",MAX(0,MAX(AM$5:AM191))-AM191)</f>
        <v/>
      </c>
    </row>
    <row r="192">
      <c r="A192" s="29" t="n"/>
      <c r="B192" s="30" t="n"/>
      <c r="C192" s="31" t="n"/>
      <c r="D192" s="32" t="n"/>
      <c r="E192" s="32" t="n"/>
      <c r="F192" s="33" t="n"/>
      <c r="G192" s="33" t="n"/>
      <c r="H192" s="33" t="n"/>
      <c r="I192" s="34" t="str">
        <f>IF(AND(ISNUMBER(F192),ISNUMBER(G192),ISNUMBER(H192)),IF(OR(AND(E192="多",F192&gt;G192),AND(E192="空",F192&lt;G192)),ABS(H192-F192)/ABS(F192-G192),"止损方向不对"),"")</f>
        <v/>
      </c>
      <c r="J192" s="35" t="str">
        <f>IF(AND(ISNUMBER(F192),ISNUMBER(G192)),IF(F192=G192,"",IF(INT(ROUND('参数'!$C$7/(ABS(F192-G192)*1+2*'参数'!$C$11+N('参数'!$C$14)*F192+N('参数'!$C$15))/1,6))*1&gt;0,INT(ROUND('参数'!$C$7/(ABS(F192-G192)*1+2*'参数'!$C$11+N('参数'!$C$14)*F192+N('参数'!$C$15))/1,6))*1,"预算不足，这笔不做")),"")</f>
        <v/>
      </c>
      <c r="K192" s="36" t="n"/>
      <c r="L192" s="20" t="str">
        <f>IF(AND(ISNUMBER(F192),ISNUMBER(G192),ISNUMBER(K192)),IF(AND(F192&lt;&gt;G192,K192&gt;0),ABS(F192-G192)*K192*1,""),"")</f>
        <v/>
      </c>
      <c r="M192" s="30" t="n"/>
      <c r="N192" s="37" t="str">
        <f>IF(AND(ISNUMBER(L192),ISNUMBER(M192)),IF(E192="空",(G192*(1+'参数'!$C$17)-F192),(F192-G192*(1-'参数'!$C$17)))*K192/L192,"")</f>
        <v/>
      </c>
      <c r="O192" s="38" t="n"/>
      <c r="P192" s="31" t="n"/>
      <c r="Q192" s="32" t="n"/>
      <c r="R192" s="39" t="str">
        <f>IF(N(U192)&gt;0,SUMPRODUCT(LARGE(('成交明细'!$A$5:$A$804=A192)*('成交明细'!$D$5:$D$804=IF(E192="空","卖","买"))*'成交明细'!$B$5:$B$804,COUNTIFS('成交明细'!$A$5:$A$804,A192,'成交明细'!$D$5:$D$804,IF(E192="空","卖","买")))),"")</f>
        <v/>
      </c>
      <c r="S192" s="39" t="str">
        <f>IF(AND(N(U192)&gt;0,N(W192)&gt;=N(U192)),SUMPRODUCT(MAX(('成交明细'!$A$5:$A$804=A192)*('成交明细'!$D$5:$D$804=IF(E192="空","买","卖"))*'成交明细'!$B$5:$B$804)),"")</f>
        <v/>
      </c>
      <c r="T192" s="32" t="n"/>
      <c r="U192" s="35" t="str">
        <f>IF(A192="","",SUMIFS('成交明细'!$F$5:$F$804,'成交明细'!$A$5:$A$804,A192,'成交明细'!$D$5:$D$804,IF(E192="空","卖","买")))</f>
        <v/>
      </c>
      <c r="V192" s="40" t="str">
        <f>IF(N(U192)&gt;0,SUMIFS('成交明细'!$H$5:$H$804,'成交明细'!$A$5:$A$804,A192,'成交明细'!$D$5:$D$804,IF(E192="空","卖","买"))/U192,"")</f>
        <v/>
      </c>
      <c r="W192" s="35" t="str">
        <f>IF(A192="","",SUMIFS('成交明细'!$F$5:$F$804,'成交明细'!$A$5:$A$804,A192,'成交明细'!$D$5:$D$804,IF(E192="空","买","卖")))</f>
        <v/>
      </c>
      <c r="X192" s="40" t="str">
        <f>IF(N(W192)&gt;0,SUMIFS('成交明细'!$H$5:$H$804,'成交明细'!$A$5:$A$804,A192,'成交明细'!$D$5:$D$804,IF(E192="空","买","卖"))/W192,"")</f>
        <v/>
      </c>
      <c r="Y192" s="41" t="str">
        <f>IF(A192="","",IF(Q192&lt;&gt;"已执行",IF(Q192="","未填执行情况",Q192),IF(N(U192)=0,"待录成交",IF(N(W192)&gt;N(U192),"平仓多于开仓",IF(N(W192)&lt;N(U192),"持仓中","已平仓")))))</f>
        <v/>
      </c>
      <c r="Z192" s="41" t="str">
        <f>IF(AND(ISNUMBER(R192),ISNUMBER(S192)),IF(R192=S192,"日内",""),"")</f>
        <v/>
      </c>
      <c r="AA192" s="42" t="str">
        <f>IF(Z192&lt;&gt;"日内","",COUNTIFS($Z$5:$Z$304,"日内",$S$5:$S$304,"&gt;"&amp;WORKDAY(S192,-5),$S$5:$S$304,"&lt;="&amp;S192))</f>
        <v/>
      </c>
      <c r="AB192" s="41" t="str">
        <f>IF(OR(NOT(ISNUMBER(M192)),NOT(ISNUMBER(R192))),"",IF(AND(M192&gt;=R192,OR(NOT(ISNUMBER(S192)),M192&lt;=S192)),"持仓跨财报",""))</f>
        <v/>
      </c>
      <c r="AC192" s="20">
        <f>IF(AND(E192="空",ISNUMBER(O192),ISNUMBER(S192)),ROUND(O192*(S192-R192)/360*V192*U192,2),0)</f>
        <v>0</v>
      </c>
      <c r="AD192" s="43" t="str">
        <f>IF(N(U192)=0,"",SUMIFS('成交明细'!$L$5:$L$804,'成交明细'!$A$5:$A$804,A192)+AC192)</f>
        <v/>
      </c>
      <c r="AE192" s="44" t="str">
        <f>IF(Y192&lt;&gt;"已平仓","",(SUMIFS('成交明细'!$H$5:$H$804,'成交明细'!$A$5:$A$804,A192,'成交明细'!$D$5:$D$804,"卖")-SUMIFS('成交明细'!$H$5:$H$804,'成交明细'!$A$5:$A$804,A192,'成交明细'!$D$5:$D$804,"买"))*1-AD192)</f>
        <v/>
      </c>
      <c r="AF192" s="45" t="str">
        <f>IF(AND(Y192="已平仓",ISNUMBER(L192)),(SUMIFS('成交明细'!$H$5:$H$804,'成交明细'!$A$5:$A$804,A192,'成交明细'!$D$5:$D$804,"卖")-SUMIFS('成交明细'!$H$5:$H$804,'成交明细'!$A$5:$A$804,A192,'成交明细'!$D$5:$D$804,"买"))*1/L192,"")</f>
        <v/>
      </c>
      <c r="AG192" s="45" t="str">
        <f>IF(AND(Y192="已平仓",ISNUMBER(L192)),AE192/L192,"")</f>
        <v/>
      </c>
      <c r="AH192" s="46" t="str">
        <f>IF(AND(ISNUMBER(V192),ISNUMBER(F192)),IF(E192="空",F192-V192,V192-F192),"")</f>
        <v/>
      </c>
      <c r="AI192" s="46" t="str">
        <f>IF(OR(NOT(ISNUMBER(AE192)),NOT(ISNUMBER(X192))),"",IF(AE192&lt;0,IF(E192="空",X192-G192,G192-X192),IF(NOT(ISNUMBER(H192)),"",IF(E192="空",X192-H192,H192-X192))))</f>
        <v/>
      </c>
      <c r="AJ192" s="32" t="n"/>
      <c r="AK192" s="32" t="n"/>
      <c r="AL192" s="31" t="n"/>
      <c r="AM192" s="45" t="str">
        <f>IF(A192="","",SUM(AG$5:AG192))</f>
        <v/>
      </c>
      <c r="AN192" s="37" t="str">
        <f>IF(A192="","",MAX(0,MAX(AM$5:AM192))-AM192)</f>
        <v/>
      </c>
    </row>
    <row r="193">
      <c r="A193" s="29" t="n"/>
      <c r="B193" s="30" t="n"/>
      <c r="C193" s="31" t="n"/>
      <c r="D193" s="32" t="n"/>
      <c r="E193" s="32" t="n"/>
      <c r="F193" s="33" t="n"/>
      <c r="G193" s="33" t="n"/>
      <c r="H193" s="33" t="n"/>
      <c r="I193" s="34" t="str">
        <f>IF(AND(ISNUMBER(F193),ISNUMBER(G193),ISNUMBER(H193)),IF(OR(AND(E193="多",F193&gt;G193),AND(E193="空",F193&lt;G193)),ABS(H193-F193)/ABS(F193-G193),"止损方向不对"),"")</f>
        <v/>
      </c>
      <c r="J193" s="35" t="str">
        <f>IF(AND(ISNUMBER(F193),ISNUMBER(G193)),IF(F193=G193,"",IF(INT(ROUND('参数'!$C$7/(ABS(F193-G193)*1+2*'参数'!$C$11+N('参数'!$C$14)*F193+N('参数'!$C$15))/1,6))*1&gt;0,INT(ROUND('参数'!$C$7/(ABS(F193-G193)*1+2*'参数'!$C$11+N('参数'!$C$14)*F193+N('参数'!$C$15))/1,6))*1,"预算不足，这笔不做")),"")</f>
        <v/>
      </c>
      <c r="K193" s="36" t="n"/>
      <c r="L193" s="20" t="str">
        <f>IF(AND(ISNUMBER(F193),ISNUMBER(G193),ISNUMBER(K193)),IF(AND(F193&lt;&gt;G193,K193&gt;0),ABS(F193-G193)*K193*1,""),"")</f>
        <v/>
      </c>
      <c r="M193" s="30" t="n"/>
      <c r="N193" s="37" t="str">
        <f>IF(AND(ISNUMBER(L193),ISNUMBER(M193)),IF(E193="空",(G193*(1+'参数'!$C$17)-F193),(F193-G193*(1-'参数'!$C$17)))*K193/L193,"")</f>
        <v/>
      </c>
      <c r="O193" s="38" t="n"/>
      <c r="P193" s="31" t="n"/>
      <c r="Q193" s="32" t="n"/>
      <c r="R193" s="39" t="str">
        <f>IF(N(U193)&gt;0,SUMPRODUCT(LARGE(('成交明细'!$A$5:$A$804=A193)*('成交明细'!$D$5:$D$804=IF(E193="空","卖","买"))*'成交明细'!$B$5:$B$804,COUNTIFS('成交明细'!$A$5:$A$804,A193,'成交明细'!$D$5:$D$804,IF(E193="空","卖","买")))),"")</f>
        <v/>
      </c>
      <c r="S193" s="39" t="str">
        <f>IF(AND(N(U193)&gt;0,N(W193)&gt;=N(U193)),SUMPRODUCT(MAX(('成交明细'!$A$5:$A$804=A193)*('成交明细'!$D$5:$D$804=IF(E193="空","买","卖"))*'成交明细'!$B$5:$B$804)),"")</f>
        <v/>
      </c>
      <c r="T193" s="32" t="n"/>
      <c r="U193" s="35" t="str">
        <f>IF(A193="","",SUMIFS('成交明细'!$F$5:$F$804,'成交明细'!$A$5:$A$804,A193,'成交明细'!$D$5:$D$804,IF(E193="空","卖","买")))</f>
        <v/>
      </c>
      <c r="V193" s="40" t="str">
        <f>IF(N(U193)&gt;0,SUMIFS('成交明细'!$H$5:$H$804,'成交明细'!$A$5:$A$804,A193,'成交明细'!$D$5:$D$804,IF(E193="空","卖","买"))/U193,"")</f>
        <v/>
      </c>
      <c r="W193" s="35" t="str">
        <f>IF(A193="","",SUMIFS('成交明细'!$F$5:$F$804,'成交明细'!$A$5:$A$804,A193,'成交明细'!$D$5:$D$804,IF(E193="空","买","卖")))</f>
        <v/>
      </c>
      <c r="X193" s="40" t="str">
        <f>IF(N(W193)&gt;0,SUMIFS('成交明细'!$H$5:$H$804,'成交明细'!$A$5:$A$804,A193,'成交明细'!$D$5:$D$804,IF(E193="空","买","卖"))/W193,"")</f>
        <v/>
      </c>
      <c r="Y193" s="41" t="str">
        <f>IF(A193="","",IF(Q193&lt;&gt;"已执行",IF(Q193="","未填执行情况",Q193),IF(N(U193)=0,"待录成交",IF(N(W193)&gt;N(U193),"平仓多于开仓",IF(N(W193)&lt;N(U193),"持仓中","已平仓")))))</f>
        <v/>
      </c>
      <c r="Z193" s="41" t="str">
        <f>IF(AND(ISNUMBER(R193),ISNUMBER(S193)),IF(R193=S193,"日内",""),"")</f>
        <v/>
      </c>
      <c r="AA193" s="42" t="str">
        <f>IF(Z193&lt;&gt;"日内","",COUNTIFS($Z$5:$Z$304,"日内",$S$5:$S$304,"&gt;"&amp;WORKDAY(S193,-5),$S$5:$S$304,"&lt;="&amp;S193))</f>
        <v/>
      </c>
      <c r="AB193" s="41" t="str">
        <f>IF(OR(NOT(ISNUMBER(M193)),NOT(ISNUMBER(R193))),"",IF(AND(M193&gt;=R193,OR(NOT(ISNUMBER(S193)),M193&lt;=S193)),"持仓跨财报",""))</f>
        <v/>
      </c>
      <c r="AC193" s="20">
        <f>IF(AND(E193="空",ISNUMBER(O193),ISNUMBER(S193)),ROUND(O193*(S193-R193)/360*V193*U193,2),0)</f>
        <v>0</v>
      </c>
      <c r="AD193" s="43" t="str">
        <f>IF(N(U193)=0,"",SUMIFS('成交明细'!$L$5:$L$804,'成交明细'!$A$5:$A$804,A193)+AC193)</f>
        <v/>
      </c>
      <c r="AE193" s="44" t="str">
        <f>IF(Y193&lt;&gt;"已平仓","",(SUMIFS('成交明细'!$H$5:$H$804,'成交明细'!$A$5:$A$804,A193,'成交明细'!$D$5:$D$804,"卖")-SUMIFS('成交明细'!$H$5:$H$804,'成交明细'!$A$5:$A$804,A193,'成交明细'!$D$5:$D$804,"买"))*1-AD193)</f>
        <v/>
      </c>
      <c r="AF193" s="45" t="str">
        <f>IF(AND(Y193="已平仓",ISNUMBER(L193)),(SUMIFS('成交明细'!$H$5:$H$804,'成交明细'!$A$5:$A$804,A193,'成交明细'!$D$5:$D$804,"卖")-SUMIFS('成交明细'!$H$5:$H$804,'成交明细'!$A$5:$A$804,A193,'成交明细'!$D$5:$D$804,"买"))*1/L193,"")</f>
        <v/>
      </c>
      <c r="AG193" s="45" t="str">
        <f>IF(AND(Y193="已平仓",ISNUMBER(L193)),AE193/L193,"")</f>
        <v/>
      </c>
      <c r="AH193" s="46" t="str">
        <f>IF(AND(ISNUMBER(V193),ISNUMBER(F193)),IF(E193="空",F193-V193,V193-F193),"")</f>
        <v/>
      </c>
      <c r="AI193" s="46" t="str">
        <f>IF(OR(NOT(ISNUMBER(AE193)),NOT(ISNUMBER(X193))),"",IF(AE193&lt;0,IF(E193="空",X193-G193,G193-X193),IF(NOT(ISNUMBER(H193)),"",IF(E193="空",X193-H193,H193-X193))))</f>
        <v/>
      </c>
      <c r="AJ193" s="32" t="n"/>
      <c r="AK193" s="32" t="n"/>
      <c r="AL193" s="31" t="n"/>
      <c r="AM193" s="45" t="str">
        <f>IF(A193="","",SUM(AG$5:AG193))</f>
        <v/>
      </c>
      <c r="AN193" s="37" t="str">
        <f>IF(A193="","",MAX(0,MAX(AM$5:AM193))-AM193)</f>
        <v/>
      </c>
    </row>
    <row r="194">
      <c r="A194" s="29" t="n"/>
      <c r="B194" s="30" t="n"/>
      <c r="C194" s="31" t="n"/>
      <c r="D194" s="32" t="n"/>
      <c r="E194" s="32" t="n"/>
      <c r="F194" s="33" t="n"/>
      <c r="G194" s="33" t="n"/>
      <c r="H194" s="33" t="n"/>
      <c r="I194" s="34" t="str">
        <f>IF(AND(ISNUMBER(F194),ISNUMBER(G194),ISNUMBER(H194)),IF(OR(AND(E194="多",F194&gt;G194),AND(E194="空",F194&lt;G194)),ABS(H194-F194)/ABS(F194-G194),"止损方向不对"),"")</f>
        <v/>
      </c>
      <c r="J194" s="35" t="str">
        <f>IF(AND(ISNUMBER(F194),ISNUMBER(G194)),IF(F194=G194,"",IF(INT(ROUND('参数'!$C$7/(ABS(F194-G194)*1+2*'参数'!$C$11+N('参数'!$C$14)*F194+N('参数'!$C$15))/1,6))*1&gt;0,INT(ROUND('参数'!$C$7/(ABS(F194-G194)*1+2*'参数'!$C$11+N('参数'!$C$14)*F194+N('参数'!$C$15))/1,6))*1,"预算不足，这笔不做")),"")</f>
        <v/>
      </c>
      <c r="K194" s="36" t="n"/>
      <c r="L194" s="20" t="str">
        <f>IF(AND(ISNUMBER(F194),ISNUMBER(G194),ISNUMBER(K194)),IF(AND(F194&lt;&gt;G194,K194&gt;0),ABS(F194-G194)*K194*1,""),"")</f>
        <v/>
      </c>
      <c r="M194" s="30" t="n"/>
      <c r="N194" s="37" t="str">
        <f>IF(AND(ISNUMBER(L194),ISNUMBER(M194)),IF(E194="空",(G194*(1+'参数'!$C$17)-F194),(F194-G194*(1-'参数'!$C$17)))*K194/L194,"")</f>
        <v/>
      </c>
      <c r="O194" s="38" t="n"/>
      <c r="P194" s="31" t="n"/>
      <c r="Q194" s="32" t="n"/>
      <c r="R194" s="39" t="str">
        <f>IF(N(U194)&gt;0,SUMPRODUCT(LARGE(('成交明细'!$A$5:$A$804=A194)*('成交明细'!$D$5:$D$804=IF(E194="空","卖","买"))*'成交明细'!$B$5:$B$804,COUNTIFS('成交明细'!$A$5:$A$804,A194,'成交明细'!$D$5:$D$804,IF(E194="空","卖","买")))),"")</f>
        <v/>
      </c>
      <c r="S194" s="39" t="str">
        <f>IF(AND(N(U194)&gt;0,N(W194)&gt;=N(U194)),SUMPRODUCT(MAX(('成交明细'!$A$5:$A$804=A194)*('成交明细'!$D$5:$D$804=IF(E194="空","买","卖"))*'成交明细'!$B$5:$B$804)),"")</f>
        <v/>
      </c>
      <c r="T194" s="32" t="n"/>
      <c r="U194" s="35" t="str">
        <f>IF(A194="","",SUMIFS('成交明细'!$F$5:$F$804,'成交明细'!$A$5:$A$804,A194,'成交明细'!$D$5:$D$804,IF(E194="空","卖","买")))</f>
        <v/>
      </c>
      <c r="V194" s="40" t="str">
        <f>IF(N(U194)&gt;0,SUMIFS('成交明细'!$H$5:$H$804,'成交明细'!$A$5:$A$804,A194,'成交明细'!$D$5:$D$804,IF(E194="空","卖","买"))/U194,"")</f>
        <v/>
      </c>
      <c r="W194" s="35" t="str">
        <f>IF(A194="","",SUMIFS('成交明细'!$F$5:$F$804,'成交明细'!$A$5:$A$804,A194,'成交明细'!$D$5:$D$804,IF(E194="空","买","卖")))</f>
        <v/>
      </c>
      <c r="X194" s="40" t="str">
        <f>IF(N(W194)&gt;0,SUMIFS('成交明细'!$H$5:$H$804,'成交明细'!$A$5:$A$804,A194,'成交明细'!$D$5:$D$804,IF(E194="空","买","卖"))/W194,"")</f>
        <v/>
      </c>
      <c r="Y194" s="41" t="str">
        <f>IF(A194="","",IF(Q194&lt;&gt;"已执行",IF(Q194="","未填执行情况",Q194),IF(N(U194)=0,"待录成交",IF(N(W194)&gt;N(U194),"平仓多于开仓",IF(N(W194)&lt;N(U194),"持仓中","已平仓")))))</f>
        <v/>
      </c>
      <c r="Z194" s="41" t="str">
        <f>IF(AND(ISNUMBER(R194),ISNUMBER(S194)),IF(R194=S194,"日内",""),"")</f>
        <v/>
      </c>
      <c r="AA194" s="42" t="str">
        <f>IF(Z194&lt;&gt;"日内","",COUNTIFS($Z$5:$Z$304,"日内",$S$5:$S$304,"&gt;"&amp;WORKDAY(S194,-5),$S$5:$S$304,"&lt;="&amp;S194))</f>
        <v/>
      </c>
      <c r="AB194" s="41" t="str">
        <f>IF(OR(NOT(ISNUMBER(M194)),NOT(ISNUMBER(R194))),"",IF(AND(M194&gt;=R194,OR(NOT(ISNUMBER(S194)),M194&lt;=S194)),"持仓跨财报",""))</f>
        <v/>
      </c>
      <c r="AC194" s="20">
        <f>IF(AND(E194="空",ISNUMBER(O194),ISNUMBER(S194)),ROUND(O194*(S194-R194)/360*V194*U194,2),0)</f>
        <v>0</v>
      </c>
      <c r="AD194" s="43" t="str">
        <f>IF(N(U194)=0,"",SUMIFS('成交明细'!$L$5:$L$804,'成交明细'!$A$5:$A$804,A194)+AC194)</f>
        <v/>
      </c>
      <c r="AE194" s="44" t="str">
        <f>IF(Y194&lt;&gt;"已平仓","",(SUMIFS('成交明细'!$H$5:$H$804,'成交明细'!$A$5:$A$804,A194,'成交明细'!$D$5:$D$804,"卖")-SUMIFS('成交明细'!$H$5:$H$804,'成交明细'!$A$5:$A$804,A194,'成交明细'!$D$5:$D$804,"买"))*1-AD194)</f>
        <v/>
      </c>
      <c r="AF194" s="45" t="str">
        <f>IF(AND(Y194="已平仓",ISNUMBER(L194)),(SUMIFS('成交明细'!$H$5:$H$804,'成交明细'!$A$5:$A$804,A194,'成交明细'!$D$5:$D$804,"卖")-SUMIFS('成交明细'!$H$5:$H$804,'成交明细'!$A$5:$A$804,A194,'成交明细'!$D$5:$D$804,"买"))*1/L194,"")</f>
        <v/>
      </c>
      <c r="AG194" s="45" t="str">
        <f>IF(AND(Y194="已平仓",ISNUMBER(L194)),AE194/L194,"")</f>
        <v/>
      </c>
      <c r="AH194" s="46" t="str">
        <f>IF(AND(ISNUMBER(V194),ISNUMBER(F194)),IF(E194="空",F194-V194,V194-F194),"")</f>
        <v/>
      </c>
      <c r="AI194" s="46" t="str">
        <f>IF(OR(NOT(ISNUMBER(AE194)),NOT(ISNUMBER(X194))),"",IF(AE194&lt;0,IF(E194="空",X194-G194,G194-X194),IF(NOT(ISNUMBER(H194)),"",IF(E194="空",X194-H194,H194-X194))))</f>
        <v/>
      </c>
      <c r="AJ194" s="32" t="n"/>
      <c r="AK194" s="32" t="n"/>
      <c r="AL194" s="31" t="n"/>
      <c r="AM194" s="45" t="str">
        <f>IF(A194="","",SUM(AG$5:AG194))</f>
        <v/>
      </c>
      <c r="AN194" s="37" t="str">
        <f>IF(A194="","",MAX(0,MAX(AM$5:AM194))-AM194)</f>
        <v/>
      </c>
    </row>
    <row r="195">
      <c r="A195" s="29" t="n"/>
      <c r="B195" s="30" t="n"/>
      <c r="C195" s="31" t="n"/>
      <c r="D195" s="32" t="n"/>
      <c r="E195" s="32" t="n"/>
      <c r="F195" s="33" t="n"/>
      <c r="G195" s="33" t="n"/>
      <c r="H195" s="33" t="n"/>
      <c r="I195" s="34" t="str">
        <f>IF(AND(ISNUMBER(F195),ISNUMBER(G195),ISNUMBER(H195)),IF(OR(AND(E195="多",F195&gt;G195),AND(E195="空",F195&lt;G195)),ABS(H195-F195)/ABS(F195-G195),"止损方向不对"),"")</f>
        <v/>
      </c>
      <c r="J195" s="35" t="str">
        <f>IF(AND(ISNUMBER(F195),ISNUMBER(G195)),IF(F195=G195,"",IF(INT(ROUND('参数'!$C$7/(ABS(F195-G195)*1+2*'参数'!$C$11+N('参数'!$C$14)*F195+N('参数'!$C$15))/1,6))*1&gt;0,INT(ROUND('参数'!$C$7/(ABS(F195-G195)*1+2*'参数'!$C$11+N('参数'!$C$14)*F195+N('参数'!$C$15))/1,6))*1,"预算不足，这笔不做")),"")</f>
        <v/>
      </c>
      <c r="K195" s="36" t="n"/>
      <c r="L195" s="20" t="str">
        <f>IF(AND(ISNUMBER(F195),ISNUMBER(G195),ISNUMBER(K195)),IF(AND(F195&lt;&gt;G195,K195&gt;0),ABS(F195-G195)*K195*1,""),"")</f>
        <v/>
      </c>
      <c r="M195" s="30" t="n"/>
      <c r="N195" s="37" t="str">
        <f>IF(AND(ISNUMBER(L195),ISNUMBER(M195)),IF(E195="空",(G195*(1+'参数'!$C$17)-F195),(F195-G195*(1-'参数'!$C$17)))*K195/L195,"")</f>
        <v/>
      </c>
      <c r="O195" s="38" t="n"/>
      <c r="P195" s="31" t="n"/>
      <c r="Q195" s="32" t="n"/>
      <c r="R195" s="39" t="str">
        <f>IF(N(U195)&gt;0,SUMPRODUCT(LARGE(('成交明细'!$A$5:$A$804=A195)*('成交明细'!$D$5:$D$804=IF(E195="空","卖","买"))*'成交明细'!$B$5:$B$804,COUNTIFS('成交明细'!$A$5:$A$804,A195,'成交明细'!$D$5:$D$804,IF(E195="空","卖","买")))),"")</f>
        <v/>
      </c>
      <c r="S195" s="39" t="str">
        <f>IF(AND(N(U195)&gt;0,N(W195)&gt;=N(U195)),SUMPRODUCT(MAX(('成交明细'!$A$5:$A$804=A195)*('成交明细'!$D$5:$D$804=IF(E195="空","买","卖"))*'成交明细'!$B$5:$B$804)),"")</f>
        <v/>
      </c>
      <c r="T195" s="32" t="n"/>
      <c r="U195" s="35" t="str">
        <f>IF(A195="","",SUMIFS('成交明细'!$F$5:$F$804,'成交明细'!$A$5:$A$804,A195,'成交明细'!$D$5:$D$804,IF(E195="空","卖","买")))</f>
        <v/>
      </c>
      <c r="V195" s="40" t="str">
        <f>IF(N(U195)&gt;0,SUMIFS('成交明细'!$H$5:$H$804,'成交明细'!$A$5:$A$804,A195,'成交明细'!$D$5:$D$804,IF(E195="空","卖","买"))/U195,"")</f>
        <v/>
      </c>
      <c r="W195" s="35" t="str">
        <f>IF(A195="","",SUMIFS('成交明细'!$F$5:$F$804,'成交明细'!$A$5:$A$804,A195,'成交明细'!$D$5:$D$804,IF(E195="空","买","卖")))</f>
        <v/>
      </c>
      <c r="X195" s="40" t="str">
        <f>IF(N(W195)&gt;0,SUMIFS('成交明细'!$H$5:$H$804,'成交明细'!$A$5:$A$804,A195,'成交明细'!$D$5:$D$804,IF(E195="空","买","卖"))/W195,"")</f>
        <v/>
      </c>
      <c r="Y195" s="41" t="str">
        <f>IF(A195="","",IF(Q195&lt;&gt;"已执行",IF(Q195="","未填执行情况",Q195),IF(N(U195)=0,"待录成交",IF(N(W195)&gt;N(U195),"平仓多于开仓",IF(N(W195)&lt;N(U195),"持仓中","已平仓")))))</f>
        <v/>
      </c>
      <c r="Z195" s="41" t="str">
        <f>IF(AND(ISNUMBER(R195),ISNUMBER(S195)),IF(R195=S195,"日内",""),"")</f>
        <v/>
      </c>
      <c r="AA195" s="42" t="str">
        <f>IF(Z195&lt;&gt;"日内","",COUNTIFS($Z$5:$Z$304,"日内",$S$5:$S$304,"&gt;"&amp;WORKDAY(S195,-5),$S$5:$S$304,"&lt;="&amp;S195))</f>
        <v/>
      </c>
      <c r="AB195" s="41" t="str">
        <f>IF(OR(NOT(ISNUMBER(M195)),NOT(ISNUMBER(R195))),"",IF(AND(M195&gt;=R195,OR(NOT(ISNUMBER(S195)),M195&lt;=S195)),"持仓跨财报",""))</f>
        <v/>
      </c>
      <c r="AC195" s="20">
        <f>IF(AND(E195="空",ISNUMBER(O195),ISNUMBER(S195)),ROUND(O195*(S195-R195)/360*V195*U195,2),0)</f>
        <v>0</v>
      </c>
      <c r="AD195" s="43" t="str">
        <f>IF(N(U195)=0,"",SUMIFS('成交明细'!$L$5:$L$804,'成交明细'!$A$5:$A$804,A195)+AC195)</f>
        <v/>
      </c>
      <c r="AE195" s="44" t="str">
        <f>IF(Y195&lt;&gt;"已平仓","",(SUMIFS('成交明细'!$H$5:$H$804,'成交明细'!$A$5:$A$804,A195,'成交明细'!$D$5:$D$804,"卖")-SUMIFS('成交明细'!$H$5:$H$804,'成交明细'!$A$5:$A$804,A195,'成交明细'!$D$5:$D$804,"买"))*1-AD195)</f>
        <v/>
      </c>
      <c r="AF195" s="45" t="str">
        <f>IF(AND(Y195="已平仓",ISNUMBER(L195)),(SUMIFS('成交明细'!$H$5:$H$804,'成交明细'!$A$5:$A$804,A195,'成交明细'!$D$5:$D$804,"卖")-SUMIFS('成交明细'!$H$5:$H$804,'成交明细'!$A$5:$A$804,A195,'成交明细'!$D$5:$D$804,"买"))*1/L195,"")</f>
        <v/>
      </c>
      <c r="AG195" s="45" t="str">
        <f>IF(AND(Y195="已平仓",ISNUMBER(L195)),AE195/L195,"")</f>
        <v/>
      </c>
      <c r="AH195" s="46" t="str">
        <f>IF(AND(ISNUMBER(V195),ISNUMBER(F195)),IF(E195="空",F195-V195,V195-F195),"")</f>
        <v/>
      </c>
      <c r="AI195" s="46" t="str">
        <f>IF(OR(NOT(ISNUMBER(AE195)),NOT(ISNUMBER(X195))),"",IF(AE195&lt;0,IF(E195="空",X195-G195,G195-X195),IF(NOT(ISNUMBER(H195)),"",IF(E195="空",X195-H195,H195-X195))))</f>
        <v/>
      </c>
      <c r="AJ195" s="32" t="n"/>
      <c r="AK195" s="32" t="n"/>
      <c r="AL195" s="31" t="n"/>
      <c r="AM195" s="45" t="str">
        <f>IF(A195="","",SUM(AG$5:AG195))</f>
        <v/>
      </c>
      <c r="AN195" s="37" t="str">
        <f>IF(A195="","",MAX(0,MAX(AM$5:AM195))-AM195)</f>
        <v/>
      </c>
    </row>
    <row r="196">
      <c r="A196" s="29" t="n"/>
      <c r="B196" s="30" t="n"/>
      <c r="C196" s="31" t="n"/>
      <c r="D196" s="32" t="n"/>
      <c r="E196" s="32" t="n"/>
      <c r="F196" s="33" t="n"/>
      <c r="G196" s="33" t="n"/>
      <c r="H196" s="33" t="n"/>
      <c r="I196" s="34" t="str">
        <f>IF(AND(ISNUMBER(F196),ISNUMBER(G196),ISNUMBER(H196)),IF(OR(AND(E196="多",F196&gt;G196),AND(E196="空",F196&lt;G196)),ABS(H196-F196)/ABS(F196-G196),"止损方向不对"),"")</f>
        <v/>
      </c>
      <c r="J196" s="35" t="str">
        <f>IF(AND(ISNUMBER(F196),ISNUMBER(G196)),IF(F196=G196,"",IF(INT(ROUND('参数'!$C$7/(ABS(F196-G196)*1+2*'参数'!$C$11+N('参数'!$C$14)*F196+N('参数'!$C$15))/1,6))*1&gt;0,INT(ROUND('参数'!$C$7/(ABS(F196-G196)*1+2*'参数'!$C$11+N('参数'!$C$14)*F196+N('参数'!$C$15))/1,6))*1,"预算不足，这笔不做")),"")</f>
        <v/>
      </c>
      <c r="K196" s="36" t="n"/>
      <c r="L196" s="20" t="str">
        <f>IF(AND(ISNUMBER(F196),ISNUMBER(G196),ISNUMBER(K196)),IF(AND(F196&lt;&gt;G196,K196&gt;0),ABS(F196-G196)*K196*1,""),"")</f>
        <v/>
      </c>
      <c r="M196" s="30" t="n"/>
      <c r="N196" s="37" t="str">
        <f>IF(AND(ISNUMBER(L196),ISNUMBER(M196)),IF(E196="空",(G196*(1+'参数'!$C$17)-F196),(F196-G196*(1-'参数'!$C$17)))*K196/L196,"")</f>
        <v/>
      </c>
      <c r="O196" s="38" t="n"/>
      <c r="P196" s="31" t="n"/>
      <c r="Q196" s="32" t="n"/>
      <c r="R196" s="39" t="str">
        <f>IF(N(U196)&gt;0,SUMPRODUCT(LARGE(('成交明细'!$A$5:$A$804=A196)*('成交明细'!$D$5:$D$804=IF(E196="空","卖","买"))*'成交明细'!$B$5:$B$804,COUNTIFS('成交明细'!$A$5:$A$804,A196,'成交明细'!$D$5:$D$804,IF(E196="空","卖","买")))),"")</f>
        <v/>
      </c>
      <c r="S196" s="39" t="str">
        <f>IF(AND(N(U196)&gt;0,N(W196)&gt;=N(U196)),SUMPRODUCT(MAX(('成交明细'!$A$5:$A$804=A196)*('成交明细'!$D$5:$D$804=IF(E196="空","买","卖"))*'成交明细'!$B$5:$B$804)),"")</f>
        <v/>
      </c>
      <c r="T196" s="32" t="n"/>
      <c r="U196" s="35" t="str">
        <f>IF(A196="","",SUMIFS('成交明细'!$F$5:$F$804,'成交明细'!$A$5:$A$804,A196,'成交明细'!$D$5:$D$804,IF(E196="空","卖","买")))</f>
        <v/>
      </c>
      <c r="V196" s="40" t="str">
        <f>IF(N(U196)&gt;0,SUMIFS('成交明细'!$H$5:$H$804,'成交明细'!$A$5:$A$804,A196,'成交明细'!$D$5:$D$804,IF(E196="空","卖","买"))/U196,"")</f>
        <v/>
      </c>
      <c r="W196" s="35" t="str">
        <f>IF(A196="","",SUMIFS('成交明细'!$F$5:$F$804,'成交明细'!$A$5:$A$804,A196,'成交明细'!$D$5:$D$804,IF(E196="空","买","卖")))</f>
        <v/>
      </c>
      <c r="X196" s="40" t="str">
        <f>IF(N(W196)&gt;0,SUMIFS('成交明细'!$H$5:$H$804,'成交明细'!$A$5:$A$804,A196,'成交明细'!$D$5:$D$804,IF(E196="空","买","卖"))/W196,"")</f>
        <v/>
      </c>
      <c r="Y196" s="41" t="str">
        <f>IF(A196="","",IF(Q196&lt;&gt;"已执行",IF(Q196="","未填执行情况",Q196),IF(N(U196)=0,"待录成交",IF(N(W196)&gt;N(U196),"平仓多于开仓",IF(N(W196)&lt;N(U196),"持仓中","已平仓")))))</f>
        <v/>
      </c>
      <c r="Z196" s="41" t="str">
        <f>IF(AND(ISNUMBER(R196),ISNUMBER(S196)),IF(R196=S196,"日内",""),"")</f>
        <v/>
      </c>
      <c r="AA196" s="42" t="str">
        <f>IF(Z196&lt;&gt;"日内","",COUNTIFS($Z$5:$Z$304,"日内",$S$5:$S$304,"&gt;"&amp;WORKDAY(S196,-5),$S$5:$S$304,"&lt;="&amp;S196))</f>
        <v/>
      </c>
      <c r="AB196" s="41" t="str">
        <f>IF(OR(NOT(ISNUMBER(M196)),NOT(ISNUMBER(R196))),"",IF(AND(M196&gt;=R196,OR(NOT(ISNUMBER(S196)),M196&lt;=S196)),"持仓跨财报",""))</f>
        <v/>
      </c>
      <c r="AC196" s="20">
        <f>IF(AND(E196="空",ISNUMBER(O196),ISNUMBER(S196)),ROUND(O196*(S196-R196)/360*V196*U196,2),0)</f>
        <v>0</v>
      </c>
      <c r="AD196" s="43" t="str">
        <f>IF(N(U196)=0,"",SUMIFS('成交明细'!$L$5:$L$804,'成交明细'!$A$5:$A$804,A196)+AC196)</f>
        <v/>
      </c>
      <c r="AE196" s="44" t="str">
        <f>IF(Y196&lt;&gt;"已平仓","",(SUMIFS('成交明细'!$H$5:$H$804,'成交明细'!$A$5:$A$804,A196,'成交明细'!$D$5:$D$804,"卖")-SUMIFS('成交明细'!$H$5:$H$804,'成交明细'!$A$5:$A$804,A196,'成交明细'!$D$5:$D$804,"买"))*1-AD196)</f>
        <v/>
      </c>
      <c r="AF196" s="45" t="str">
        <f>IF(AND(Y196="已平仓",ISNUMBER(L196)),(SUMIFS('成交明细'!$H$5:$H$804,'成交明细'!$A$5:$A$804,A196,'成交明细'!$D$5:$D$804,"卖")-SUMIFS('成交明细'!$H$5:$H$804,'成交明细'!$A$5:$A$804,A196,'成交明细'!$D$5:$D$804,"买"))*1/L196,"")</f>
        <v/>
      </c>
      <c r="AG196" s="45" t="str">
        <f>IF(AND(Y196="已平仓",ISNUMBER(L196)),AE196/L196,"")</f>
        <v/>
      </c>
      <c r="AH196" s="46" t="str">
        <f>IF(AND(ISNUMBER(V196),ISNUMBER(F196)),IF(E196="空",F196-V196,V196-F196),"")</f>
        <v/>
      </c>
      <c r="AI196" s="46" t="str">
        <f>IF(OR(NOT(ISNUMBER(AE196)),NOT(ISNUMBER(X196))),"",IF(AE196&lt;0,IF(E196="空",X196-G196,G196-X196),IF(NOT(ISNUMBER(H196)),"",IF(E196="空",X196-H196,H196-X196))))</f>
        <v/>
      </c>
      <c r="AJ196" s="32" t="n"/>
      <c r="AK196" s="32" t="n"/>
      <c r="AL196" s="31" t="n"/>
      <c r="AM196" s="45" t="str">
        <f>IF(A196="","",SUM(AG$5:AG196))</f>
        <v/>
      </c>
      <c r="AN196" s="37" t="str">
        <f>IF(A196="","",MAX(0,MAX(AM$5:AM196))-AM196)</f>
        <v/>
      </c>
    </row>
    <row r="197">
      <c r="A197" s="29" t="n"/>
      <c r="B197" s="30" t="n"/>
      <c r="C197" s="31" t="n"/>
      <c r="D197" s="32" t="n"/>
      <c r="E197" s="32" t="n"/>
      <c r="F197" s="33" t="n"/>
      <c r="G197" s="33" t="n"/>
      <c r="H197" s="33" t="n"/>
      <c r="I197" s="34" t="str">
        <f>IF(AND(ISNUMBER(F197),ISNUMBER(G197),ISNUMBER(H197)),IF(OR(AND(E197="多",F197&gt;G197),AND(E197="空",F197&lt;G197)),ABS(H197-F197)/ABS(F197-G197),"止损方向不对"),"")</f>
        <v/>
      </c>
      <c r="J197" s="35" t="str">
        <f>IF(AND(ISNUMBER(F197),ISNUMBER(G197)),IF(F197=G197,"",IF(INT(ROUND('参数'!$C$7/(ABS(F197-G197)*1+2*'参数'!$C$11+N('参数'!$C$14)*F197+N('参数'!$C$15))/1,6))*1&gt;0,INT(ROUND('参数'!$C$7/(ABS(F197-G197)*1+2*'参数'!$C$11+N('参数'!$C$14)*F197+N('参数'!$C$15))/1,6))*1,"预算不足，这笔不做")),"")</f>
        <v/>
      </c>
      <c r="K197" s="36" t="n"/>
      <c r="L197" s="20" t="str">
        <f>IF(AND(ISNUMBER(F197),ISNUMBER(G197),ISNUMBER(K197)),IF(AND(F197&lt;&gt;G197,K197&gt;0),ABS(F197-G197)*K197*1,""),"")</f>
        <v/>
      </c>
      <c r="M197" s="30" t="n"/>
      <c r="N197" s="37" t="str">
        <f>IF(AND(ISNUMBER(L197),ISNUMBER(M197)),IF(E197="空",(G197*(1+'参数'!$C$17)-F197),(F197-G197*(1-'参数'!$C$17)))*K197/L197,"")</f>
        <v/>
      </c>
      <c r="O197" s="38" t="n"/>
      <c r="P197" s="31" t="n"/>
      <c r="Q197" s="32" t="n"/>
      <c r="R197" s="39" t="str">
        <f>IF(N(U197)&gt;0,SUMPRODUCT(LARGE(('成交明细'!$A$5:$A$804=A197)*('成交明细'!$D$5:$D$804=IF(E197="空","卖","买"))*'成交明细'!$B$5:$B$804,COUNTIFS('成交明细'!$A$5:$A$804,A197,'成交明细'!$D$5:$D$804,IF(E197="空","卖","买")))),"")</f>
        <v/>
      </c>
      <c r="S197" s="39" t="str">
        <f>IF(AND(N(U197)&gt;0,N(W197)&gt;=N(U197)),SUMPRODUCT(MAX(('成交明细'!$A$5:$A$804=A197)*('成交明细'!$D$5:$D$804=IF(E197="空","买","卖"))*'成交明细'!$B$5:$B$804)),"")</f>
        <v/>
      </c>
      <c r="T197" s="32" t="n"/>
      <c r="U197" s="35" t="str">
        <f>IF(A197="","",SUMIFS('成交明细'!$F$5:$F$804,'成交明细'!$A$5:$A$804,A197,'成交明细'!$D$5:$D$804,IF(E197="空","卖","买")))</f>
        <v/>
      </c>
      <c r="V197" s="40" t="str">
        <f>IF(N(U197)&gt;0,SUMIFS('成交明细'!$H$5:$H$804,'成交明细'!$A$5:$A$804,A197,'成交明细'!$D$5:$D$804,IF(E197="空","卖","买"))/U197,"")</f>
        <v/>
      </c>
      <c r="W197" s="35" t="str">
        <f>IF(A197="","",SUMIFS('成交明细'!$F$5:$F$804,'成交明细'!$A$5:$A$804,A197,'成交明细'!$D$5:$D$804,IF(E197="空","买","卖")))</f>
        <v/>
      </c>
      <c r="X197" s="40" t="str">
        <f>IF(N(W197)&gt;0,SUMIFS('成交明细'!$H$5:$H$804,'成交明细'!$A$5:$A$804,A197,'成交明细'!$D$5:$D$804,IF(E197="空","买","卖"))/W197,"")</f>
        <v/>
      </c>
      <c r="Y197" s="41" t="str">
        <f>IF(A197="","",IF(Q197&lt;&gt;"已执行",IF(Q197="","未填执行情况",Q197),IF(N(U197)=0,"待录成交",IF(N(W197)&gt;N(U197),"平仓多于开仓",IF(N(W197)&lt;N(U197),"持仓中","已平仓")))))</f>
        <v/>
      </c>
      <c r="Z197" s="41" t="str">
        <f>IF(AND(ISNUMBER(R197),ISNUMBER(S197)),IF(R197=S197,"日内",""),"")</f>
        <v/>
      </c>
      <c r="AA197" s="42" t="str">
        <f>IF(Z197&lt;&gt;"日内","",COUNTIFS($Z$5:$Z$304,"日内",$S$5:$S$304,"&gt;"&amp;WORKDAY(S197,-5),$S$5:$S$304,"&lt;="&amp;S197))</f>
        <v/>
      </c>
      <c r="AB197" s="41" t="str">
        <f>IF(OR(NOT(ISNUMBER(M197)),NOT(ISNUMBER(R197))),"",IF(AND(M197&gt;=R197,OR(NOT(ISNUMBER(S197)),M197&lt;=S197)),"持仓跨财报",""))</f>
        <v/>
      </c>
      <c r="AC197" s="20">
        <f>IF(AND(E197="空",ISNUMBER(O197),ISNUMBER(S197)),ROUND(O197*(S197-R197)/360*V197*U197,2),0)</f>
        <v>0</v>
      </c>
      <c r="AD197" s="43" t="str">
        <f>IF(N(U197)=0,"",SUMIFS('成交明细'!$L$5:$L$804,'成交明细'!$A$5:$A$804,A197)+AC197)</f>
        <v/>
      </c>
      <c r="AE197" s="44" t="str">
        <f>IF(Y197&lt;&gt;"已平仓","",(SUMIFS('成交明细'!$H$5:$H$804,'成交明细'!$A$5:$A$804,A197,'成交明细'!$D$5:$D$804,"卖")-SUMIFS('成交明细'!$H$5:$H$804,'成交明细'!$A$5:$A$804,A197,'成交明细'!$D$5:$D$804,"买"))*1-AD197)</f>
        <v/>
      </c>
      <c r="AF197" s="45" t="str">
        <f>IF(AND(Y197="已平仓",ISNUMBER(L197)),(SUMIFS('成交明细'!$H$5:$H$804,'成交明细'!$A$5:$A$804,A197,'成交明细'!$D$5:$D$804,"卖")-SUMIFS('成交明细'!$H$5:$H$804,'成交明细'!$A$5:$A$804,A197,'成交明细'!$D$5:$D$804,"买"))*1/L197,"")</f>
        <v/>
      </c>
      <c r="AG197" s="45" t="str">
        <f>IF(AND(Y197="已平仓",ISNUMBER(L197)),AE197/L197,"")</f>
        <v/>
      </c>
      <c r="AH197" s="46" t="str">
        <f>IF(AND(ISNUMBER(V197),ISNUMBER(F197)),IF(E197="空",F197-V197,V197-F197),"")</f>
        <v/>
      </c>
      <c r="AI197" s="46" t="str">
        <f>IF(OR(NOT(ISNUMBER(AE197)),NOT(ISNUMBER(X197))),"",IF(AE197&lt;0,IF(E197="空",X197-G197,G197-X197),IF(NOT(ISNUMBER(H197)),"",IF(E197="空",X197-H197,H197-X197))))</f>
        <v/>
      </c>
      <c r="AJ197" s="32" t="n"/>
      <c r="AK197" s="32" t="n"/>
      <c r="AL197" s="31" t="n"/>
      <c r="AM197" s="45" t="str">
        <f>IF(A197="","",SUM(AG$5:AG197))</f>
        <v/>
      </c>
      <c r="AN197" s="37" t="str">
        <f>IF(A197="","",MAX(0,MAX(AM$5:AM197))-AM197)</f>
        <v/>
      </c>
    </row>
    <row r="198">
      <c r="A198" s="29" t="n"/>
      <c r="B198" s="30" t="n"/>
      <c r="C198" s="31" t="n"/>
      <c r="D198" s="32" t="n"/>
      <c r="E198" s="32" t="n"/>
      <c r="F198" s="33" t="n"/>
      <c r="G198" s="33" t="n"/>
      <c r="H198" s="33" t="n"/>
      <c r="I198" s="34" t="str">
        <f>IF(AND(ISNUMBER(F198),ISNUMBER(G198),ISNUMBER(H198)),IF(OR(AND(E198="多",F198&gt;G198),AND(E198="空",F198&lt;G198)),ABS(H198-F198)/ABS(F198-G198),"止损方向不对"),"")</f>
        <v/>
      </c>
      <c r="J198" s="35" t="str">
        <f>IF(AND(ISNUMBER(F198),ISNUMBER(G198)),IF(F198=G198,"",IF(INT(ROUND('参数'!$C$7/(ABS(F198-G198)*1+2*'参数'!$C$11+N('参数'!$C$14)*F198+N('参数'!$C$15))/1,6))*1&gt;0,INT(ROUND('参数'!$C$7/(ABS(F198-G198)*1+2*'参数'!$C$11+N('参数'!$C$14)*F198+N('参数'!$C$15))/1,6))*1,"预算不足，这笔不做")),"")</f>
        <v/>
      </c>
      <c r="K198" s="36" t="n"/>
      <c r="L198" s="20" t="str">
        <f>IF(AND(ISNUMBER(F198),ISNUMBER(G198),ISNUMBER(K198)),IF(AND(F198&lt;&gt;G198,K198&gt;0),ABS(F198-G198)*K198*1,""),"")</f>
        <v/>
      </c>
      <c r="M198" s="30" t="n"/>
      <c r="N198" s="37" t="str">
        <f>IF(AND(ISNUMBER(L198),ISNUMBER(M198)),IF(E198="空",(G198*(1+'参数'!$C$17)-F198),(F198-G198*(1-'参数'!$C$17)))*K198/L198,"")</f>
        <v/>
      </c>
      <c r="O198" s="38" t="n"/>
      <c r="P198" s="31" t="n"/>
      <c r="Q198" s="32" t="n"/>
      <c r="R198" s="39" t="str">
        <f>IF(N(U198)&gt;0,SUMPRODUCT(LARGE(('成交明细'!$A$5:$A$804=A198)*('成交明细'!$D$5:$D$804=IF(E198="空","卖","买"))*'成交明细'!$B$5:$B$804,COUNTIFS('成交明细'!$A$5:$A$804,A198,'成交明细'!$D$5:$D$804,IF(E198="空","卖","买")))),"")</f>
        <v/>
      </c>
      <c r="S198" s="39" t="str">
        <f>IF(AND(N(U198)&gt;0,N(W198)&gt;=N(U198)),SUMPRODUCT(MAX(('成交明细'!$A$5:$A$804=A198)*('成交明细'!$D$5:$D$804=IF(E198="空","买","卖"))*'成交明细'!$B$5:$B$804)),"")</f>
        <v/>
      </c>
      <c r="T198" s="32" t="n"/>
      <c r="U198" s="35" t="str">
        <f>IF(A198="","",SUMIFS('成交明细'!$F$5:$F$804,'成交明细'!$A$5:$A$804,A198,'成交明细'!$D$5:$D$804,IF(E198="空","卖","买")))</f>
        <v/>
      </c>
      <c r="V198" s="40" t="str">
        <f>IF(N(U198)&gt;0,SUMIFS('成交明细'!$H$5:$H$804,'成交明细'!$A$5:$A$804,A198,'成交明细'!$D$5:$D$804,IF(E198="空","卖","买"))/U198,"")</f>
        <v/>
      </c>
      <c r="W198" s="35" t="str">
        <f>IF(A198="","",SUMIFS('成交明细'!$F$5:$F$804,'成交明细'!$A$5:$A$804,A198,'成交明细'!$D$5:$D$804,IF(E198="空","买","卖")))</f>
        <v/>
      </c>
      <c r="X198" s="40" t="str">
        <f>IF(N(W198)&gt;0,SUMIFS('成交明细'!$H$5:$H$804,'成交明细'!$A$5:$A$804,A198,'成交明细'!$D$5:$D$804,IF(E198="空","买","卖"))/W198,"")</f>
        <v/>
      </c>
      <c r="Y198" s="41" t="str">
        <f>IF(A198="","",IF(Q198&lt;&gt;"已执行",IF(Q198="","未填执行情况",Q198),IF(N(U198)=0,"待录成交",IF(N(W198)&gt;N(U198),"平仓多于开仓",IF(N(W198)&lt;N(U198),"持仓中","已平仓")))))</f>
        <v/>
      </c>
      <c r="Z198" s="41" t="str">
        <f>IF(AND(ISNUMBER(R198),ISNUMBER(S198)),IF(R198=S198,"日内",""),"")</f>
        <v/>
      </c>
      <c r="AA198" s="42" t="str">
        <f>IF(Z198&lt;&gt;"日内","",COUNTIFS($Z$5:$Z$304,"日内",$S$5:$S$304,"&gt;"&amp;WORKDAY(S198,-5),$S$5:$S$304,"&lt;="&amp;S198))</f>
        <v/>
      </c>
      <c r="AB198" s="41" t="str">
        <f>IF(OR(NOT(ISNUMBER(M198)),NOT(ISNUMBER(R198))),"",IF(AND(M198&gt;=R198,OR(NOT(ISNUMBER(S198)),M198&lt;=S198)),"持仓跨财报",""))</f>
        <v/>
      </c>
      <c r="AC198" s="20">
        <f>IF(AND(E198="空",ISNUMBER(O198),ISNUMBER(S198)),ROUND(O198*(S198-R198)/360*V198*U198,2),0)</f>
        <v>0</v>
      </c>
      <c r="AD198" s="43" t="str">
        <f>IF(N(U198)=0,"",SUMIFS('成交明细'!$L$5:$L$804,'成交明细'!$A$5:$A$804,A198)+AC198)</f>
        <v/>
      </c>
      <c r="AE198" s="44" t="str">
        <f>IF(Y198&lt;&gt;"已平仓","",(SUMIFS('成交明细'!$H$5:$H$804,'成交明细'!$A$5:$A$804,A198,'成交明细'!$D$5:$D$804,"卖")-SUMIFS('成交明细'!$H$5:$H$804,'成交明细'!$A$5:$A$804,A198,'成交明细'!$D$5:$D$804,"买"))*1-AD198)</f>
        <v/>
      </c>
      <c r="AF198" s="45" t="str">
        <f>IF(AND(Y198="已平仓",ISNUMBER(L198)),(SUMIFS('成交明细'!$H$5:$H$804,'成交明细'!$A$5:$A$804,A198,'成交明细'!$D$5:$D$804,"卖")-SUMIFS('成交明细'!$H$5:$H$804,'成交明细'!$A$5:$A$804,A198,'成交明细'!$D$5:$D$804,"买"))*1/L198,"")</f>
        <v/>
      </c>
      <c r="AG198" s="45" t="str">
        <f>IF(AND(Y198="已平仓",ISNUMBER(L198)),AE198/L198,"")</f>
        <v/>
      </c>
      <c r="AH198" s="46" t="str">
        <f>IF(AND(ISNUMBER(V198),ISNUMBER(F198)),IF(E198="空",F198-V198,V198-F198),"")</f>
        <v/>
      </c>
      <c r="AI198" s="46" t="str">
        <f>IF(OR(NOT(ISNUMBER(AE198)),NOT(ISNUMBER(X198))),"",IF(AE198&lt;0,IF(E198="空",X198-G198,G198-X198),IF(NOT(ISNUMBER(H198)),"",IF(E198="空",X198-H198,H198-X198))))</f>
        <v/>
      </c>
      <c r="AJ198" s="32" t="n"/>
      <c r="AK198" s="32" t="n"/>
      <c r="AL198" s="31" t="n"/>
      <c r="AM198" s="45" t="str">
        <f>IF(A198="","",SUM(AG$5:AG198))</f>
        <v/>
      </c>
      <c r="AN198" s="37" t="str">
        <f>IF(A198="","",MAX(0,MAX(AM$5:AM198))-AM198)</f>
        <v/>
      </c>
    </row>
    <row r="199">
      <c r="A199" s="29" t="n"/>
      <c r="B199" s="30" t="n"/>
      <c r="C199" s="31" t="n"/>
      <c r="D199" s="32" t="n"/>
      <c r="E199" s="32" t="n"/>
      <c r="F199" s="33" t="n"/>
      <c r="G199" s="33" t="n"/>
      <c r="H199" s="33" t="n"/>
      <c r="I199" s="34" t="str">
        <f>IF(AND(ISNUMBER(F199),ISNUMBER(G199),ISNUMBER(H199)),IF(OR(AND(E199="多",F199&gt;G199),AND(E199="空",F199&lt;G199)),ABS(H199-F199)/ABS(F199-G199),"止损方向不对"),"")</f>
        <v/>
      </c>
      <c r="J199" s="35" t="str">
        <f>IF(AND(ISNUMBER(F199),ISNUMBER(G199)),IF(F199=G199,"",IF(INT(ROUND('参数'!$C$7/(ABS(F199-G199)*1+2*'参数'!$C$11+N('参数'!$C$14)*F199+N('参数'!$C$15))/1,6))*1&gt;0,INT(ROUND('参数'!$C$7/(ABS(F199-G199)*1+2*'参数'!$C$11+N('参数'!$C$14)*F199+N('参数'!$C$15))/1,6))*1,"预算不足，这笔不做")),"")</f>
        <v/>
      </c>
      <c r="K199" s="36" t="n"/>
      <c r="L199" s="20" t="str">
        <f>IF(AND(ISNUMBER(F199),ISNUMBER(G199),ISNUMBER(K199)),IF(AND(F199&lt;&gt;G199,K199&gt;0),ABS(F199-G199)*K199*1,""),"")</f>
        <v/>
      </c>
      <c r="M199" s="30" t="n"/>
      <c r="N199" s="37" t="str">
        <f>IF(AND(ISNUMBER(L199),ISNUMBER(M199)),IF(E199="空",(G199*(1+'参数'!$C$17)-F199),(F199-G199*(1-'参数'!$C$17)))*K199/L199,"")</f>
        <v/>
      </c>
      <c r="O199" s="38" t="n"/>
      <c r="P199" s="31" t="n"/>
      <c r="Q199" s="32" t="n"/>
      <c r="R199" s="39" t="str">
        <f>IF(N(U199)&gt;0,SUMPRODUCT(LARGE(('成交明细'!$A$5:$A$804=A199)*('成交明细'!$D$5:$D$804=IF(E199="空","卖","买"))*'成交明细'!$B$5:$B$804,COUNTIFS('成交明细'!$A$5:$A$804,A199,'成交明细'!$D$5:$D$804,IF(E199="空","卖","买")))),"")</f>
        <v/>
      </c>
      <c r="S199" s="39" t="str">
        <f>IF(AND(N(U199)&gt;0,N(W199)&gt;=N(U199)),SUMPRODUCT(MAX(('成交明细'!$A$5:$A$804=A199)*('成交明细'!$D$5:$D$804=IF(E199="空","买","卖"))*'成交明细'!$B$5:$B$804)),"")</f>
        <v/>
      </c>
      <c r="T199" s="32" t="n"/>
      <c r="U199" s="35" t="str">
        <f>IF(A199="","",SUMIFS('成交明细'!$F$5:$F$804,'成交明细'!$A$5:$A$804,A199,'成交明细'!$D$5:$D$804,IF(E199="空","卖","买")))</f>
        <v/>
      </c>
      <c r="V199" s="40" t="str">
        <f>IF(N(U199)&gt;0,SUMIFS('成交明细'!$H$5:$H$804,'成交明细'!$A$5:$A$804,A199,'成交明细'!$D$5:$D$804,IF(E199="空","卖","买"))/U199,"")</f>
        <v/>
      </c>
      <c r="W199" s="35" t="str">
        <f>IF(A199="","",SUMIFS('成交明细'!$F$5:$F$804,'成交明细'!$A$5:$A$804,A199,'成交明细'!$D$5:$D$804,IF(E199="空","买","卖")))</f>
        <v/>
      </c>
      <c r="X199" s="40" t="str">
        <f>IF(N(W199)&gt;0,SUMIFS('成交明细'!$H$5:$H$804,'成交明细'!$A$5:$A$804,A199,'成交明细'!$D$5:$D$804,IF(E199="空","买","卖"))/W199,"")</f>
        <v/>
      </c>
      <c r="Y199" s="41" t="str">
        <f>IF(A199="","",IF(Q199&lt;&gt;"已执行",IF(Q199="","未填执行情况",Q199),IF(N(U199)=0,"待录成交",IF(N(W199)&gt;N(U199),"平仓多于开仓",IF(N(W199)&lt;N(U199),"持仓中","已平仓")))))</f>
        <v/>
      </c>
      <c r="Z199" s="41" t="str">
        <f>IF(AND(ISNUMBER(R199),ISNUMBER(S199)),IF(R199=S199,"日内",""),"")</f>
        <v/>
      </c>
      <c r="AA199" s="42" t="str">
        <f>IF(Z199&lt;&gt;"日内","",COUNTIFS($Z$5:$Z$304,"日内",$S$5:$S$304,"&gt;"&amp;WORKDAY(S199,-5),$S$5:$S$304,"&lt;="&amp;S199))</f>
        <v/>
      </c>
      <c r="AB199" s="41" t="str">
        <f>IF(OR(NOT(ISNUMBER(M199)),NOT(ISNUMBER(R199))),"",IF(AND(M199&gt;=R199,OR(NOT(ISNUMBER(S199)),M199&lt;=S199)),"持仓跨财报",""))</f>
        <v/>
      </c>
      <c r="AC199" s="20">
        <f>IF(AND(E199="空",ISNUMBER(O199),ISNUMBER(S199)),ROUND(O199*(S199-R199)/360*V199*U199,2),0)</f>
        <v>0</v>
      </c>
      <c r="AD199" s="43" t="str">
        <f>IF(N(U199)=0,"",SUMIFS('成交明细'!$L$5:$L$804,'成交明细'!$A$5:$A$804,A199)+AC199)</f>
        <v/>
      </c>
      <c r="AE199" s="44" t="str">
        <f>IF(Y199&lt;&gt;"已平仓","",(SUMIFS('成交明细'!$H$5:$H$804,'成交明细'!$A$5:$A$804,A199,'成交明细'!$D$5:$D$804,"卖")-SUMIFS('成交明细'!$H$5:$H$804,'成交明细'!$A$5:$A$804,A199,'成交明细'!$D$5:$D$804,"买"))*1-AD199)</f>
        <v/>
      </c>
      <c r="AF199" s="45" t="str">
        <f>IF(AND(Y199="已平仓",ISNUMBER(L199)),(SUMIFS('成交明细'!$H$5:$H$804,'成交明细'!$A$5:$A$804,A199,'成交明细'!$D$5:$D$804,"卖")-SUMIFS('成交明细'!$H$5:$H$804,'成交明细'!$A$5:$A$804,A199,'成交明细'!$D$5:$D$804,"买"))*1/L199,"")</f>
        <v/>
      </c>
      <c r="AG199" s="45" t="str">
        <f>IF(AND(Y199="已平仓",ISNUMBER(L199)),AE199/L199,"")</f>
        <v/>
      </c>
      <c r="AH199" s="46" t="str">
        <f>IF(AND(ISNUMBER(V199),ISNUMBER(F199)),IF(E199="空",F199-V199,V199-F199),"")</f>
        <v/>
      </c>
      <c r="AI199" s="46" t="str">
        <f>IF(OR(NOT(ISNUMBER(AE199)),NOT(ISNUMBER(X199))),"",IF(AE199&lt;0,IF(E199="空",X199-G199,G199-X199),IF(NOT(ISNUMBER(H199)),"",IF(E199="空",X199-H199,H199-X199))))</f>
        <v/>
      </c>
      <c r="AJ199" s="32" t="n"/>
      <c r="AK199" s="32" t="n"/>
      <c r="AL199" s="31" t="n"/>
      <c r="AM199" s="45" t="str">
        <f>IF(A199="","",SUM(AG$5:AG199))</f>
        <v/>
      </c>
      <c r="AN199" s="37" t="str">
        <f>IF(A199="","",MAX(0,MAX(AM$5:AM199))-AM199)</f>
        <v/>
      </c>
    </row>
    <row r="200">
      <c r="A200" s="29" t="n"/>
      <c r="B200" s="30" t="n"/>
      <c r="C200" s="31" t="n"/>
      <c r="D200" s="32" t="n"/>
      <c r="E200" s="32" t="n"/>
      <c r="F200" s="33" t="n"/>
      <c r="G200" s="33" t="n"/>
      <c r="H200" s="33" t="n"/>
      <c r="I200" s="34" t="str">
        <f>IF(AND(ISNUMBER(F200),ISNUMBER(G200),ISNUMBER(H200)),IF(OR(AND(E200="多",F200&gt;G200),AND(E200="空",F200&lt;G200)),ABS(H200-F200)/ABS(F200-G200),"止损方向不对"),"")</f>
        <v/>
      </c>
      <c r="J200" s="35" t="str">
        <f>IF(AND(ISNUMBER(F200),ISNUMBER(G200)),IF(F200=G200,"",IF(INT(ROUND('参数'!$C$7/(ABS(F200-G200)*1+2*'参数'!$C$11+N('参数'!$C$14)*F200+N('参数'!$C$15))/1,6))*1&gt;0,INT(ROUND('参数'!$C$7/(ABS(F200-G200)*1+2*'参数'!$C$11+N('参数'!$C$14)*F200+N('参数'!$C$15))/1,6))*1,"预算不足，这笔不做")),"")</f>
        <v/>
      </c>
      <c r="K200" s="36" t="n"/>
      <c r="L200" s="20" t="str">
        <f>IF(AND(ISNUMBER(F200),ISNUMBER(G200),ISNUMBER(K200)),IF(AND(F200&lt;&gt;G200,K200&gt;0),ABS(F200-G200)*K200*1,""),"")</f>
        <v/>
      </c>
      <c r="M200" s="30" t="n"/>
      <c r="N200" s="37" t="str">
        <f>IF(AND(ISNUMBER(L200),ISNUMBER(M200)),IF(E200="空",(G200*(1+'参数'!$C$17)-F200),(F200-G200*(1-'参数'!$C$17)))*K200/L200,"")</f>
        <v/>
      </c>
      <c r="O200" s="38" t="n"/>
      <c r="P200" s="31" t="n"/>
      <c r="Q200" s="32" t="n"/>
      <c r="R200" s="39" t="str">
        <f>IF(N(U200)&gt;0,SUMPRODUCT(LARGE(('成交明细'!$A$5:$A$804=A200)*('成交明细'!$D$5:$D$804=IF(E200="空","卖","买"))*'成交明细'!$B$5:$B$804,COUNTIFS('成交明细'!$A$5:$A$804,A200,'成交明细'!$D$5:$D$804,IF(E200="空","卖","买")))),"")</f>
        <v/>
      </c>
      <c r="S200" s="39" t="str">
        <f>IF(AND(N(U200)&gt;0,N(W200)&gt;=N(U200)),SUMPRODUCT(MAX(('成交明细'!$A$5:$A$804=A200)*('成交明细'!$D$5:$D$804=IF(E200="空","买","卖"))*'成交明细'!$B$5:$B$804)),"")</f>
        <v/>
      </c>
      <c r="T200" s="32" t="n"/>
      <c r="U200" s="35" t="str">
        <f>IF(A200="","",SUMIFS('成交明细'!$F$5:$F$804,'成交明细'!$A$5:$A$804,A200,'成交明细'!$D$5:$D$804,IF(E200="空","卖","买")))</f>
        <v/>
      </c>
      <c r="V200" s="40" t="str">
        <f>IF(N(U200)&gt;0,SUMIFS('成交明细'!$H$5:$H$804,'成交明细'!$A$5:$A$804,A200,'成交明细'!$D$5:$D$804,IF(E200="空","卖","买"))/U200,"")</f>
        <v/>
      </c>
      <c r="W200" s="35" t="str">
        <f>IF(A200="","",SUMIFS('成交明细'!$F$5:$F$804,'成交明细'!$A$5:$A$804,A200,'成交明细'!$D$5:$D$804,IF(E200="空","买","卖")))</f>
        <v/>
      </c>
      <c r="X200" s="40" t="str">
        <f>IF(N(W200)&gt;0,SUMIFS('成交明细'!$H$5:$H$804,'成交明细'!$A$5:$A$804,A200,'成交明细'!$D$5:$D$804,IF(E200="空","买","卖"))/W200,"")</f>
        <v/>
      </c>
      <c r="Y200" s="41" t="str">
        <f>IF(A200="","",IF(Q200&lt;&gt;"已执行",IF(Q200="","未填执行情况",Q200),IF(N(U200)=0,"待录成交",IF(N(W200)&gt;N(U200),"平仓多于开仓",IF(N(W200)&lt;N(U200),"持仓中","已平仓")))))</f>
        <v/>
      </c>
      <c r="Z200" s="41" t="str">
        <f>IF(AND(ISNUMBER(R200),ISNUMBER(S200)),IF(R200=S200,"日内",""),"")</f>
        <v/>
      </c>
      <c r="AA200" s="42" t="str">
        <f>IF(Z200&lt;&gt;"日内","",COUNTIFS($Z$5:$Z$304,"日内",$S$5:$S$304,"&gt;"&amp;WORKDAY(S200,-5),$S$5:$S$304,"&lt;="&amp;S200))</f>
        <v/>
      </c>
      <c r="AB200" s="41" t="str">
        <f>IF(OR(NOT(ISNUMBER(M200)),NOT(ISNUMBER(R200))),"",IF(AND(M200&gt;=R200,OR(NOT(ISNUMBER(S200)),M200&lt;=S200)),"持仓跨财报",""))</f>
        <v/>
      </c>
      <c r="AC200" s="20">
        <f>IF(AND(E200="空",ISNUMBER(O200),ISNUMBER(S200)),ROUND(O200*(S200-R200)/360*V200*U200,2),0)</f>
        <v>0</v>
      </c>
      <c r="AD200" s="43" t="str">
        <f>IF(N(U200)=0,"",SUMIFS('成交明细'!$L$5:$L$804,'成交明细'!$A$5:$A$804,A200)+AC200)</f>
        <v/>
      </c>
      <c r="AE200" s="44" t="str">
        <f>IF(Y200&lt;&gt;"已平仓","",(SUMIFS('成交明细'!$H$5:$H$804,'成交明细'!$A$5:$A$804,A200,'成交明细'!$D$5:$D$804,"卖")-SUMIFS('成交明细'!$H$5:$H$804,'成交明细'!$A$5:$A$804,A200,'成交明细'!$D$5:$D$804,"买"))*1-AD200)</f>
        <v/>
      </c>
      <c r="AF200" s="45" t="str">
        <f>IF(AND(Y200="已平仓",ISNUMBER(L200)),(SUMIFS('成交明细'!$H$5:$H$804,'成交明细'!$A$5:$A$804,A200,'成交明细'!$D$5:$D$804,"卖")-SUMIFS('成交明细'!$H$5:$H$804,'成交明细'!$A$5:$A$804,A200,'成交明细'!$D$5:$D$804,"买"))*1/L200,"")</f>
        <v/>
      </c>
      <c r="AG200" s="45" t="str">
        <f>IF(AND(Y200="已平仓",ISNUMBER(L200)),AE200/L200,"")</f>
        <v/>
      </c>
      <c r="AH200" s="46" t="str">
        <f>IF(AND(ISNUMBER(V200),ISNUMBER(F200)),IF(E200="空",F200-V200,V200-F200),"")</f>
        <v/>
      </c>
      <c r="AI200" s="46" t="str">
        <f>IF(OR(NOT(ISNUMBER(AE200)),NOT(ISNUMBER(X200))),"",IF(AE200&lt;0,IF(E200="空",X200-G200,G200-X200),IF(NOT(ISNUMBER(H200)),"",IF(E200="空",X200-H200,H200-X200))))</f>
        <v/>
      </c>
      <c r="AJ200" s="32" t="n"/>
      <c r="AK200" s="32" t="n"/>
      <c r="AL200" s="31" t="n"/>
      <c r="AM200" s="45" t="str">
        <f>IF(A200="","",SUM(AG$5:AG200))</f>
        <v/>
      </c>
      <c r="AN200" s="37" t="str">
        <f>IF(A200="","",MAX(0,MAX(AM$5:AM200))-AM200)</f>
        <v/>
      </c>
    </row>
    <row r="201">
      <c r="A201" s="29" t="n"/>
      <c r="B201" s="30" t="n"/>
      <c r="C201" s="31" t="n"/>
      <c r="D201" s="32" t="n"/>
      <c r="E201" s="32" t="n"/>
      <c r="F201" s="33" t="n"/>
      <c r="G201" s="33" t="n"/>
      <c r="H201" s="33" t="n"/>
      <c r="I201" s="34" t="str">
        <f>IF(AND(ISNUMBER(F201),ISNUMBER(G201),ISNUMBER(H201)),IF(OR(AND(E201="多",F201&gt;G201),AND(E201="空",F201&lt;G201)),ABS(H201-F201)/ABS(F201-G201),"止损方向不对"),"")</f>
        <v/>
      </c>
      <c r="J201" s="35" t="str">
        <f>IF(AND(ISNUMBER(F201),ISNUMBER(G201)),IF(F201=G201,"",IF(INT(ROUND('参数'!$C$7/(ABS(F201-G201)*1+2*'参数'!$C$11+N('参数'!$C$14)*F201+N('参数'!$C$15))/1,6))*1&gt;0,INT(ROUND('参数'!$C$7/(ABS(F201-G201)*1+2*'参数'!$C$11+N('参数'!$C$14)*F201+N('参数'!$C$15))/1,6))*1,"预算不足，这笔不做")),"")</f>
        <v/>
      </c>
      <c r="K201" s="36" t="n"/>
      <c r="L201" s="20" t="str">
        <f>IF(AND(ISNUMBER(F201),ISNUMBER(G201),ISNUMBER(K201)),IF(AND(F201&lt;&gt;G201,K201&gt;0),ABS(F201-G201)*K201*1,""),"")</f>
        <v/>
      </c>
      <c r="M201" s="30" t="n"/>
      <c r="N201" s="37" t="str">
        <f>IF(AND(ISNUMBER(L201),ISNUMBER(M201)),IF(E201="空",(G201*(1+'参数'!$C$17)-F201),(F201-G201*(1-'参数'!$C$17)))*K201/L201,"")</f>
        <v/>
      </c>
      <c r="O201" s="38" t="n"/>
      <c r="P201" s="31" t="n"/>
      <c r="Q201" s="32" t="n"/>
      <c r="R201" s="39" t="str">
        <f>IF(N(U201)&gt;0,SUMPRODUCT(LARGE(('成交明细'!$A$5:$A$804=A201)*('成交明细'!$D$5:$D$804=IF(E201="空","卖","买"))*'成交明细'!$B$5:$B$804,COUNTIFS('成交明细'!$A$5:$A$804,A201,'成交明细'!$D$5:$D$804,IF(E201="空","卖","买")))),"")</f>
        <v/>
      </c>
      <c r="S201" s="39" t="str">
        <f>IF(AND(N(U201)&gt;0,N(W201)&gt;=N(U201)),SUMPRODUCT(MAX(('成交明细'!$A$5:$A$804=A201)*('成交明细'!$D$5:$D$804=IF(E201="空","买","卖"))*'成交明细'!$B$5:$B$804)),"")</f>
        <v/>
      </c>
      <c r="T201" s="32" t="n"/>
      <c r="U201" s="35" t="str">
        <f>IF(A201="","",SUMIFS('成交明细'!$F$5:$F$804,'成交明细'!$A$5:$A$804,A201,'成交明细'!$D$5:$D$804,IF(E201="空","卖","买")))</f>
        <v/>
      </c>
      <c r="V201" s="40" t="str">
        <f>IF(N(U201)&gt;0,SUMIFS('成交明细'!$H$5:$H$804,'成交明细'!$A$5:$A$804,A201,'成交明细'!$D$5:$D$804,IF(E201="空","卖","买"))/U201,"")</f>
        <v/>
      </c>
      <c r="W201" s="35" t="str">
        <f>IF(A201="","",SUMIFS('成交明细'!$F$5:$F$804,'成交明细'!$A$5:$A$804,A201,'成交明细'!$D$5:$D$804,IF(E201="空","买","卖")))</f>
        <v/>
      </c>
      <c r="X201" s="40" t="str">
        <f>IF(N(W201)&gt;0,SUMIFS('成交明细'!$H$5:$H$804,'成交明细'!$A$5:$A$804,A201,'成交明细'!$D$5:$D$804,IF(E201="空","买","卖"))/W201,"")</f>
        <v/>
      </c>
      <c r="Y201" s="41" t="str">
        <f>IF(A201="","",IF(Q201&lt;&gt;"已执行",IF(Q201="","未填执行情况",Q201),IF(N(U201)=0,"待录成交",IF(N(W201)&gt;N(U201),"平仓多于开仓",IF(N(W201)&lt;N(U201),"持仓中","已平仓")))))</f>
        <v/>
      </c>
      <c r="Z201" s="41" t="str">
        <f>IF(AND(ISNUMBER(R201),ISNUMBER(S201)),IF(R201=S201,"日内",""),"")</f>
        <v/>
      </c>
      <c r="AA201" s="42" t="str">
        <f>IF(Z201&lt;&gt;"日内","",COUNTIFS($Z$5:$Z$304,"日内",$S$5:$S$304,"&gt;"&amp;WORKDAY(S201,-5),$S$5:$S$304,"&lt;="&amp;S201))</f>
        <v/>
      </c>
      <c r="AB201" s="41" t="str">
        <f>IF(OR(NOT(ISNUMBER(M201)),NOT(ISNUMBER(R201))),"",IF(AND(M201&gt;=R201,OR(NOT(ISNUMBER(S201)),M201&lt;=S201)),"持仓跨财报",""))</f>
        <v/>
      </c>
      <c r="AC201" s="20">
        <f>IF(AND(E201="空",ISNUMBER(O201),ISNUMBER(S201)),ROUND(O201*(S201-R201)/360*V201*U201,2),0)</f>
        <v>0</v>
      </c>
      <c r="AD201" s="43" t="str">
        <f>IF(N(U201)=0,"",SUMIFS('成交明细'!$L$5:$L$804,'成交明细'!$A$5:$A$804,A201)+AC201)</f>
        <v/>
      </c>
      <c r="AE201" s="44" t="str">
        <f>IF(Y201&lt;&gt;"已平仓","",(SUMIFS('成交明细'!$H$5:$H$804,'成交明细'!$A$5:$A$804,A201,'成交明细'!$D$5:$D$804,"卖")-SUMIFS('成交明细'!$H$5:$H$804,'成交明细'!$A$5:$A$804,A201,'成交明细'!$D$5:$D$804,"买"))*1-AD201)</f>
        <v/>
      </c>
      <c r="AF201" s="45" t="str">
        <f>IF(AND(Y201="已平仓",ISNUMBER(L201)),(SUMIFS('成交明细'!$H$5:$H$804,'成交明细'!$A$5:$A$804,A201,'成交明细'!$D$5:$D$804,"卖")-SUMIFS('成交明细'!$H$5:$H$804,'成交明细'!$A$5:$A$804,A201,'成交明细'!$D$5:$D$804,"买"))*1/L201,"")</f>
        <v/>
      </c>
      <c r="AG201" s="45" t="str">
        <f>IF(AND(Y201="已平仓",ISNUMBER(L201)),AE201/L201,"")</f>
        <v/>
      </c>
      <c r="AH201" s="46" t="str">
        <f>IF(AND(ISNUMBER(V201),ISNUMBER(F201)),IF(E201="空",F201-V201,V201-F201),"")</f>
        <v/>
      </c>
      <c r="AI201" s="46" t="str">
        <f>IF(OR(NOT(ISNUMBER(AE201)),NOT(ISNUMBER(X201))),"",IF(AE201&lt;0,IF(E201="空",X201-G201,G201-X201),IF(NOT(ISNUMBER(H201)),"",IF(E201="空",X201-H201,H201-X201))))</f>
        <v/>
      </c>
      <c r="AJ201" s="32" t="n"/>
      <c r="AK201" s="32" t="n"/>
      <c r="AL201" s="31" t="n"/>
      <c r="AM201" s="45" t="str">
        <f>IF(A201="","",SUM(AG$5:AG201))</f>
        <v/>
      </c>
      <c r="AN201" s="37" t="str">
        <f>IF(A201="","",MAX(0,MAX(AM$5:AM201))-AM201)</f>
        <v/>
      </c>
    </row>
    <row r="202">
      <c r="A202" s="29" t="n"/>
      <c r="B202" s="30" t="n"/>
      <c r="C202" s="31" t="n"/>
      <c r="D202" s="32" t="n"/>
      <c r="E202" s="32" t="n"/>
      <c r="F202" s="33" t="n"/>
      <c r="G202" s="33" t="n"/>
      <c r="H202" s="33" t="n"/>
      <c r="I202" s="34" t="str">
        <f>IF(AND(ISNUMBER(F202),ISNUMBER(G202),ISNUMBER(H202)),IF(OR(AND(E202="多",F202&gt;G202),AND(E202="空",F202&lt;G202)),ABS(H202-F202)/ABS(F202-G202),"止损方向不对"),"")</f>
        <v/>
      </c>
      <c r="J202" s="35" t="str">
        <f>IF(AND(ISNUMBER(F202),ISNUMBER(G202)),IF(F202=G202,"",IF(INT(ROUND('参数'!$C$7/(ABS(F202-G202)*1+2*'参数'!$C$11+N('参数'!$C$14)*F202+N('参数'!$C$15))/1,6))*1&gt;0,INT(ROUND('参数'!$C$7/(ABS(F202-G202)*1+2*'参数'!$C$11+N('参数'!$C$14)*F202+N('参数'!$C$15))/1,6))*1,"预算不足，这笔不做")),"")</f>
        <v/>
      </c>
      <c r="K202" s="36" t="n"/>
      <c r="L202" s="20" t="str">
        <f>IF(AND(ISNUMBER(F202),ISNUMBER(G202),ISNUMBER(K202)),IF(AND(F202&lt;&gt;G202,K202&gt;0),ABS(F202-G202)*K202*1,""),"")</f>
        <v/>
      </c>
      <c r="M202" s="30" t="n"/>
      <c r="N202" s="37" t="str">
        <f>IF(AND(ISNUMBER(L202),ISNUMBER(M202)),IF(E202="空",(G202*(1+'参数'!$C$17)-F202),(F202-G202*(1-'参数'!$C$17)))*K202/L202,"")</f>
        <v/>
      </c>
      <c r="O202" s="38" t="n"/>
      <c r="P202" s="31" t="n"/>
      <c r="Q202" s="32" t="n"/>
      <c r="R202" s="39" t="str">
        <f>IF(N(U202)&gt;0,SUMPRODUCT(LARGE(('成交明细'!$A$5:$A$804=A202)*('成交明细'!$D$5:$D$804=IF(E202="空","卖","买"))*'成交明细'!$B$5:$B$804,COUNTIFS('成交明细'!$A$5:$A$804,A202,'成交明细'!$D$5:$D$804,IF(E202="空","卖","买")))),"")</f>
        <v/>
      </c>
      <c r="S202" s="39" t="str">
        <f>IF(AND(N(U202)&gt;0,N(W202)&gt;=N(U202)),SUMPRODUCT(MAX(('成交明细'!$A$5:$A$804=A202)*('成交明细'!$D$5:$D$804=IF(E202="空","买","卖"))*'成交明细'!$B$5:$B$804)),"")</f>
        <v/>
      </c>
      <c r="T202" s="32" t="n"/>
      <c r="U202" s="35" t="str">
        <f>IF(A202="","",SUMIFS('成交明细'!$F$5:$F$804,'成交明细'!$A$5:$A$804,A202,'成交明细'!$D$5:$D$804,IF(E202="空","卖","买")))</f>
        <v/>
      </c>
      <c r="V202" s="40" t="str">
        <f>IF(N(U202)&gt;0,SUMIFS('成交明细'!$H$5:$H$804,'成交明细'!$A$5:$A$804,A202,'成交明细'!$D$5:$D$804,IF(E202="空","卖","买"))/U202,"")</f>
        <v/>
      </c>
      <c r="W202" s="35" t="str">
        <f>IF(A202="","",SUMIFS('成交明细'!$F$5:$F$804,'成交明细'!$A$5:$A$804,A202,'成交明细'!$D$5:$D$804,IF(E202="空","买","卖")))</f>
        <v/>
      </c>
      <c r="X202" s="40" t="str">
        <f>IF(N(W202)&gt;0,SUMIFS('成交明细'!$H$5:$H$804,'成交明细'!$A$5:$A$804,A202,'成交明细'!$D$5:$D$804,IF(E202="空","买","卖"))/W202,"")</f>
        <v/>
      </c>
      <c r="Y202" s="41" t="str">
        <f>IF(A202="","",IF(Q202&lt;&gt;"已执行",IF(Q202="","未填执行情况",Q202),IF(N(U202)=0,"待录成交",IF(N(W202)&gt;N(U202),"平仓多于开仓",IF(N(W202)&lt;N(U202),"持仓中","已平仓")))))</f>
        <v/>
      </c>
      <c r="Z202" s="41" t="str">
        <f>IF(AND(ISNUMBER(R202),ISNUMBER(S202)),IF(R202=S202,"日内",""),"")</f>
        <v/>
      </c>
      <c r="AA202" s="42" t="str">
        <f>IF(Z202&lt;&gt;"日内","",COUNTIFS($Z$5:$Z$304,"日内",$S$5:$S$304,"&gt;"&amp;WORKDAY(S202,-5),$S$5:$S$304,"&lt;="&amp;S202))</f>
        <v/>
      </c>
      <c r="AB202" s="41" t="str">
        <f>IF(OR(NOT(ISNUMBER(M202)),NOT(ISNUMBER(R202))),"",IF(AND(M202&gt;=R202,OR(NOT(ISNUMBER(S202)),M202&lt;=S202)),"持仓跨财报",""))</f>
        <v/>
      </c>
      <c r="AC202" s="20">
        <f>IF(AND(E202="空",ISNUMBER(O202),ISNUMBER(S202)),ROUND(O202*(S202-R202)/360*V202*U202,2),0)</f>
        <v>0</v>
      </c>
      <c r="AD202" s="43" t="str">
        <f>IF(N(U202)=0,"",SUMIFS('成交明细'!$L$5:$L$804,'成交明细'!$A$5:$A$804,A202)+AC202)</f>
        <v/>
      </c>
      <c r="AE202" s="44" t="str">
        <f>IF(Y202&lt;&gt;"已平仓","",(SUMIFS('成交明细'!$H$5:$H$804,'成交明细'!$A$5:$A$804,A202,'成交明细'!$D$5:$D$804,"卖")-SUMIFS('成交明细'!$H$5:$H$804,'成交明细'!$A$5:$A$804,A202,'成交明细'!$D$5:$D$804,"买"))*1-AD202)</f>
        <v/>
      </c>
      <c r="AF202" s="45" t="str">
        <f>IF(AND(Y202="已平仓",ISNUMBER(L202)),(SUMIFS('成交明细'!$H$5:$H$804,'成交明细'!$A$5:$A$804,A202,'成交明细'!$D$5:$D$804,"卖")-SUMIFS('成交明细'!$H$5:$H$804,'成交明细'!$A$5:$A$804,A202,'成交明细'!$D$5:$D$804,"买"))*1/L202,"")</f>
        <v/>
      </c>
      <c r="AG202" s="45" t="str">
        <f>IF(AND(Y202="已平仓",ISNUMBER(L202)),AE202/L202,"")</f>
        <v/>
      </c>
      <c r="AH202" s="46" t="str">
        <f>IF(AND(ISNUMBER(V202),ISNUMBER(F202)),IF(E202="空",F202-V202,V202-F202),"")</f>
        <v/>
      </c>
      <c r="AI202" s="46" t="str">
        <f>IF(OR(NOT(ISNUMBER(AE202)),NOT(ISNUMBER(X202))),"",IF(AE202&lt;0,IF(E202="空",X202-G202,G202-X202),IF(NOT(ISNUMBER(H202)),"",IF(E202="空",X202-H202,H202-X202))))</f>
        <v/>
      </c>
      <c r="AJ202" s="32" t="n"/>
      <c r="AK202" s="32" t="n"/>
      <c r="AL202" s="31" t="n"/>
      <c r="AM202" s="45" t="str">
        <f>IF(A202="","",SUM(AG$5:AG202))</f>
        <v/>
      </c>
      <c r="AN202" s="37" t="str">
        <f>IF(A202="","",MAX(0,MAX(AM$5:AM202))-AM202)</f>
        <v/>
      </c>
    </row>
    <row r="203">
      <c r="A203" s="29" t="n"/>
      <c r="B203" s="30" t="n"/>
      <c r="C203" s="31" t="n"/>
      <c r="D203" s="32" t="n"/>
      <c r="E203" s="32" t="n"/>
      <c r="F203" s="33" t="n"/>
      <c r="G203" s="33" t="n"/>
      <c r="H203" s="33" t="n"/>
      <c r="I203" s="34" t="str">
        <f>IF(AND(ISNUMBER(F203),ISNUMBER(G203),ISNUMBER(H203)),IF(OR(AND(E203="多",F203&gt;G203),AND(E203="空",F203&lt;G203)),ABS(H203-F203)/ABS(F203-G203),"止损方向不对"),"")</f>
        <v/>
      </c>
      <c r="J203" s="35" t="str">
        <f>IF(AND(ISNUMBER(F203),ISNUMBER(G203)),IF(F203=G203,"",IF(INT(ROUND('参数'!$C$7/(ABS(F203-G203)*1+2*'参数'!$C$11+N('参数'!$C$14)*F203+N('参数'!$C$15))/1,6))*1&gt;0,INT(ROUND('参数'!$C$7/(ABS(F203-G203)*1+2*'参数'!$C$11+N('参数'!$C$14)*F203+N('参数'!$C$15))/1,6))*1,"预算不足，这笔不做")),"")</f>
        <v/>
      </c>
      <c r="K203" s="36" t="n"/>
      <c r="L203" s="20" t="str">
        <f>IF(AND(ISNUMBER(F203),ISNUMBER(G203),ISNUMBER(K203)),IF(AND(F203&lt;&gt;G203,K203&gt;0),ABS(F203-G203)*K203*1,""),"")</f>
        <v/>
      </c>
      <c r="M203" s="30" t="n"/>
      <c r="N203" s="37" t="str">
        <f>IF(AND(ISNUMBER(L203),ISNUMBER(M203)),IF(E203="空",(G203*(1+'参数'!$C$17)-F203),(F203-G203*(1-'参数'!$C$17)))*K203/L203,"")</f>
        <v/>
      </c>
      <c r="O203" s="38" t="n"/>
      <c r="P203" s="31" t="n"/>
      <c r="Q203" s="32" t="n"/>
      <c r="R203" s="39" t="str">
        <f>IF(N(U203)&gt;0,SUMPRODUCT(LARGE(('成交明细'!$A$5:$A$804=A203)*('成交明细'!$D$5:$D$804=IF(E203="空","卖","买"))*'成交明细'!$B$5:$B$804,COUNTIFS('成交明细'!$A$5:$A$804,A203,'成交明细'!$D$5:$D$804,IF(E203="空","卖","买")))),"")</f>
        <v/>
      </c>
      <c r="S203" s="39" t="str">
        <f>IF(AND(N(U203)&gt;0,N(W203)&gt;=N(U203)),SUMPRODUCT(MAX(('成交明细'!$A$5:$A$804=A203)*('成交明细'!$D$5:$D$804=IF(E203="空","买","卖"))*'成交明细'!$B$5:$B$804)),"")</f>
        <v/>
      </c>
      <c r="T203" s="32" t="n"/>
      <c r="U203" s="35" t="str">
        <f>IF(A203="","",SUMIFS('成交明细'!$F$5:$F$804,'成交明细'!$A$5:$A$804,A203,'成交明细'!$D$5:$D$804,IF(E203="空","卖","买")))</f>
        <v/>
      </c>
      <c r="V203" s="40" t="str">
        <f>IF(N(U203)&gt;0,SUMIFS('成交明细'!$H$5:$H$804,'成交明细'!$A$5:$A$804,A203,'成交明细'!$D$5:$D$804,IF(E203="空","卖","买"))/U203,"")</f>
        <v/>
      </c>
      <c r="W203" s="35" t="str">
        <f>IF(A203="","",SUMIFS('成交明细'!$F$5:$F$804,'成交明细'!$A$5:$A$804,A203,'成交明细'!$D$5:$D$804,IF(E203="空","买","卖")))</f>
        <v/>
      </c>
      <c r="X203" s="40" t="str">
        <f>IF(N(W203)&gt;0,SUMIFS('成交明细'!$H$5:$H$804,'成交明细'!$A$5:$A$804,A203,'成交明细'!$D$5:$D$804,IF(E203="空","买","卖"))/W203,"")</f>
        <v/>
      </c>
      <c r="Y203" s="41" t="str">
        <f>IF(A203="","",IF(Q203&lt;&gt;"已执行",IF(Q203="","未填执行情况",Q203),IF(N(U203)=0,"待录成交",IF(N(W203)&gt;N(U203),"平仓多于开仓",IF(N(W203)&lt;N(U203),"持仓中","已平仓")))))</f>
        <v/>
      </c>
      <c r="Z203" s="41" t="str">
        <f>IF(AND(ISNUMBER(R203),ISNUMBER(S203)),IF(R203=S203,"日内",""),"")</f>
        <v/>
      </c>
      <c r="AA203" s="42" t="str">
        <f>IF(Z203&lt;&gt;"日内","",COUNTIFS($Z$5:$Z$304,"日内",$S$5:$S$304,"&gt;"&amp;WORKDAY(S203,-5),$S$5:$S$304,"&lt;="&amp;S203))</f>
        <v/>
      </c>
      <c r="AB203" s="41" t="str">
        <f>IF(OR(NOT(ISNUMBER(M203)),NOT(ISNUMBER(R203))),"",IF(AND(M203&gt;=R203,OR(NOT(ISNUMBER(S203)),M203&lt;=S203)),"持仓跨财报",""))</f>
        <v/>
      </c>
      <c r="AC203" s="20">
        <f>IF(AND(E203="空",ISNUMBER(O203),ISNUMBER(S203)),ROUND(O203*(S203-R203)/360*V203*U203,2),0)</f>
        <v>0</v>
      </c>
      <c r="AD203" s="43" t="str">
        <f>IF(N(U203)=0,"",SUMIFS('成交明细'!$L$5:$L$804,'成交明细'!$A$5:$A$804,A203)+AC203)</f>
        <v/>
      </c>
      <c r="AE203" s="44" t="str">
        <f>IF(Y203&lt;&gt;"已平仓","",(SUMIFS('成交明细'!$H$5:$H$804,'成交明细'!$A$5:$A$804,A203,'成交明细'!$D$5:$D$804,"卖")-SUMIFS('成交明细'!$H$5:$H$804,'成交明细'!$A$5:$A$804,A203,'成交明细'!$D$5:$D$804,"买"))*1-AD203)</f>
        <v/>
      </c>
      <c r="AF203" s="45" t="str">
        <f>IF(AND(Y203="已平仓",ISNUMBER(L203)),(SUMIFS('成交明细'!$H$5:$H$804,'成交明细'!$A$5:$A$804,A203,'成交明细'!$D$5:$D$804,"卖")-SUMIFS('成交明细'!$H$5:$H$804,'成交明细'!$A$5:$A$804,A203,'成交明细'!$D$5:$D$804,"买"))*1/L203,"")</f>
        <v/>
      </c>
      <c r="AG203" s="45" t="str">
        <f>IF(AND(Y203="已平仓",ISNUMBER(L203)),AE203/L203,"")</f>
        <v/>
      </c>
      <c r="AH203" s="46" t="str">
        <f>IF(AND(ISNUMBER(V203),ISNUMBER(F203)),IF(E203="空",F203-V203,V203-F203),"")</f>
        <v/>
      </c>
      <c r="AI203" s="46" t="str">
        <f>IF(OR(NOT(ISNUMBER(AE203)),NOT(ISNUMBER(X203))),"",IF(AE203&lt;0,IF(E203="空",X203-G203,G203-X203),IF(NOT(ISNUMBER(H203)),"",IF(E203="空",X203-H203,H203-X203))))</f>
        <v/>
      </c>
      <c r="AJ203" s="32" t="n"/>
      <c r="AK203" s="32" t="n"/>
      <c r="AL203" s="31" t="n"/>
      <c r="AM203" s="45" t="str">
        <f>IF(A203="","",SUM(AG$5:AG203))</f>
        <v/>
      </c>
      <c r="AN203" s="37" t="str">
        <f>IF(A203="","",MAX(0,MAX(AM$5:AM203))-AM203)</f>
        <v/>
      </c>
    </row>
    <row r="204">
      <c r="A204" s="29" t="n"/>
      <c r="B204" s="30" t="n"/>
      <c r="C204" s="31" t="n"/>
      <c r="D204" s="32" t="n"/>
      <c r="E204" s="32" t="n"/>
      <c r="F204" s="33" t="n"/>
      <c r="G204" s="33" t="n"/>
      <c r="H204" s="33" t="n"/>
      <c r="I204" s="34" t="str">
        <f>IF(AND(ISNUMBER(F204),ISNUMBER(G204),ISNUMBER(H204)),IF(OR(AND(E204="多",F204&gt;G204),AND(E204="空",F204&lt;G204)),ABS(H204-F204)/ABS(F204-G204),"止损方向不对"),"")</f>
        <v/>
      </c>
      <c r="J204" s="35" t="str">
        <f>IF(AND(ISNUMBER(F204),ISNUMBER(G204)),IF(F204=G204,"",IF(INT(ROUND('参数'!$C$7/(ABS(F204-G204)*1+2*'参数'!$C$11+N('参数'!$C$14)*F204+N('参数'!$C$15))/1,6))*1&gt;0,INT(ROUND('参数'!$C$7/(ABS(F204-G204)*1+2*'参数'!$C$11+N('参数'!$C$14)*F204+N('参数'!$C$15))/1,6))*1,"预算不足，这笔不做")),"")</f>
        <v/>
      </c>
      <c r="K204" s="36" t="n"/>
      <c r="L204" s="20" t="str">
        <f>IF(AND(ISNUMBER(F204),ISNUMBER(G204),ISNUMBER(K204)),IF(AND(F204&lt;&gt;G204,K204&gt;0),ABS(F204-G204)*K204*1,""),"")</f>
        <v/>
      </c>
      <c r="M204" s="30" t="n"/>
      <c r="N204" s="37" t="str">
        <f>IF(AND(ISNUMBER(L204),ISNUMBER(M204)),IF(E204="空",(G204*(1+'参数'!$C$17)-F204),(F204-G204*(1-'参数'!$C$17)))*K204/L204,"")</f>
        <v/>
      </c>
      <c r="O204" s="38" t="n"/>
      <c r="P204" s="31" t="n"/>
      <c r="Q204" s="32" t="n"/>
      <c r="R204" s="39" t="str">
        <f>IF(N(U204)&gt;0,SUMPRODUCT(LARGE(('成交明细'!$A$5:$A$804=A204)*('成交明细'!$D$5:$D$804=IF(E204="空","卖","买"))*'成交明细'!$B$5:$B$804,COUNTIFS('成交明细'!$A$5:$A$804,A204,'成交明细'!$D$5:$D$804,IF(E204="空","卖","买")))),"")</f>
        <v/>
      </c>
      <c r="S204" s="39" t="str">
        <f>IF(AND(N(U204)&gt;0,N(W204)&gt;=N(U204)),SUMPRODUCT(MAX(('成交明细'!$A$5:$A$804=A204)*('成交明细'!$D$5:$D$804=IF(E204="空","买","卖"))*'成交明细'!$B$5:$B$804)),"")</f>
        <v/>
      </c>
      <c r="T204" s="32" t="n"/>
      <c r="U204" s="35" t="str">
        <f>IF(A204="","",SUMIFS('成交明细'!$F$5:$F$804,'成交明细'!$A$5:$A$804,A204,'成交明细'!$D$5:$D$804,IF(E204="空","卖","买")))</f>
        <v/>
      </c>
      <c r="V204" s="40" t="str">
        <f>IF(N(U204)&gt;0,SUMIFS('成交明细'!$H$5:$H$804,'成交明细'!$A$5:$A$804,A204,'成交明细'!$D$5:$D$804,IF(E204="空","卖","买"))/U204,"")</f>
        <v/>
      </c>
      <c r="W204" s="35" t="str">
        <f>IF(A204="","",SUMIFS('成交明细'!$F$5:$F$804,'成交明细'!$A$5:$A$804,A204,'成交明细'!$D$5:$D$804,IF(E204="空","买","卖")))</f>
        <v/>
      </c>
      <c r="X204" s="40" t="str">
        <f>IF(N(W204)&gt;0,SUMIFS('成交明细'!$H$5:$H$804,'成交明细'!$A$5:$A$804,A204,'成交明细'!$D$5:$D$804,IF(E204="空","买","卖"))/W204,"")</f>
        <v/>
      </c>
      <c r="Y204" s="41" t="str">
        <f>IF(A204="","",IF(Q204&lt;&gt;"已执行",IF(Q204="","未填执行情况",Q204),IF(N(U204)=0,"待录成交",IF(N(W204)&gt;N(U204),"平仓多于开仓",IF(N(W204)&lt;N(U204),"持仓中","已平仓")))))</f>
        <v/>
      </c>
      <c r="Z204" s="41" t="str">
        <f>IF(AND(ISNUMBER(R204),ISNUMBER(S204)),IF(R204=S204,"日内",""),"")</f>
        <v/>
      </c>
      <c r="AA204" s="42" t="str">
        <f>IF(Z204&lt;&gt;"日内","",COUNTIFS($Z$5:$Z$304,"日内",$S$5:$S$304,"&gt;"&amp;WORKDAY(S204,-5),$S$5:$S$304,"&lt;="&amp;S204))</f>
        <v/>
      </c>
      <c r="AB204" s="41" t="str">
        <f>IF(OR(NOT(ISNUMBER(M204)),NOT(ISNUMBER(R204))),"",IF(AND(M204&gt;=R204,OR(NOT(ISNUMBER(S204)),M204&lt;=S204)),"持仓跨财报",""))</f>
        <v/>
      </c>
      <c r="AC204" s="20">
        <f>IF(AND(E204="空",ISNUMBER(O204),ISNUMBER(S204)),ROUND(O204*(S204-R204)/360*V204*U204,2),0)</f>
        <v>0</v>
      </c>
      <c r="AD204" s="43" t="str">
        <f>IF(N(U204)=0,"",SUMIFS('成交明细'!$L$5:$L$804,'成交明细'!$A$5:$A$804,A204)+AC204)</f>
        <v/>
      </c>
      <c r="AE204" s="44" t="str">
        <f>IF(Y204&lt;&gt;"已平仓","",(SUMIFS('成交明细'!$H$5:$H$804,'成交明细'!$A$5:$A$804,A204,'成交明细'!$D$5:$D$804,"卖")-SUMIFS('成交明细'!$H$5:$H$804,'成交明细'!$A$5:$A$804,A204,'成交明细'!$D$5:$D$804,"买"))*1-AD204)</f>
        <v/>
      </c>
      <c r="AF204" s="45" t="str">
        <f>IF(AND(Y204="已平仓",ISNUMBER(L204)),(SUMIFS('成交明细'!$H$5:$H$804,'成交明细'!$A$5:$A$804,A204,'成交明细'!$D$5:$D$804,"卖")-SUMIFS('成交明细'!$H$5:$H$804,'成交明细'!$A$5:$A$804,A204,'成交明细'!$D$5:$D$804,"买"))*1/L204,"")</f>
        <v/>
      </c>
      <c r="AG204" s="45" t="str">
        <f>IF(AND(Y204="已平仓",ISNUMBER(L204)),AE204/L204,"")</f>
        <v/>
      </c>
      <c r="AH204" s="46" t="str">
        <f>IF(AND(ISNUMBER(V204),ISNUMBER(F204)),IF(E204="空",F204-V204,V204-F204),"")</f>
        <v/>
      </c>
      <c r="AI204" s="46" t="str">
        <f>IF(OR(NOT(ISNUMBER(AE204)),NOT(ISNUMBER(X204))),"",IF(AE204&lt;0,IF(E204="空",X204-G204,G204-X204),IF(NOT(ISNUMBER(H204)),"",IF(E204="空",X204-H204,H204-X204))))</f>
        <v/>
      </c>
      <c r="AJ204" s="32" t="n"/>
      <c r="AK204" s="32" t="n"/>
      <c r="AL204" s="31" t="n"/>
      <c r="AM204" s="45" t="str">
        <f>IF(A204="","",SUM(AG$5:AG204))</f>
        <v/>
      </c>
      <c r="AN204" s="37" t="str">
        <f>IF(A204="","",MAX(0,MAX(AM$5:AM204))-AM204)</f>
        <v/>
      </c>
    </row>
    <row r="205">
      <c r="A205" s="29" t="n"/>
      <c r="B205" s="30" t="n"/>
      <c r="C205" s="31" t="n"/>
      <c r="D205" s="32" t="n"/>
      <c r="E205" s="32" t="n"/>
      <c r="F205" s="33" t="n"/>
      <c r="G205" s="33" t="n"/>
      <c r="H205" s="33" t="n"/>
      <c r="I205" s="34" t="str">
        <f>IF(AND(ISNUMBER(F205),ISNUMBER(G205),ISNUMBER(H205)),IF(OR(AND(E205="多",F205&gt;G205),AND(E205="空",F205&lt;G205)),ABS(H205-F205)/ABS(F205-G205),"止损方向不对"),"")</f>
        <v/>
      </c>
      <c r="J205" s="35" t="str">
        <f>IF(AND(ISNUMBER(F205),ISNUMBER(G205)),IF(F205=G205,"",IF(INT(ROUND('参数'!$C$7/(ABS(F205-G205)*1+2*'参数'!$C$11+N('参数'!$C$14)*F205+N('参数'!$C$15))/1,6))*1&gt;0,INT(ROUND('参数'!$C$7/(ABS(F205-G205)*1+2*'参数'!$C$11+N('参数'!$C$14)*F205+N('参数'!$C$15))/1,6))*1,"预算不足，这笔不做")),"")</f>
        <v/>
      </c>
      <c r="K205" s="36" t="n"/>
      <c r="L205" s="20" t="str">
        <f>IF(AND(ISNUMBER(F205),ISNUMBER(G205),ISNUMBER(K205)),IF(AND(F205&lt;&gt;G205,K205&gt;0),ABS(F205-G205)*K205*1,""),"")</f>
        <v/>
      </c>
      <c r="M205" s="30" t="n"/>
      <c r="N205" s="37" t="str">
        <f>IF(AND(ISNUMBER(L205),ISNUMBER(M205)),IF(E205="空",(G205*(1+'参数'!$C$17)-F205),(F205-G205*(1-'参数'!$C$17)))*K205/L205,"")</f>
        <v/>
      </c>
      <c r="O205" s="38" t="n"/>
      <c r="P205" s="31" t="n"/>
      <c r="Q205" s="32" t="n"/>
      <c r="R205" s="39" t="str">
        <f>IF(N(U205)&gt;0,SUMPRODUCT(LARGE(('成交明细'!$A$5:$A$804=A205)*('成交明细'!$D$5:$D$804=IF(E205="空","卖","买"))*'成交明细'!$B$5:$B$804,COUNTIFS('成交明细'!$A$5:$A$804,A205,'成交明细'!$D$5:$D$804,IF(E205="空","卖","买")))),"")</f>
        <v/>
      </c>
      <c r="S205" s="39" t="str">
        <f>IF(AND(N(U205)&gt;0,N(W205)&gt;=N(U205)),SUMPRODUCT(MAX(('成交明细'!$A$5:$A$804=A205)*('成交明细'!$D$5:$D$804=IF(E205="空","买","卖"))*'成交明细'!$B$5:$B$804)),"")</f>
        <v/>
      </c>
      <c r="T205" s="32" t="n"/>
      <c r="U205" s="35" t="str">
        <f>IF(A205="","",SUMIFS('成交明细'!$F$5:$F$804,'成交明细'!$A$5:$A$804,A205,'成交明细'!$D$5:$D$804,IF(E205="空","卖","买")))</f>
        <v/>
      </c>
      <c r="V205" s="40" t="str">
        <f>IF(N(U205)&gt;0,SUMIFS('成交明细'!$H$5:$H$804,'成交明细'!$A$5:$A$804,A205,'成交明细'!$D$5:$D$804,IF(E205="空","卖","买"))/U205,"")</f>
        <v/>
      </c>
      <c r="W205" s="35" t="str">
        <f>IF(A205="","",SUMIFS('成交明细'!$F$5:$F$804,'成交明细'!$A$5:$A$804,A205,'成交明细'!$D$5:$D$804,IF(E205="空","买","卖")))</f>
        <v/>
      </c>
      <c r="X205" s="40" t="str">
        <f>IF(N(W205)&gt;0,SUMIFS('成交明细'!$H$5:$H$804,'成交明细'!$A$5:$A$804,A205,'成交明细'!$D$5:$D$804,IF(E205="空","买","卖"))/W205,"")</f>
        <v/>
      </c>
      <c r="Y205" s="41" t="str">
        <f>IF(A205="","",IF(Q205&lt;&gt;"已执行",IF(Q205="","未填执行情况",Q205),IF(N(U205)=0,"待录成交",IF(N(W205)&gt;N(U205),"平仓多于开仓",IF(N(W205)&lt;N(U205),"持仓中","已平仓")))))</f>
        <v/>
      </c>
      <c r="Z205" s="41" t="str">
        <f>IF(AND(ISNUMBER(R205),ISNUMBER(S205)),IF(R205=S205,"日内",""),"")</f>
        <v/>
      </c>
      <c r="AA205" s="42" t="str">
        <f>IF(Z205&lt;&gt;"日内","",COUNTIFS($Z$5:$Z$304,"日内",$S$5:$S$304,"&gt;"&amp;WORKDAY(S205,-5),$S$5:$S$304,"&lt;="&amp;S205))</f>
        <v/>
      </c>
      <c r="AB205" s="41" t="str">
        <f>IF(OR(NOT(ISNUMBER(M205)),NOT(ISNUMBER(R205))),"",IF(AND(M205&gt;=R205,OR(NOT(ISNUMBER(S205)),M205&lt;=S205)),"持仓跨财报",""))</f>
        <v/>
      </c>
      <c r="AC205" s="20">
        <f>IF(AND(E205="空",ISNUMBER(O205),ISNUMBER(S205)),ROUND(O205*(S205-R205)/360*V205*U205,2),0)</f>
        <v>0</v>
      </c>
      <c r="AD205" s="43" t="str">
        <f>IF(N(U205)=0,"",SUMIFS('成交明细'!$L$5:$L$804,'成交明细'!$A$5:$A$804,A205)+AC205)</f>
        <v/>
      </c>
      <c r="AE205" s="44" t="str">
        <f>IF(Y205&lt;&gt;"已平仓","",(SUMIFS('成交明细'!$H$5:$H$804,'成交明细'!$A$5:$A$804,A205,'成交明细'!$D$5:$D$804,"卖")-SUMIFS('成交明细'!$H$5:$H$804,'成交明细'!$A$5:$A$804,A205,'成交明细'!$D$5:$D$804,"买"))*1-AD205)</f>
        <v/>
      </c>
      <c r="AF205" s="45" t="str">
        <f>IF(AND(Y205="已平仓",ISNUMBER(L205)),(SUMIFS('成交明细'!$H$5:$H$804,'成交明细'!$A$5:$A$804,A205,'成交明细'!$D$5:$D$804,"卖")-SUMIFS('成交明细'!$H$5:$H$804,'成交明细'!$A$5:$A$804,A205,'成交明细'!$D$5:$D$804,"买"))*1/L205,"")</f>
        <v/>
      </c>
      <c r="AG205" s="45" t="str">
        <f>IF(AND(Y205="已平仓",ISNUMBER(L205)),AE205/L205,"")</f>
        <v/>
      </c>
      <c r="AH205" s="46" t="str">
        <f>IF(AND(ISNUMBER(V205),ISNUMBER(F205)),IF(E205="空",F205-V205,V205-F205),"")</f>
        <v/>
      </c>
      <c r="AI205" s="46" t="str">
        <f>IF(OR(NOT(ISNUMBER(AE205)),NOT(ISNUMBER(X205))),"",IF(AE205&lt;0,IF(E205="空",X205-G205,G205-X205),IF(NOT(ISNUMBER(H205)),"",IF(E205="空",X205-H205,H205-X205))))</f>
        <v/>
      </c>
      <c r="AJ205" s="32" t="n"/>
      <c r="AK205" s="32" t="n"/>
      <c r="AL205" s="31" t="n"/>
      <c r="AM205" s="45" t="str">
        <f>IF(A205="","",SUM(AG$5:AG205))</f>
        <v/>
      </c>
      <c r="AN205" s="37" t="str">
        <f>IF(A205="","",MAX(0,MAX(AM$5:AM205))-AM205)</f>
        <v/>
      </c>
    </row>
    <row r="206">
      <c r="A206" s="29" t="n"/>
      <c r="B206" s="30" t="n"/>
      <c r="C206" s="31" t="n"/>
      <c r="D206" s="32" t="n"/>
      <c r="E206" s="32" t="n"/>
      <c r="F206" s="33" t="n"/>
      <c r="G206" s="33" t="n"/>
      <c r="H206" s="33" t="n"/>
      <c r="I206" s="34" t="str">
        <f>IF(AND(ISNUMBER(F206),ISNUMBER(G206),ISNUMBER(H206)),IF(OR(AND(E206="多",F206&gt;G206),AND(E206="空",F206&lt;G206)),ABS(H206-F206)/ABS(F206-G206),"止损方向不对"),"")</f>
        <v/>
      </c>
      <c r="J206" s="35" t="str">
        <f>IF(AND(ISNUMBER(F206),ISNUMBER(G206)),IF(F206=G206,"",IF(INT(ROUND('参数'!$C$7/(ABS(F206-G206)*1+2*'参数'!$C$11+N('参数'!$C$14)*F206+N('参数'!$C$15))/1,6))*1&gt;0,INT(ROUND('参数'!$C$7/(ABS(F206-G206)*1+2*'参数'!$C$11+N('参数'!$C$14)*F206+N('参数'!$C$15))/1,6))*1,"预算不足，这笔不做")),"")</f>
        <v/>
      </c>
      <c r="K206" s="36" t="n"/>
      <c r="L206" s="20" t="str">
        <f>IF(AND(ISNUMBER(F206),ISNUMBER(G206),ISNUMBER(K206)),IF(AND(F206&lt;&gt;G206,K206&gt;0),ABS(F206-G206)*K206*1,""),"")</f>
        <v/>
      </c>
      <c r="M206" s="30" t="n"/>
      <c r="N206" s="37" t="str">
        <f>IF(AND(ISNUMBER(L206),ISNUMBER(M206)),IF(E206="空",(G206*(1+'参数'!$C$17)-F206),(F206-G206*(1-'参数'!$C$17)))*K206/L206,"")</f>
        <v/>
      </c>
      <c r="O206" s="38" t="n"/>
      <c r="P206" s="31" t="n"/>
      <c r="Q206" s="32" t="n"/>
      <c r="R206" s="39" t="str">
        <f>IF(N(U206)&gt;0,SUMPRODUCT(LARGE(('成交明细'!$A$5:$A$804=A206)*('成交明细'!$D$5:$D$804=IF(E206="空","卖","买"))*'成交明细'!$B$5:$B$804,COUNTIFS('成交明细'!$A$5:$A$804,A206,'成交明细'!$D$5:$D$804,IF(E206="空","卖","买")))),"")</f>
        <v/>
      </c>
      <c r="S206" s="39" t="str">
        <f>IF(AND(N(U206)&gt;0,N(W206)&gt;=N(U206)),SUMPRODUCT(MAX(('成交明细'!$A$5:$A$804=A206)*('成交明细'!$D$5:$D$804=IF(E206="空","买","卖"))*'成交明细'!$B$5:$B$804)),"")</f>
        <v/>
      </c>
      <c r="T206" s="32" t="n"/>
      <c r="U206" s="35" t="str">
        <f>IF(A206="","",SUMIFS('成交明细'!$F$5:$F$804,'成交明细'!$A$5:$A$804,A206,'成交明细'!$D$5:$D$804,IF(E206="空","卖","买")))</f>
        <v/>
      </c>
      <c r="V206" s="40" t="str">
        <f>IF(N(U206)&gt;0,SUMIFS('成交明细'!$H$5:$H$804,'成交明细'!$A$5:$A$804,A206,'成交明细'!$D$5:$D$804,IF(E206="空","卖","买"))/U206,"")</f>
        <v/>
      </c>
      <c r="W206" s="35" t="str">
        <f>IF(A206="","",SUMIFS('成交明细'!$F$5:$F$804,'成交明细'!$A$5:$A$804,A206,'成交明细'!$D$5:$D$804,IF(E206="空","买","卖")))</f>
        <v/>
      </c>
      <c r="X206" s="40" t="str">
        <f>IF(N(W206)&gt;0,SUMIFS('成交明细'!$H$5:$H$804,'成交明细'!$A$5:$A$804,A206,'成交明细'!$D$5:$D$804,IF(E206="空","买","卖"))/W206,"")</f>
        <v/>
      </c>
      <c r="Y206" s="41" t="str">
        <f>IF(A206="","",IF(Q206&lt;&gt;"已执行",IF(Q206="","未填执行情况",Q206),IF(N(U206)=0,"待录成交",IF(N(W206)&gt;N(U206),"平仓多于开仓",IF(N(W206)&lt;N(U206),"持仓中","已平仓")))))</f>
        <v/>
      </c>
      <c r="Z206" s="41" t="str">
        <f>IF(AND(ISNUMBER(R206),ISNUMBER(S206)),IF(R206=S206,"日内",""),"")</f>
        <v/>
      </c>
      <c r="AA206" s="42" t="str">
        <f>IF(Z206&lt;&gt;"日内","",COUNTIFS($Z$5:$Z$304,"日内",$S$5:$S$304,"&gt;"&amp;WORKDAY(S206,-5),$S$5:$S$304,"&lt;="&amp;S206))</f>
        <v/>
      </c>
      <c r="AB206" s="41" t="str">
        <f>IF(OR(NOT(ISNUMBER(M206)),NOT(ISNUMBER(R206))),"",IF(AND(M206&gt;=R206,OR(NOT(ISNUMBER(S206)),M206&lt;=S206)),"持仓跨财报",""))</f>
        <v/>
      </c>
      <c r="AC206" s="20">
        <f>IF(AND(E206="空",ISNUMBER(O206),ISNUMBER(S206)),ROUND(O206*(S206-R206)/360*V206*U206,2),0)</f>
        <v>0</v>
      </c>
      <c r="AD206" s="43" t="str">
        <f>IF(N(U206)=0,"",SUMIFS('成交明细'!$L$5:$L$804,'成交明细'!$A$5:$A$804,A206)+AC206)</f>
        <v/>
      </c>
      <c r="AE206" s="44" t="str">
        <f>IF(Y206&lt;&gt;"已平仓","",(SUMIFS('成交明细'!$H$5:$H$804,'成交明细'!$A$5:$A$804,A206,'成交明细'!$D$5:$D$804,"卖")-SUMIFS('成交明细'!$H$5:$H$804,'成交明细'!$A$5:$A$804,A206,'成交明细'!$D$5:$D$804,"买"))*1-AD206)</f>
        <v/>
      </c>
      <c r="AF206" s="45" t="str">
        <f>IF(AND(Y206="已平仓",ISNUMBER(L206)),(SUMIFS('成交明细'!$H$5:$H$804,'成交明细'!$A$5:$A$804,A206,'成交明细'!$D$5:$D$804,"卖")-SUMIFS('成交明细'!$H$5:$H$804,'成交明细'!$A$5:$A$804,A206,'成交明细'!$D$5:$D$804,"买"))*1/L206,"")</f>
        <v/>
      </c>
      <c r="AG206" s="45" t="str">
        <f>IF(AND(Y206="已平仓",ISNUMBER(L206)),AE206/L206,"")</f>
        <v/>
      </c>
      <c r="AH206" s="46" t="str">
        <f>IF(AND(ISNUMBER(V206),ISNUMBER(F206)),IF(E206="空",F206-V206,V206-F206),"")</f>
        <v/>
      </c>
      <c r="AI206" s="46" t="str">
        <f>IF(OR(NOT(ISNUMBER(AE206)),NOT(ISNUMBER(X206))),"",IF(AE206&lt;0,IF(E206="空",X206-G206,G206-X206),IF(NOT(ISNUMBER(H206)),"",IF(E206="空",X206-H206,H206-X206))))</f>
        <v/>
      </c>
      <c r="AJ206" s="32" t="n"/>
      <c r="AK206" s="32" t="n"/>
      <c r="AL206" s="31" t="n"/>
      <c r="AM206" s="45" t="str">
        <f>IF(A206="","",SUM(AG$5:AG206))</f>
        <v/>
      </c>
      <c r="AN206" s="37" t="str">
        <f>IF(A206="","",MAX(0,MAX(AM$5:AM206))-AM206)</f>
        <v/>
      </c>
    </row>
    <row r="207">
      <c r="A207" s="29" t="n"/>
      <c r="B207" s="30" t="n"/>
      <c r="C207" s="31" t="n"/>
      <c r="D207" s="32" t="n"/>
      <c r="E207" s="32" t="n"/>
      <c r="F207" s="33" t="n"/>
      <c r="G207" s="33" t="n"/>
      <c r="H207" s="33" t="n"/>
      <c r="I207" s="34" t="str">
        <f>IF(AND(ISNUMBER(F207),ISNUMBER(G207),ISNUMBER(H207)),IF(OR(AND(E207="多",F207&gt;G207),AND(E207="空",F207&lt;G207)),ABS(H207-F207)/ABS(F207-G207),"止损方向不对"),"")</f>
        <v/>
      </c>
      <c r="J207" s="35" t="str">
        <f>IF(AND(ISNUMBER(F207),ISNUMBER(G207)),IF(F207=G207,"",IF(INT(ROUND('参数'!$C$7/(ABS(F207-G207)*1+2*'参数'!$C$11+N('参数'!$C$14)*F207+N('参数'!$C$15))/1,6))*1&gt;0,INT(ROUND('参数'!$C$7/(ABS(F207-G207)*1+2*'参数'!$C$11+N('参数'!$C$14)*F207+N('参数'!$C$15))/1,6))*1,"预算不足，这笔不做")),"")</f>
        <v/>
      </c>
      <c r="K207" s="36" t="n"/>
      <c r="L207" s="20" t="str">
        <f>IF(AND(ISNUMBER(F207),ISNUMBER(G207),ISNUMBER(K207)),IF(AND(F207&lt;&gt;G207,K207&gt;0),ABS(F207-G207)*K207*1,""),"")</f>
        <v/>
      </c>
      <c r="M207" s="30" t="n"/>
      <c r="N207" s="37" t="str">
        <f>IF(AND(ISNUMBER(L207),ISNUMBER(M207)),IF(E207="空",(G207*(1+'参数'!$C$17)-F207),(F207-G207*(1-'参数'!$C$17)))*K207/L207,"")</f>
        <v/>
      </c>
      <c r="O207" s="38" t="n"/>
      <c r="P207" s="31" t="n"/>
      <c r="Q207" s="32" t="n"/>
      <c r="R207" s="39" t="str">
        <f>IF(N(U207)&gt;0,SUMPRODUCT(LARGE(('成交明细'!$A$5:$A$804=A207)*('成交明细'!$D$5:$D$804=IF(E207="空","卖","买"))*'成交明细'!$B$5:$B$804,COUNTIFS('成交明细'!$A$5:$A$804,A207,'成交明细'!$D$5:$D$804,IF(E207="空","卖","买")))),"")</f>
        <v/>
      </c>
      <c r="S207" s="39" t="str">
        <f>IF(AND(N(U207)&gt;0,N(W207)&gt;=N(U207)),SUMPRODUCT(MAX(('成交明细'!$A$5:$A$804=A207)*('成交明细'!$D$5:$D$804=IF(E207="空","买","卖"))*'成交明细'!$B$5:$B$804)),"")</f>
        <v/>
      </c>
      <c r="T207" s="32" t="n"/>
      <c r="U207" s="35" t="str">
        <f>IF(A207="","",SUMIFS('成交明细'!$F$5:$F$804,'成交明细'!$A$5:$A$804,A207,'成交明细'!$D$5:$D$804,IF(E207="空","卖","买")))</f>
        <v/>
      </c>
      <c r="V207" s="40" t="str">
        <f>IF(N(U207)&gt;0,SUMIFS('成交明细'!$H$5:$H$804,'成交明细'!$A$5:$A$804,A207,'成交明细'!$D$5:$D$804,IF(E207="空","卖","买"))/U207,"")</f>
        <v/>
      </c>
      <c r="W207" s="35" t="str">
        <f>IF(A207="","",SUMIFS('成交明细'!$F$5:$F$804,'成交明细'!$A$5:$A$804,A207,'成交明细'!$D$5:$D$804,IF(E207="空","买","卖")))</f>
        <v/>
      </c>
      <c r="X207" s="40" t="str">
        <f>IF(N(W207)&gt;0,SUMIFS('成交明细'!$H$5:$H$804,'成交明细'!$A$5:$A$804,A207,'成交明细'!$D$5:$D$804,IF(E207="空","买","卖"))/W207,"")</f>
        <v/>
      </c>
      <c r="Y207" s="41" t="str">
        <f>IF(A207="","",IF(Q207&lt;&gt;"已执行",IF(Q207="","未填执行情况",Q207),IF(N(U207)=0,"待录成交",IF(N(W207)&gt;N(U207),"平仓多于开仓",IF(N(W207)&lt;N(U207),"持仓中","已平仓")))))</f>
        <v/>
      </c>
      <c r="Z207" s="41" t="str">
        <f>IF(AND(ISNUMBER(R207),ISNUMBER(S207)),IF(R207=S207,"日内",""),"")</f>
        <v/>
      </c>
      <c r="AA207" s="42" t="str">
        <f>IF(Z207&lt;&gt;"日内","",COUNTIFS($Z$5:$Z$304,"日内",$S$5:$S$304,"&gt;"&amp;WORKDAY(S207,-5),$S$5:$S$304,"&lt;="&amp;S207))</f>
        <v/>
      </c>
      <c r="AB207" s="41" t="str">
        <f>IF(OR(NOT(ISNUMBER(M207)),NOT(ISNUMBER(R207))),"",IF(AND(M207&gt;=R207,OR(NOT(ISNUMBER(S207)),M207&lt;=S207)),"持仓跨财报",""))</f>
        <v/>
      </c>
      <c r="AC207" s="20">
        <f>IF(AND(E207="空",ISNUMBER(O207),ISNUMBER(S207)),ROUND(O207*(S207-R207)/360*V207*U207,2),0)</f>
        <v>0</v>
      </c>
      <c r="AD207" s="43" t="str">
        <f>IF(N(U207)=0,"",SUMIFS('成交明细'!$L$5:$L$804,'成交明细'!$A$5:$A$804,A207)+AC207)</f>
        <v/>
      </c>
      <c r="AE207" s="44" t="str">
        <f>IF(Y207&lt;&gt;"已平仓","",(SUMIFS('成交明细'!$H$5:$H$804,'成交明细'!$A$5:$A$804,A207,'成交明细'!$D$5:$D$804,"卖")-SUMIFS('成交明细'!$H$5:$H$804,'成交明细'!$A$5:$A$804,A207,'成交明细'!$D$5:$D$804,"买"))*1-AD207)</f>
        <v/>
      </c>
      <c r="AF207" s="45" t="str">
        <f>IF(AND(Y207="已平仓",ISNUMBER(L207)),(SUMIFS('成交明细'!$H$5:$H$804,'成交明细'!$A$5:$A$804,A207,'成交明细'!$D$5:$D$804,"卖")-SUMIFS('成交明细'!$H$5:$H$804,'成交明细'!$A$5:$A$804,A207,'成交明细'!$D$5:$D$804,"买"))*1/L207,"")</f>
        <v/>
      </c>
      <c r="AG207" s="45" t="str">
        <f>IF(AND(Y207="已平仓",ISNUMBER(L207)),AE207/L207,"")</f>
        <v/>
      </c>
      <c r="AH207" s="46" t="str">
        <f>IF(AND(ISNUMBER(V207),ISNUMBER(F207)),IF(E207="空",F207-V207,V207-F207),"")</f>
        <v/>
      </c>
      <c r="AI207" s="46" t="str">
        <f>IF(OR(NOT(ISNUMBER(AE207)),NOT(ISNUMBER(X207))),"",IF(AE207&lt;0,IF(E207="空",X207-G207,G207-X207),IF(NOT(ISNUMBER(H207)),"",IF(E207="空",X207-H207,H207-X207))))</f>
        <v/>
      </c>
      <c r="AJ207" s="32" t="n"/>
      <c r="AK207" s="32" t="n"/>
      <c r="AL207" s="31" t="n"/>
      <c r="AM207" s="45" t="str">
        <f>IF(A207="","",SUM(AG$5:AG207))</f>
        <v/>
      </c>
      <c r="AN207" s="37" t="str">
        <f>IF(A207="","",MAX(0,MAX(AM$5:AM207))-AM207)</f>
        <v/>
      </c>
    </row>
    <row r="208">
      <c r="A208" s="29" t="n"/>
      <c r="B208" s="30" t="n"/>
      <c r="C208" s="31" t="n"/>
      <c r="D208" s="32" t="n"/>
      <c r="E208" s="32" t="n"/>
      <c r="F208" s="33" t="n"/>
      <c r="G208" s="33" t="n"/>
      <c r="H208" s="33" t="n"/>
      <c r="I208" s="34" t="str">
        <f>IF(AND(ISNUMBER(F208),ISNUMBER(G208),ISNUMBER(H208)),IF(OR(AND(E208="多",F208&gt;G208),AND(E208="空",F208&lt;G208)),ABS(H208-F208)/ABS(F208-G208),"止损方向不对"),"")</f>
        <v/>
      </c>
      <c r="J208" s="35" t="str">
        <f>IF(AND(ISNUMBER(F208),ISNUMBER(G208)),IF(F208=G208,"",IF(INT(ROUND('参数'!$C$7/(ABS(F208-G208)*1+2*'参数'!$C$11+N('参数'!$C$14)*F208+N('参数'!$C$15))/1,6))*1&gt;0,INT(ROUND('参数'!$C$7/(ABS(F208-G208)*1+2*'参数'!$C$11+N('参数'!$C$14)*F208+N('参数'!$C$15))/1,6))*1,"预算不足，这笔不做")),"")</f>
        <v/>
      </c>
      <c r="K208" s="36" t="n"/>
      <c r="L208" s="20" t="str">
        <f>IF(AND(ISNUMBER(F208),ISNUMBER(G208),ISNUMBER(K208)),IF(AND(F208&lt;&gt;G208,K208&gt;0),ABS(F208-G208)*K208*1,""),"")</f>
        <v/>
      </c>
      <c r="M208" s="30" t="n"/>
      <c r="N208" s="37" t="str">
        <f>IF(AND(ISNUMBER(L208),ISNUMBER(M208)),IF(E208="空",(G208*(1+'参数'!$C$17)-F208),(F208-G208*(1-'参数'!$C$17)))*K208/L208,"")</f>
        <v/>
      </c>
      <c r="O208" s="38" t="n"/>
      <c r="P208" s="31" t="n"/>
      <c r="Q208" s="32" t="n"/>
      <c r="R208" s="39" t="str">
        <f>IF(N(U208)&gt;0,SUMPRODUCT(LARGE(('成交明细'!$A$5:$A$804=A208)*('成交明细'!$D$5:$D$804=IF(E208="空","卖","买"))*'成交明细'!$B$5:$B$804,COUNTIFS('成交明细'!$A$5:$A$804,A208,'成交明细'!$D$5:$D$804,IF(E208="空","卖","买")))),"")</f>
        <v/>
      </c>
      <c r="S208" s="39" t="str">
        <f>IF(AND(N(U208)&gt;0,N(W208)&gt;=N(U208)),SUMPRODUCT(MAX(('成交明细'!$A$5:$A$804=A208)*('成交明细'!$D$5:$D$804=IF(E208="空","买","卖"))*'成交明细'!$B$5:$B$804)),"")</f>
        <v/>
      </c>
      <c r="T208" s="32" t="n"/>
      <c r="U208" s="35" t="str">
        <f>IF(A208="","",SUMIFS('成交明细'!$F$5:$F$804,'成交明细'!$A$5:$A$804,A208,'成交明细'!$D$5:$D$804,IF(E208="空","卖","买")))</f>
        <v/>
      </c>
      <c r="V208" s="40" t="str">
        <f>IF(N(U208)&gt;0,SUMIFS('成交明细'!$H$5:$H$804,'成交明细'!$A$5:$A$804,A208,'成交明细'!$D$5:$D$804,IF(E208="空","卖","买"))/U208,"")</f>
        <v/>
      </c>
      <c r="W208" s="35" t="str">
        <f>IF(A208="","",SUMIFS('成交明细'!$F$5:$F$804,'成交明细'!$A$5:$A$804,A208,'成交明细'!$D$5:$D$804,IF(E208="空","买","卖")))</f>
        <v/>
      </c>
      <c r="X208" s="40" t="str">
        <f>IF(N(W208)&gt;0,SUMIFS('成交明细'!$H$5:$H$804,'成交明细'!$A$5:$A$804,A208,'成交明细'!$D$5:$D$804,IF(E208="空","买","卖"))/W208,"")</f>
        <v/>
      </c>
      <c r="Y208" s="41" t="str">
        <f>IF(A208="","",IF(Q208&lt;&gt;"已执行",IF(Q208="","未填执行情况",Q208),IF(N(U208)=0,"待录成交",IF(N(W208)&gt;N(U208),"平仓多于开仓",IF(N(W208)&lt;N(U208),"持仓中","已平仓")))))</f>
        <v/>
      </c>
      <c r="Z208" s="41" t="str">
        <f>IF(AND(ISNUMBER(R208),ISNUMBER(S208)),IF(R208=S208,"日内",""),"")</f>
        <v/>
      </c>
      <c r="AA208" s="42" t="str">
        <f>IF(Z208&lt;&gt;"日内","",COUNTIFS($Z$5:$Z$304,"日内",$S$5:$S$304,"&gt;"&amp;WORKDAY(S208,-5),$S$5:$S$304,"&lt;="&amp;S208))</f>
        <v/>
      </c>
      <c r="AB208" s="41" t="str">
        <f>IF(OR(NOT(ISNUMBER(M208)),NOT(ISNUMBER(R208))),"",IF(AND(M208&gt;=R208,OR(NOT(ISNUMBER(S208)),M208&lt;=S208)),"持仓跨财报",""))</f>
        <v/>
      </c>
      <c r="AC208" s="20">
        <f>IF(AND(E208="空",ISNUMBER(O208),ISNUMBER(S208)),ROUND(O208*(S208-R208)/360*V208*U208,2),0)</f>
        <v>0</v>
      </c>
      <c r="AD208" s="43" t="str">
        <f>IF(N(U208)=0,"",SUMIFS('成交明细'!$L$5:$L$804,'成交明细'!$A$5:$A$804,A208)+AC208)</f>
        <v/>
      </c>
      <c r="AE208" s="44" t="str">
        <f>IF(Y208&lt;&gt;"已平仓","",(SUMIFS('成交明细'!$H$5:$H$804,'成交明细'!$A$5:$A$804,A208,'成交明细'!$D$5:$D$804,"卖")-SUMIFS('成交明细'!$H$5:$H$804,'成交明细'!$A$5:$A$804,A208,'成交明细'!$D$5:$D$804,"买"))*1-AD208)</f>
        <v/>
      </c>
      <c r="AF208" s="45" t="str">
        <f>IF(AND(Y208="已平仓",ISNUMBER(L208)),(SUMIFS('成交明细'!$H$5:$H$804,'成交明细'!$A$5:$A$804,A208,'成交明细'!$D$5:$D$804,"卖")-SUMIFS('成交明细'!$H$5:$H$804,'成交明细'!$A$5:$A$804,A208,'成交明细'!$D$5:$D$804,"买"))*1/L208,"")</f>
        <v/>
      </c>
      <c r="AG208" s="45" t="str">
        <f>IF(AND(Y208="已平仓",ISNUMBER(L208)),AE208/L208,"")</f>
        <v/>
      </c>
      <c r="AH208" s="46" t="str">
        <f>IF(AND(ISNUMBER(V208),ISNUMBER(F208)),IF(E208="空",F208-V208,V208-F208),"")</f>
        <v/>
      </c>
      <c r="AI208" s="46" t="str">
        <f>IF(OR(NOT(ISNUMBER(AE208)),NOT(ISNUMBER(X208))),"",IF(AE208&lt;0,IF(E208="空",X208-G208,G208-X208),IF(NOT(ISNUMBER(H208)),"",IF(E208="空",X208-H208,H208-X208))))</f>
        <v/>
      </c>
      <c r="AJ208" s="32" t="n"/>
      <c r="AK208" s="32" t="n"/>
      <c r="AL208" s="31" t="n"/>
      <c r="AM208" s="45" t="str">
        <f>IF(A208="","",SUM(AG$5:AG208))</f>
        <v/>
      </c>
      <c r="AN208" s="37" t="str">
        <f>IF(A208="","",MAX(0,MAX(AM$5:AM208))-AM208)</f>
        <v/>
      </c>
    </row>
    <row r="209">
      <c r="A209" s="29" t="n"/>
      <c r="B209" s="30" t="n"/>
      <c r="C209" s="31" t="n"/>
      <c r="D209" s="32" t="n"/>
      <c r="E209" s="32" t="n"/>
      <c r="F209" s="33" t="n"/>
      <c r="G209" s="33" t="n"/>
      <c r="H209" s="33" t="n"/>
      <c r="I209" s="34" t="str">
        <f>IF(AND(ISNUMBER(F209),ISNUMBER(G209),ISNUMBER(H209)),IF(OR(AND(E209="多",F209&gt;G209),AND(E209="空",F209&lt;G209)),ABS(H209-F209)/ABS(F209-G209),"止损方向不对"),"")</f>
        <v/>
      </c>
      <c r="J209" s="35" t="str">
        <f>IF(AND(ISNUMBER(F209),ISNUMBER(G209)),IF(F209=G209,"",IF(INT(ROUND('参数'!$C$7/(ABS(F209-G209)*1+2*'参数'!$C$11+N('参数'!$C$14)*F209+N('参数'!$C$15))/1,6))*1&gt;0,INT(ROUND('参数'!$C$7/(ABS(F209-G209)*1+2*'参数'!$C$11+N('参数'!$C$14)*F209+N('参数'!$C$15))/1,6))*1,"预算不足，这笔不做")),"")</f>
        <v/>
      </c>
      <c r="K209" s="36" t="n"/>
      <c r="L209" s="20" t="str">
        <f>IF(AND(ISNUMBER(F209),ISNUMBER(G209),ISNUMBER(K209)),IF(AND(F209&lt;&gt;G209,K209&gt;0),ABS(F209-G209)*K209*1,""),"")</f>
        <v/>
      </c>
      <c r="M209" s="30" t="n"/>
      <c r="N209" s="37" t="str">
        <f>IF(AND(ISNUMBER(L209),ISNUMBER(M209)),IF(E209="空",(G209*(1+'参数'!$C$17)-F209),(F209-G209*(1-'参数'!$C$17)))*K209/L209,"")</f>
        <v/>
      </c>
      <c r="O209" s="38" t="n"/>
      <c r="P209" s="31" t="n"/>
      <c r="Q209" s="32" t="n"/>
      <c r="R209" s="39" t="str">
        <f>IF(N(U209)&gt;0,SUMPRODUCT(LARGE(('成交明细'!$A$5:$A$804=A209)*('成交明细'!$D$5:$D$804=IF(E209="空","卖","买"))*'成交明细'!$B$5:$B$804,COUNTIFS('成交明细'!$A$5:$A$804,A209,'成交明细'!$D$5:$D$804,IF(E209="空","卖","买")))),"")</f>
        <v/>
      </c>
      <c r="S209" s="39" t="str">
        <f>IF(AND(N(U209)&gt;0,N(W209)&gt;=N(U209)),SUMPRODUCT(MAX(('成交明细'!$A$5:$A$804=A209)*('成交明细'!$D$5:$D$804=IF(E209="空","买","卖"))*'成交明细'!$B$5:$B$804)),"")</f>
        <v/>
      </c>
      <c r="T209" s="32" t="n"/>
      <c r="U209" s="35" t="str">
        <f>IF(A209="","",SUMIFS('成交明细'!$F$5:$F$804,'成交明细'!$A$5:$A$804,A209,'成交明细'!$D$5:$D$804,IF(E209="空","卖","买")))</f>
        <v/>
      </c>
      <c r="V209" s="40" t="str">
        <f>IF(N(U209)&gt;0,SUMIFS('成交明细'!$H$5:$H$804,'成交明细'!$A$5:$A$804,A209,'成交明细'!$D$5:$D$804,IF(E209="空","卖","买"))/U209,"")</f>
        <v/>
      </c>
      <c r="W209" s="35" t="str">
        <f>IF(A209="","",SUMIFS('成交明细'!$F$5:$F$804,'成交明细'!$A$5:$A$804,A209,'成交明细'!$D$5:$D$804,IF(E209="空","买","卖")))</f>
        <v/>
      </c>
      <c r="X209" s="40" t="str">
        <f>IF(N(W209)&gt;0,SUMIFS('成交明细'!$H$5:$H$804,'成交明细'!$A$5:$A$804,A209,'成交明细'!$D$5:$D$804,IF(E209="空","买","卖"))/W209,"")</f>
        <v/>
      </c>
      <c r="Y209" s="41" t="str">
        <f>IF(A209="","",IF(Q209&lt;&gt;"已执行",IF(Q209="","未填执行情况",Q209),IF(N(U209)=0,"待录成交",IF(N(W209)&gt;N(U209),"平仓多于开仓",IF(N(W209)&lt;N(U209),"持仓中","已平仓")))))</f>
        <v/>
      </c>
      <c r="Z209" s="41" t="str">
        <f>IF(AND(ISNUMBER(R209),ISNUMBER(S209)),IF(R209=S209,"日内",""),"")</f>
        <v/>
      </c>
      <c r="AA209" s="42" t="str">
        <f>IF(Z209&lt;&gt;"日内","",COUNTIFS($Z$5:$Z$304,"日内",$S$5:$S$304,"&gt;"&amp;WORKDAY(S209,-5),$S$5:$S$304,"&lt;="&amp;S209))</f>
        <v/>
      </c>
      <c r="AB209" s="41" t="str">
        <f>IF(OR(NOT(ISNUMBER(M209)),NOT(ISNUMBER(R209))),"",IF(AND(M209&gt;=R209,OR(NOT(ISNUMBER(S209)),M209&lt;=S209)),"持仓跨财报",""))</f>
        <v/>
      </c>
      <c r="AC209" s="20">
        <f>IF(AND(E209="空",ISNUMBER(O209),ISNUMBER(S209)),ROUND(O209*(S209-R209)/360*V209*U209,2),0)</f>
        <v>0</v>
      </c>
      <c r="AD209" s="43" t="str">
        <f>IF(N(U209)=0,"",SUMIFS('成交明细'!$L$5:$L$804,'成交明细'!$A$5:$A$804,A209)+AC209)</f>
        <v/>
      </c>
      <c r="AE209" s="44" t="str">
        <f>IF(Y209&lt;&gt;"已平仓","",(SUMIFS('成交明细'!$H$5:$H$804,'成交明细'!$A$5:$A$804,A209,'成交明细'!$D$5:$D$804,"卖")-SUMIFS('成交明细'!$H$5:$H$804,'成交明细'!$A$5:$A$804,A209,'成交明细'!$D$5:$D$804,"买"))*1-AD209)</f>
        <v/>
      </c>
      <c r="AF209" s="45" t="str">
        <f>IF(AND(Y209="已平仓",ISNUMBER(L209)),(SUMIFS('成交明细'!$H$5:$H$804,'成交明细'!$A$5:$A$804,A209,'成交明细'!$D$5:$D$804,"卖")-SUMIFS('成交明细'!$H$5:$H$804,'成交明细'!$A$5:$A$804,A209,'成交明细'!$D$5:$D$804,"买"))*1/L209,"")</f>
        <v/>
      </c>
      <c r="AG209" s="45" t="str">
        <f>IF(AND(Y209="已平仓",ISNUMBER(L209)),AE209/L209,"")</f>
        <v/>
      </c>
      <c r="AH209" s="46" t="str">
        <f>IF(AND(ISNUMBER(V209),ISNUMBER(F209)),IF(E209="空",F209-V209,V209-F209),"")</f>
        <v/>
      </c>
      <c r="AI209" s="46" t="str">
        <f>IF(OR(NOT(ISNUMBER(AE209)),NOT(ISNUMBER(X209))),"",IF(AE209&lt;0,IF(E209="空",X209-G209,G209-X209),IF(NOT(ISNUMBER(H209)),"",IF(E209="空",X209-H209,H209-X209))))</f>
        <v/>
      </c>
      <c r="AJ209" s="32" t="n"/>
      <c r="AK209" s="32" t="n"/>
      <c r="AL209" s="31" t="n"/>
      <c r="AM209" s="45" t="str">
        <f>IF(A209="","",SUM(AG$5:AG209))</f>
        <v/>
      </c>
      <c r="AN209" s="37" t="str">
        <f>IF(A209="","",MAX(0,MAX(AM$5:AM209))-AM209)</f>
        <v/>
      </c>
    </row>
    <row r="210">
      <c r="A210" s="29" t="n"/>
      <c r="B210" s="30" t="n"/>
      <c r="C210" s="31" t="n"/>
      <c r="D210" s="32" t="n"/>
      <c r="E210" s="32" t="n"/>
      <c r="F210" s="33" t="n"/>
      <c r="G210" s="33" t="n"/>
      <c r="H210" s="33" t="n"/>
      <c r="I210" s="34" t="str">
        <f>IF(AND(ISNUMBER(F210),ISNUMBER(G210),ISNUMBER(H210)),IF(OR(AND(E210="多",F210&gt;G210),AND(E210="空",F210&lt;G210)),ABS(H210-F210)/ABS(F210-G210),"止损方向不对"),"")</f>
        <v/>
      </c>
      <c r="J210" s="35" t="str">
        <f>IF(AND(ISNUMBER(F210),ISNUMBER(G210)),IF(F210=G210,"",IF(INT(ROUND('参数'!$C$7/(ABS(F210-G210)*1+2*'参数'!$C$11+N('参数'!$C$14)*F210+N('参数'!$C$15))/1,6))*1&gt;0,INT(ROUND('参数'!$C$7/(ABS(F210-G210)*1+2*'参数'!$C$11+N('参数'!$C$14)*F210+N('参数'!$C$15))/1,6))*1,"预算不足，这笔不做")),"")</f>
        <v/>
      </c>
      <c r="K210" s="36" t="n"/>
      <c r="L210" s="20" t="str">
        <f>IF(AND(ISNUMBER(F210),ISNUMBER(G210),ISNUMBER(K210)),IF(AND(F210&lt;&gt;G210,K210&gt;0),ABS(F210-G210)*K210*1,""),"")</f>
        <v/>
      </c>
      <c r="M210" s="30" t="n"/>
      <c r="N210" s="37" t="str">
        <f>IF(AND(ISNUMBER(L210),ISNUMBER(M210)),IF(E210="空",(G210*(1+'参数'!$C$17)-F210),(F210-G210*(1-'参数'!$C$17)))*K210/L210,"")</f>
        <v/>
      </c>
      <c r="O210" s="38" t="n"/>
      <c r="P210" s="31" t="n"/>
      <c r="Q210" s="32" t="n"/>
      <c r="R210" s="39" t="str">
        <f>IF(N(U210)&gt;0,SUMPRODUCT(LARGE(('成交明细'!$A$5:$A$804=A210)*('成交明细'!$D$5:$D$804=IF(E210="空","卖","买"))*'成交明细'!$B$5:$B$804,COUNTIFS('成交明细'!$A$5:$A$804,A210,'成交明细'!$D$5:$D$804,IF(E210="空","卖","买")))),"")</f>
        <v/>
      </c>
      <c r="S210" s="39" t="str">
        <f>IF(AND(N(U210)&gt;0,N(W210)&gt;=N(U210)),SUMPRODUCT(MAX(('成交明细'!$A$5:$A$804=A210)*('成交明细'!$D$5:$D$804=IF(E210="空","买","卖"))*'成交明细'!$B$5:$B$804)),"")</f>
        <v/>
      </c>
      <c r="T210" s="32" t="n"/>
      <c r="U210" s="35" t="str">
        <f>IF(A210="","",SUMIFS('成交明细'!$F$5:$F$804,'成交明细'!$A$5:$A$804,A210,'成交明细'!$D$5:$D$804,IF(E210="空","卖","买")))</f>
        <v/>
      </c>
      <c r="V210" s="40" t="str">
        <f>IF(N(U210)&gt;0,SUMIFS('成交明细'!$H$5:$H$804,'成交明细'!$A$5:$A$804,A210,'成交明细'!$D$5:$D$804,IF(E210="空","卖","买"))/U210,"")</f>
        <v/>
      </c>
      <c r="W210" s="35" t="str">
        <f>IF(A210="","",SUMIFS('成交明细'!$F$5:$F$804,'成交明细'!$A$5:$A$804,A210,'成交明细'!$D$5:$D$804,IF(E210="空","买","卖")))</f>
        <v/>
      </c>
      <c r="X210" s="40" t="str">
        <f>IF(N(W210)&gt;0,SUMIFS('成交明细'!$H$5:$H$804,'成交明细'!$A$5:$A$804,A210,'成交明细'!$D$5:$D$804,IF(E210="空","买","卖"))/W210,"")</f>
        <v/>
      </c>
      <c r="Y210" s="41" t="str">
        <f>IF(A210="","",IF(Q210&lt;&gt;"已执行",IF(Q210="","未填执行情况",Q210),IF(N(U210)=0,"待录成交",IF(N(W210)&gt;N(U210),"平仓多于开仓",IF(N(W210)&lt;N(U210),"持仓中","已平仓")))))</f>
        <v/>
      </c>
      <c r="Z210" s="41" t="str">
        <f>IF(AND(ISNUMBER(R210),ISNUMBER(S210)),IF(R210=S210,"日内",""),"")</f>
        <v/>
      </c>
      <c r="AA210" s="42" t="str">
        <f>IF(Z210&lt;&gt;"日内","",COUNTIFS($Z$5:$Z$304,"日内",$S$5:$S$304,"&gt;"&amp;WORKDAY(S210,-5),$S$5:$S$304,"&lt;="&amp;S210))</f>
        <v/>
      </c>
      <c r="AB210" s="41" t="str">
        <f>IF(OR(NOT(ISNUMBER(M210)),NOT(ISNUMBER(R210))),"",IF(AND(M210&gt;=R210,OR(NOT(ISNUMBER(S210)),M210&lt;=S210)),"持仓跨财报",""))</f>
        <v/>
      </c>
      <c r="AC210" s="20">
        <f>IF(AND(E210="空",ISNUMBER(O210),ISNUMBER(S210)),ROUND(O210*(S210-R210)/360*V210*U210,2),0)</f>
        <v>0</v>
      </c>
      <c r="AD210" s="43" t="str">
        <f>IF(N(U210)=0,"",SUMIFS('成交明细'!$L$5:$L$804,'成交明细'!$A$5:$A$804,A210)+AC210)</f>
        <v/>
      </c>
      <c r="AE210" s="44" t="str">
        <f>IF(Y210&lt;&gt;"已平仓","",(SUMIFS('成交明细'!$H$5:$H$804,'成交明细'!$A$5:$A$804,A210,'成交明细'!$D$5:$D$804,"卖")-SUMIFS('成交明细'!$H$5:$H$804,'成交明细'!$A$5:$A$804,A210,'成交明细'!$D$5:$D$804,"买"))*1-AD210)</f>
        <v/>
      </c>
      <c r="AF210" s="45" t="str">
        <f>IF(AND(Y210="已平仓",ISNUMBER(L210)),(SUMIFS('成交明细'!$H$5:$H$804,'成交明细'!$A$5:$A$804,A210,'成交明细'!$D$5:$D$804,"卖")-SUMIFS('成交明细'!$H$5:$H$804,'成交明细'!$A$5:$A$804,A210,'成交明细'!$D$5:$D$804,"买"))*1/L210,"")</f>
        <v/>
      </c>
      <c r="AG210" s="45" t="str">
        <f>IF(AND(Y210="已平仓",ISNUMBER(L210)),AE210/L210,"")</f>
        <v/>
      </c>
      <c r="AH210" s="46" t="str">
        <f>IF(AND(ISNUMBER(V210),ISNUMBER(F210)),IF(E210="空",F210-V210,V210-F210),"")</f>
        <v/>
      </c>
      <c r="AI210" s="46" t="str">
        <f>IF(OR(NOT(ISNUMBER(AE210)),NOT(ISNUMBER(X210))),"",IF(AE210&lt;0,IF(E210="空",X210-G210,G210-X210),IF(NOT(ISNUMBER(H210)),"",IF(E210="空",X210-H210,H210-X210))))</f>
        <v/>
      </c>
      <c r="AJ210" s="32" t="n"/>
      <c r="AK210" s="32" t="n"/>
      <c r="AL210" s="31" t="n"/>
      <c r="AM210" s="45" t="str">
        <f>IF(A210="","",SUM(AG$5:AG210))</f>
        <v/>
      </c>
      <c r="AN210" s="37" t="str">
        <f>IF(A210="","",MAX(0,MAX(AM$5:AM210))-AM210)</f>
        <v/>
      </c>
    </row>
    <row r="211">
      <c r="A211" s="29" t="n"/>
      <c r="B211" s="30" t="n"/>
      <c r="C211" s="31" t="n"/>
      <c r="D211" s="32" t="n"/>
      <c r="E211" s="32" t="n"/>
      <c r="F211" s="33" t="n"/>
      <c r="G211" s="33" t="n"/>
      <c r="H211" s="33" t="n"/>
      <c r="I211" s="34" t="str">
        <f>IF(AND(ISNUMBER(F211),ISNUMBER(G211),ISNUMBER(H211)),IF(OR(AND(E211="多",F211&gt;G211),AND(E211="空",F211&lt;G211)),ABS(H211-F211)/ABS(F211-G211),"止损方向不对"),"")</f>
        <v/>
      </c>
      <c r="J211" s="35" t="str">
        <f>IF(AND(ISNUMBER(F211),ISNUMBER(G211)),IF(F211=G211,"",IF(INT(ROUND('参数'!$C$7/(ABS(F211-G211)*1+2*'参数'!$C$11+N('参数'!$C$14)*F211+N('参数'!$C$15))/1,6))*1&gt;0,INT(ROUND('参数'!$C$7/(ABS(F211-G211)*1+2*'参数'!$C$11+N('参数'!$C$14)*F211+N('参数'!$C$15))/1,6))*1,"预算不足，这笔不做")),"")</f>
        <v/>
      </c>
      <c r="K211" s="36" t="n"/>
      <c r="L211" s="20" t="str">
        <f>IF(AND(ISNUMBER(F211),ISNUMBER(G211),ISNUMBER(K211)),IF(AND(F211&lt;&gt;G211,K211&gt;0),ABS(F211-G211)*K211*1,""),"")</f>
        <v/>
      </c>
      <c r="M211" s="30" t="n"/>
      <c r="N211" s="37" t="str">
        <f>IF(AND(ISNUMBER(L211),ISNUMBER(M211)),IF(E211="空",(G211*(1+'参数'!$C$17)-F211),(F211-G211*(1-'参数'!$C$17)))*K211/L211,"")</f>
        <v/>
      </c>
      <c r="O211" s="38" t="n"/>
      <c r="P211" s="31" t="n"/>
      <c r="Q211" s="32" t="n"/>
      <c r="R211" s="39" t="str">
        <f>IF(N(U211)&gt;0,SUMPRODUCT(LARGE(('成交明细'!$A$5:$A$804=A211)*('成交明细'!$D$5:$D$804=IF(E211="空","卖","买"))*'成交明细'!$B$5:$B$804,COUNTIFS('成交明细'!$A$5:$A$804,A211,'成交明细'!$D$5:$D$804,IF(E211="空","卖","买")))),"")</f>
        <v/>
      </c>
      <c r="S211" s="39" t="str">
        <f>IF(AND(N(U211)&gt;0,N(W211)&gt;=N(U211)),SUMPRODUCT(MAX(('成交明细'!$A$5:$A$804=A211)*('成交明细'!$D$5:$D$804=IF(E211="空","买","卖"))*'成交明细'!$B$5:$B$804)),"")</f>
        <v/>
      </c>
      <c r="T211" s="32" t="n"/>
      <c r="U211" s="35" t="str">
        <f>IF(A211="","",SUMIFS('成交明细'!$F$5:$F$804,'成交明细'!$A$5:$A$804,A211,'成交明细'!$D$5:$D$804,IF(E211="空","卖","买")))</f>
        <v/>
      </c>
      <c r="V211" s="40" t="str">
        <f>IF(N(U211)&gt;0,SUMIFS('成交明细'!$H$5:$H$804,'成交明细'!$A$5:$A$804,A211,'成交明细'!$D$5:$D$804,IF(E211="空","卖","买"))/U211,"")</f>
        <v/>
      </c>
      <c r="W211" s="35" t="str">
        <f>IF(A211="","",SUMIFS('成交明细'!$F$5:$F$804,'成交明细'!$A$5:$A$804,A211,'成交明细'!$D$5:$D$804,IF(E211="空","买","卖")))</f>
        <v/>
      </c>
      <c r="X211" s="40" t="str">
        <f>IF(N(W211)&gt;0,SUMIFS('成交明细'!$H$5:$H$804,'成交明细'!$A$5:$A$804,A211,'成交明细'!$D$5:$D$804,IF(E211="空","买","卖"))/W211,"")</f>
        <v/>
      </c>
      <c r="Y211" s="41" t="str">
        <f>IF(A211="","",IF(Q211&lt;&gt;"已执行",IF(Q211="","未填执行情况",Q211),IF(N(U211)=0,"待录成交",IF(N(W211)&gt;N(U211),"平仓多于开仓",IF(N(W211)&lt;N(U211),"持仓中","已平仓")))))</f>
        <v/>
      </c>
      <c r="Z211" s="41" t="str">
        <f>IF(AND(ISNUMBER(R211),ISNUMBER(S211)),IF(R211=S211,"日内",""),"")</f>
        <v/>
      </c>
      <c r="AA211" s="42" t="str">
        <f>IF(Z211&lt;&gt;"日内","",COUNTIFS($Z$5:$Z$304,"日内",$S$5:$S$304,"&gt;"&amp;WORKDAY(S211,-5),$S$5:$S$304,"&lt;="&amp;S211))</f>
        <v/>
      </c>
      <c r="AB211" s="41" t="str">
        <f>IF(OR(NOT(ISNUMBER(M211)),NOT(ISNUMBER(R211))),"",IF(AND(M211&gt;=R211,OR(NOT(ISNUMBER(S211)),M211&lt;=S211)),"持仓跨财报",""))</f>
        <v/>
      </c>
      <c r="AC211" s="20">
        <f>IF(AND(E211="空",ISNUMBER(O211),ISNUMBER(S211)),ROUND(O211*(S211-R211)/360*V211*U211,2),0)</f>
        <v>0</v>
      </c>
      <c r="AD211" s="43" t="str">
        <f>IF(N(U211)=0,"",SUMIFS('成交明细'!$L$5:$L$804,'成交明细'!$A$5:$A$804,A211)+AC211)</f>
        <v/>
      </c>
      <c r="AE211" s="44" t="str">
        <f>IF(Y211&lt;&gt;"已平仓","",(SUMIFS('成交明细'!$H$5:$H$804,'成交明细'!$A$5:$A$804,A211,'成交明细'!$D$5:$D$804,"卖")-SUMIFS('成交明细'!$H$5:$H$804,'成交明细'!$A$5:$A$804,A211,'成交明细'!$D$5:$D$804,"买"))*1-AD211)</f>
        <v/>
      </c>
      <c r="AF211" s="45" t="str">
        <f>IF(AND(Y211="已平仓",ISNUMBER(L211)),(SUMIFS('成交明细'!$H$5:$H$804,'成交明细'!$A$5:$A$804,A211,'成交明细'!$D$5:$D$804,"卖")-SUMIFS('成交明细'!$H$5:$H$804,'成交明细'!$A$5:$A$804,A211,'成交明细'!$D$5:$D$804,"买"))*1/L211,"")</f>
        <v/>
      </c>
      <c r="AG211" s="45" t="str">
        <f>IF(AND(Y211="已平仓",ISNUMBER(L211)),AE211/L211,"")</f>
        <v/>
      </c>
      <c r="AH211" s="46" t="str">
        <f>IF(AND(ISNUMBER(V211),ISNUMBER(F211)),IF(E211="空",F211-V211,V211-F211),"")</f>
        <v/>
      </c>
      <c r="AI211" s="46" t="str">
        <f>IF(OR(NOT(ISNUMBER(AE211)),NOT(ISNUMBER(X211))),"",IF(AE211&lt;0,IF(E211="空",X211-G211,G211-X211),IF(NOT(ISNUMBER(H211)),"",IF(E211="空",X211-H211,H211-X211))))</f>
        <v/>
      </c>
      <c r="AJ211" s="32" t="n"/>
      <c r="AK211" s="32" t="n"/>
      <c r="AL211" s="31" t="n"/>
      <c r="AM211" s="45" t="str">
        <f>IF(A211="","",SUM(AG$5:AG211))</f>
        <v/>
      </c>
      <c r="AN211" s="37" t="str">
        <f>IF(A211="","",MAX(0,MAX(AM$5:AM211))-AM211)</f>
        <v/>
      </c>
    </row>
    <row r="212">
      <c r="A212" s="29" t="n"/>
      <c r="B212" s="30" t="n"/>
      <c r="C212" s="31" t="n"/>
      <c r="D212" s="32" t="n"/>
      <c r="E212" s="32" t="n"/>
      <c r="F212" s="33" t="n"/>
      <c r="G212" s="33" t="n"/>
      <c r="H212" s="33" t="n"/>
      <c r="I212" s="34" t="str">
        <f>IF(AND(ISNUMBER(F212),ISNUMBER(G212),ISNUMBER(H212)),IF(OR(AND(E212="多",F212&gt;G212),AND(E212="空",F212&lt;G212)),ABS(H212-F212)/ABS(F212-G212),"止损方向不对"),"")</f>
        <v/>
      </c>
      <c r="J212" s="35" t="str">
        <f>IF(AND(ISNUMBER(F212),ISNUMBER(G212)),IF(F212=G212,"",IF(INT(ROUND('参数'!$C$7/(ABS(F212-G212)*1+2*'参数'!$C$11+N('参数'!$C$14)*F212+N('参数'!$C$15))/1,6))*1&gt;0,INT(ROUND('参数'!$C$7/(ABS(F212-G212)*1+2*'参数'!$C$11+N('参数'!$C$14)*F212+N('参数'!$C$15))/1,6))*1,"预算不足，这笔不做")),"")</f>
        <v/>
      </c>
      <c r="K212" s="36" t="n"/>
      <c r="L212" s="20" t="str">
        <f>IF(AND(ISNUMBER(F212),ISNUMBER(G212),ISNUMBER(K212)),IF(AND(F212&lt;&gt;G212,K212&gt;0),ABS(F212-G212)*K212*1,""),"")</f>
        <v/>
      </c>
      <c r="M212" s="30" t="n"/>
      <c r="N212" s="37" t="str">
        <f>IF(AND(ISNUMBER(L212),ISNUMBER(M212)),IF(E212="空",(G212*(1+'参数'!$C$17)-F212),(F212-G212*(1-'参数'!$C$17)))*K212/L212,"")</f>
        <v/>
      </c>
      <c r="O212" s="38" t="n"/>
      <c r="P212" s="31" t="n"/>
      <c r="Q212" s="32" t="n"/>
      <c r="R212" s="39" t="str">
        <f>IF(N(U212)&gt;0,SUMPRODUCT(LARGE(('成交明细'!$A$5:$A$804=A212)*('成交明细'!$D$5:$D$804=IF(E212="空","卖","买"))*'成交明细'!$B$5:$B$804,COUNTIFS('成交明细'!$A$5:$A$804,A212,'成交明细'!$D$5:$D$804,IF(E212="空","卖","买")))),"")</f>
        <v/>
      </c>
      <c r="S212" s="39" t="str">
        <f>IF(AND(N(U212)&gt;0,N(W212)&gt;=N(U212)),SUMPRODUCT(MAX(('成交明细'!$A$5:$A$804=A212)*('成交明细'!$D$5:$D$804=IF(E212="空","买","卖"))*'成交明细'!$B$5:$B$804)),"")</f>
        <v/>
      </c>
      <c r="T212" s="32" t="n"/>
      <c r="U212" s="35" t="str">
        <f>IF(A212="","",SUMIFS('成交明细'!$F$5:$F$804,'成交明细'!$A$5:$A$804,A212,'成交明细'!$D$5:$D$804,IF(E212="空","卖","买")))</f>
        <v/>
      </c>
      <c r="V212" s="40" t="str">
        <f>IF(N(U212)&gt;0,SUMIFS('成交明细'!$H$5:$H$804,'成交明细'!$A$5:$A$804,A212,'成交明细'!$D$5:$D$804,IF(E212="空","卖","买"))/U212,"")</f>
        <v/>
      </c>
      <c r="W212" s="35" t="str">
        <f>IF(A212="","",SUMIFS('成交明细'!$F$5:$F$804,'成交明细'!$A$5:$A$804,A212,'成交明细'!$D$5:$D$804,IF(E212="空","买","卖")))</f>
        <v/>
      </c>
      <c r="X212" s="40" t="str">
        <f>IF(N(W212)&gt;0,SUMIFS('成交明细'!$H$5:$H$804,'成交明细'!$A$5:$A$804,A212,'成交明细'!$D$5:$D$804,IF(E212="空","买","卖"))/W212,"")</f>
        <v/>
      </c>
      <c r="Y212" s="41" t="str">
        <f>IF(A212="","",IF(Q212&lt;&gt;"已执行",IF(Q212="","未填执行情况",Q212),IF(N(U212)=0,"待录成交",IF(N(W212)&gt;N(U212),"平仓多于开仓",IF(N(W212)&lt;N(U212),"持仓中","已平仓")))))</f>
        <v/>
      </c>
      <c r="Z212" s="41" t="str">
        <f>IF(AND(ISNUMBER(R212),ISNUMBER(S212)),IF(R212=S212,"日内",""),"")</f>
        <v/>
      </c>
      <c r="AA212" s="42" t="str">
        <f>IF(Z212&lt;&gt;"日内","",COUNTIFS($Z$5:$Z$304,"日内",$S$5:$S$304,"&gt;"&amp;WORKDAY(S212,-5),$S$5:$S$304,"&lt;="&amp;S212))</f>
        <v/>
      </c>
      <c r="AB212" s="41" t="str">
        <f>IF(OR(NOT(ISNUMBER(M212)),NOT(ISNUMBER(R212))),"",IF(AND(M212&gt;=R212,OR(NOT(ISNUMBER(S212)),M212&lt;=S212)),"持仓跨财报",""))</f>
        <v/>
      </c>
      <c r="AC212" s="20">
        <f>IF(AND(E212="空",ISNUMBER(O212),ISNUMBER(S212)),ROUND(O212*(S212-R212)/360*V212*U212,2),0)</f>
        <v>0</v>
      </c>
      <c r="AD212" s="43" t="str">
        <f>IF(N(U212)=0,"",SUMIFS('成交明细'!$L$5:$L$804,'成交明细'!$A$5:$A$804,A212)+AC212)</f>
        <v/>
      </c>
      <c r="AE212" s="44" t="str">
        <f>IF(Y212&lt;&gt;"已平仓","",(SUMIFS('成交明细'!$H$5:$H$804,'成交明细'!$A$5:$A$804,A212,'成交明细'!$D$5:$D$804,"卖")-SUMIFS('成交明细'!$H$5:$H$804,'成交明细'!$A$5:$A$804,A212,'成交明细'!$D$5:$D$804,"买"))*1-AD212)</f>
        <v/>
      </c>
      <c r="AF212" s="45" t="str">
        <f>IF(AND(Y212="已平仓",ISNUMBER(L212)),(SUMIFS('成交明细'!$H$5:$H$804,'成交明细'!$A$5:$A$804,A212,'成交明细'!$D$5:$D$804,"卖")-SUMIFS('成交明细'!$H$5:$H$804,'成交明细'!$A$5:$A$804,A212,'成交明细'!$D$5:$D$804,"买"))*1/L212,"")</f>
        <v/>
      </c>
      <c r="AG212" s="45" t="str">
        <f>IF(AND(Y212="已平仓",ISNUMBER(L212)),AE212/L212,"")</f>
        <v/>
      </c>
      <c r="AH212" s="46" t="str">
        <f>IF(AND(ISNUMBER(V212),ISNUMBER(F212)),IF(E212="空",F212-V212,V212-F212),"")</f>
        <v/>
      </c>
      <c r="AI212" s="46" t="str">
        <f>IF(OR(NOT(ISNUMBER(AE212)),NOT(ISNUMBER(X212))),"",IF(AE212&lt;0,IF(E212="空",X212-G212,G212-X212),IF(NOT(ISNUMBER(H212)),"",IF(E212="空",X212-H212,H212-X212))))</f>
        <v/>
      </c>
      <c r="AJ212" s="32" t="n"/>
      <c r="AK212" s="32" t="n"/>
      <c r="AL212" s="31" t="n"/>
      <c r="AM212" s="45" t="str">
        <f>IF(A212="","",SUM(AG$5:AG212))</f>
        <v/>
      </c>
      <c r="AN212" s="37" t="str">
        <f>IF(A212="","",MAX(0,MAX(AM$5:AM212))-AM212)</f>
        <v/>
      </c>
    </row>
    <row r="213">
      <c r="A213" s="29" t="n"/>
      <c r="B213" s="30" t="n"/>
      <c r="C213" s="31" t="n"/>
      <c r="D213" s="32" t="n"/>
      <c r="E213" s="32" t="n"/>
      <c r="F213" s="33" t="n"/>
      <c r="G213" s="33" t="n"/>
      <c r="H213" s="33" t="n"/>
      <c r="I213" s="34" t="str">
        <f>IF(AND(ISNUMBER(F213),ISNUMBER(G213),ISNUMBER(H213)),IF(OR(AND(E213="多",F213&gt;G213),AND(E213="空",F213&lt;G213)),ABS(H213-F213)/ABS(F213-G213),"止损方向不对"),"")</f>
        <v/>
      </c>
      <c r="J213" s="35" t="str">
        <f>IF(AND(ISNUMBER(F213),ISNUMBER(G213)),IF(F213=G213,"",IF(INT(ROUND('参数'!$C$7/(ABS(F213-G213)*1+2*'参数'!$C$11+N('参数'!$C$14)*F213+N('参数'!$C$15))/1,6))*1&gt;0,INT(ROUND('参数'!$C$7/(ABS(F213-G213)*1+2*'参数'!$C$11+N('参数'!$C$14)*F213+N('参数'!$C$15))/1,6))*1,"预算不足，这笔不做")),"")</f>
        <v/>
      </c>
      <c r="K213" s="36" t="n"/>
      <c r="L213" s="20" t="str">
        <f>IF(AND(ISNUMBER(F213),ISNUMBER(G213),ISNUMBER(K213)),IF(AND(F213&lt;&gt;G213,K213&gt;0),ABS(F213-G213)*K213*1,""),"")</f>
        <v/>
      </c>
      <c r="M213" s="30" t="n"/>
      <c r="N213" s="37" t="str">
        <f>IF(AND(ISNUMBER(L213),ISNUMBER(M213)),IF(E213="空",(G213*(1+'参数'!$C$17)-F213),(F213-G213*(1-'参数'!$C$17)))*K213/L213,"")</f>
        <v/>
      </c>
      <c r="O213" s="38" t="n"/>
      <c r="P213" s="31" t="n"/>
      <c r="Q213" s="32" t="n"/>
      <c r="R213" s="39" t="str">
        <f>IF(N(U213)&gt;0,SUMPRODUCT(LARGE(('成交明细'!$A$5:$A$804=A213)*('成交明细'!$D$5:$D$804=IF(E213="空","卖","买"))*'成交明细'!$B$5:$B$804,COUNTIFS('成交明细'!$A$5:$A$804,A213,'成交明细'!$D$5:$D$804,IF(E213="空","卖","买")))),"")</f>
        <v/>
      </c>
      <c r="S213" s="39" t="str">
        <f>IF(AND(N(U213)&gt;0,N(W213)&gt;=N(U213)),SUMPRODUCT(MAX(('成交明细'!$A$5:$A$804=A213)*('成交明细'!$D$5:$D$804=IF(E213="空","买","卖"))*'成交明细'!$B$5:$B$804)),"")</f>
        <v/>
      </c>
      <c r="T213" s="32" t="n"/>
      <c r="U213" s="35" t="str">
        <f>IF(A213="","",SUMIFS('成交明细'!$F$5:$F$804,'成交明细'!$A$5:$A$804,A213,'成交明细'!$D$5:$D$804,IF(E213="空","卖","买")))</f>
        <v/>
      </c>
      <c r="V213" s="40" t="str">
        <f>IF(N(U213)&gt;0,SUMIFS('成交明细'!$H$5:$H$804,'成交明细'!$A$5:$A$804,A213,'成交明细'!$D$5:$D$804,IF(E213="空","卖","买"))/U213,"")</f>
        <v/>
      </c>
      <c r="W213" s="35" t="str">
        <f>IF(A213="","",SUMIFS('成交明细'!$F$5:$F$804,'成交明细'!$A$5:$A$804,A213,'成交明细'!$D$5:$D$804,IF(E213="空","买","卖")))</f>
        <v/>
      </c>
      <c r="X213" s="40" t="str">
        <f>IF(N(W213)&gt;0,SUMIFS('成交明细'!$H$5:$H$804,'成交明细'!$A$5:$A$804,A213,'成交明细'!$D$5:$D$804,IF(E213="空","买","卖"))/W213,"")</f>
        <v/>
      </c>
      <c r="Y213" s="41" t="str">
        <f>IF(A213="","",IF(Q213&lt;&gt;"已执行",IF(Q213="","未填执行情况",Q213),IF(N(U213)=0,"待录成交",IF(N(W213)&gt;N(U213),"平仓多于开仓",IF(N(W213)&lt;N(U213),"持仓中","已平仓")))))</f>
        <v/>
      </c>
      <c r="Z213" s="41" t="str">
        <f>IF(AND(ISNUMBER(R213),ISNUMBER(S213)),IF(R213=S213,"日内",""),"")</f>
        <v/>
      </c>
      <c r="AA213" s="42" t="str">
        <f>IF(Z213&lt;&gt;"日内","",COUNTIFS($Z$5:$Z$304,"日内",$S$5:$S$304,"&gt;"&amp;WORKDAY(S213,-5),$S$5:$S$304,"&lt;="&amp;S213))</f>
        <v/>
      </c>
      <c r="AB213" s="41" t="str">
        <f>IF(OR(NOT(ISNUMBER(M213)),NOT(ISNUMBER(R213))),"",IF(AND(M213&gt;=R213,OR(NOT(ISNUMBER(S213)),M213&lt;=S213)),"持仓跨财报",""))</f>
        <v/>
      </c>
      <c r="AC213" s="20">
        <f>IF(AND(E213="空",ISNUMBER(O213),ISNUMBER(S213)),ROUND(O213*(S213-R213)/360*V213*U213,2),0)</f>
        <v>0</v>
      </c>
      <c r="AD213" s="43" t="str">
        <f>IF(N(U213)=0,"",SUMIFS('成交明细'!$L$5:$L$804,'成交明细'!$A$5:$A$804,A213)+AC213)</f>
        <v/>
      </c>
      <c r="AE213" s="44" t="str">
        <f>IF(Y213&lt;&gt;"已平仓","",(SUMIFS('成交明细'!$H$5:$H$804,'成交明细'!$A$5:$A$804,A213,'成交明细'!$D$5:$D$804,"卖")-SUMIFS('成交明细'!$H$5:$H$804,'成交明细'!$A$5:$A$804,A213,'成交明细'!$D$5:$D$804,"买"))*1-AD213)</f>
        <v/>
      </c>
      <c r="AF213" s="45" t="str">
        <f>IF(AND(Y213="已平仓",ISNUMBER(L213)),(SUMIFS('成交明细'!$H$5:$H$804,'成交明细'!$A$5:$A$804,A213,'成交明细'!$D$5:$D$804,"卖")-SUMIFS('成交明细'!$H$5:$H$804,'成交明细'!$A$5:$A$804,A213,'成交明细'!$D$5:$D$804,"买"))*1/L213,"")</f>
        <v/>
      </c>
      <c r="AG213" s="45" t="str">
        <f>IF(AND(Y213="已平仓",ISNUMBER(L213)),AE213/L213,"")</f>
        <v/>
      </c>
      <c r="AH213" s="46" t="str">
        <f>IF(AND(ISNUMBER(V213),ISNUMBER(F213)),IF(E213="空",F213-V213,V213-F213),"")</f>
        <v/>
      </c>
      <c r="AI213" s="46" t="str">
        <f>IF(OR(NOT(ISNUMBER(AE213)),NOT(ISNUMBER(X213))),"",IF(AE213&lt;0,IF(E213="空",X213-G213,G213-X213),IF(NOT(ISNUMBER(H213)),"",IF(E213="空",X213-H213,H213-X213))))</f>
        <v/>
      </c>
      <c r="AJ213" s="32" t="n"/>
      <c r="AK213" s="32" t="n"/>
      <c r="AL213" s="31" t="n"/>
      <c r="AM213" s="45" t="str">
        <f>IF(A213="","",SUM(AG$5:AG213))</f>
        <v/>
      </c>
      <c r="AN213" s="37" t="str">
        <f>IF(A213="","",MAX(0,MAX(AM$5:AM213))-AM213)</f>
        <v/>
      </c>
    </row>
    <row r="214">
      <c r="A214" s="29" t="n"/>
      <c r="B214" s="30" t="n"/>
      <c r="C214" s="31" t="n"/>
      <c r="D214" s="32" t="n"/>
      <c r="E214" s="32" t="n"/>
      <c r="F214" s="33" t="n"/>
      <c r="G214" s="33" t="n"/>
      <c r="H214" s="33" t="n"/>
      <c r="I214" s="34" t="str">
        <f>IF(AND(ISNUMBER(F214),ISNUMBER(G214),ISNUMBER(H214)),IF(OR(AND(E214="多",F214&gt;G214),AND(E214="空",F214&lt;G214)),ABS(H214-F214)/ABS(F214-G214),"止损方向不对"),"")</f>
        <v/>
      </c>
      <c r="J214" s="35" t="str">
        <f>IF(AND(ISNUMBER(F214),ISNUMBER(G214)),IF(F214=G214,"",IF(INT(ROUND('参数'!$C$7/(ABS(F214-G214)*1+2*'参数'!$C$11+N('参数'!$C$14)*F214+N('参数'!$C$15))/1,6))*1&gt;0,INT(ROUND('参数'!$C$7/(ABS(F214-G214)*1+2*'参数'!$C$11+N('参数'!$C$14)*F214+N('参数'!$C$15))/1,6))*1,"预算不足，这笔不做")),"")</f>
        <v/>
      </c>
      <c r="K214" s="36" t="n"/>
      <c r="L214" s="20" t="str">
        <f>IF(AND(ISNUMBER(F214),ISNUMBER(G214),ISNUMBER(K214)),IF(AND(F214&lt;&gt;G214,K214&gt;0),ABS(F214-G214)*K214*1,""),"")</f>
        <v/>
      </c>
      <c r="M214" s="30" t="n"/>
      <c r="N214" s="37" t="str">
        <f>IF(AND(ISNUMBER(L214),ISNUMBER(M214)),IF(E214="空",(G214*(1+'参数'!$C$17)-F214),(F214-G214*(1-'参数'!$C$17)))*K214/L214,"")</f>
        <v/>
      </c>
      <c r="O214" s="38" t="n"/>
      <c r="P214" s="31" t="n"/>
      <c r="Q214" s="32" t="n"/>
      <c r="R214" s="39" t="str">
        <f>IF(N(U214)&gt;0,SUMPRODUCT(LARGE(('成交明细'!$A$5:$A$804=A214)*('成交明细'!$D$5:$D$804=IF(E214="空","卖","买"))*'成交明细'!$B$5:$B$804,COUNTIFS('成交明细'!$A$5:$A$804,A214,'成交明细'!$D$5:$D$804,IF(E214="空","卖","买")))),"")</f>
        <v/>
      </c>
      <c r="S214" s="39" t="str">
        <f>IF(AND(N(U214)&gt;0,N(W214)&gt;=N(U214)),SUMPRODUCT(MAX(('成交明细'!$A$5:$A$804=A214)*('成交明细'!$D$5:$D$804=IF(E214="空","买","卖"))*'成交明细'!$B$5:$B$804)),"")</f>
        <v/>
      </c>
      <c r="T214" s="32" t="n"/>
      <c r="U214" s="35" t="str">
        <f>IF(A214="","",SUMIFS('成交明细'!$F$5:$F$804,'成交明细'!$A$5:$A$804,A214,'成交明细'!$D$5:$D$804,IF(E214="空","卖","买")))</f>
        <v/>
      </c>
      <c r="V214" s="40" t="str">
        <f>IF(N(U214)&gt;0,SUMIFS('成交明细'!$H$5:$H$804,'成交明细'!$A$5:$A$804,A214,'成交明细'!$D$5:$D$804,IF(E214="空","卖","买"))/U214,"")</f>
        <v/>
      </c>
      <c r="W214" s="35" t="str">
        <f>IF(A214="","",SUMIFS('成交明细'!$F$5:$F$804,'成交明细'!$A$5:$A$804,A214,'成交明细'!$D$5:$D$804,IF(E214="空","买","卖")))</f>
        <v/>
      </c>
      <c r="X214" s="40" t="str">
        <f>IF(N(W214)&gt;0,SUMIFS('成交明细'!$H$5:$H$804,'成交明细'!$A$5:$A$804,A214,'成交明细'!$D$5:$D$804,IF(E214="空","买","卖"))/W214,"")</f>
        <v/>
      </c>
      <c r="Y214" s="41" t="str">
        <f>IF(A214="","",IF(Q214&lt;&gt;"已执行",IF(Q214="","未填执行情况",Q214),IF(N(U214)=0,"待录成交",IF(N(W214)&gt;N(U214),"平仓多于开仓",IF(N(W214)&lt;N(U214),"持仓中","已平仓")))))</f>
        <v/>
      </c>
      <c r="Z214" s="41" t="str">
        <f>IF(AND(ISNUMBER(R214),ISNUMBER(S214)),IF(R214=S214,"日内",""),"")</f>
        <v/>
      </c>
      <c r="AA214" s="42" t="str">
        <f>IF(Z214&lt;&gt;"日内","",COUNTIFS($Z$5:$Z$304,"日内",$S$5:$S$304,"&gt;"&amp;WORKDAY(S214,-5),$S$5:$S$304,"&lt;="&amp;S214))</f>
        <v/>
      </c>
      <c r="AB214" s="41" t="str">
        <f>IF(OR(NOT(ISNUMBER(M214)),NOT(ISNUMBER(R214))),"",IF(AND(M214&gt;=R214,OR(NOT(ISNUMBER(S214)),M214&lt;=S214)),"持仓跨财报",""))</f>
        <v/>
      </c>
      <c r="AC214" s="20">
        <f>IF(AND(E214="空",ISNUMBER(O214),ISNUMBER(S214)),ROUND(O214*(S214-R214)/360*V214*U214,2),0)</f>
        <v>0</v>
      </c>
      <c r="AD214" s="43" t="str">
        <f>IF(N(U214)=0,"",SUMIFS('成交明细'!$L$5:$L$804,'成交明细'!$A$5:$A$804,A214)+AC214)</f>
        <v/>
      </c>
      <c r="AE214" s="44" t="str">
        <f>IF(Y214&lt;&gt;"已平仓","",(SUMIFS('成交明细'!$H$5:$H$804,'成交明细'!$A$5:$A$804,A214,'成交明细'!$D$5:$D$804,"卖")-SUMIFS('成交明细'!$H$5:$H$804,'成交明细'!$A$5:$A$804,A214,'成交明细'!$D$5:$D$804,"买"))*1-AD214)</f>
        <v/>
      </c>
      <c r="AF214" s="45" t="str">
        <f>IF(AND(Y214="已平仓",ISNUMBER(L214)),(SUMIFS('成交明细'!$H$5:$H$804,'成交明细'!$A$5:$A$804,A214,'成交明细'!$D$5:$D$804,"卖")-SUMIFS('成交明细'!$H$5:$H$804,'成交明细'!$A$5:$A$804,A214,'成交明细'!$D$5:$D$804,"买"))*1/L214,"")</f>
        <v/>
      </c>
      <c r="AG214" s="45" t="str">
        <f>IF(AND(Y214="已平仓",ISNUMBER(L214)),AE214/L214,"")</f>
        <v/>
      </c>
      <c r="AH214" s="46" t="str">
        <f>IF(AND(ISNUMBER(V214),ISNUMBER(F214)),IF(E214="空",F214-V214,V214-F214),"")</f>
        <v/>
      </c>
      <c r="AI214" s="46" t="str">
        <f>IF(OR(NOT(ISNUMBER(AE214)),NOT(ISNUMBER(X214))),"",IF(AE214&lt;0,IF(E214="空",X214-G214,G214-X214),IF(NOT(ISNUMBER(H214)),"",IF(E214="空",X214-H214,H214-X214))))</f>
        <v/>
      </c>
      <c r="AJ214" s="32" t="n"/>
      <c r="AK214" s="32" t="n"/>
      <c r="AL214" s="31" t="n"/>
      <c r="AM214" s="45" t="str">
        <f>IF(A214="","",SUM(AG$5:AG214))</f>
        <v/>
      </c>
      <c r="AN214" s="37" t="str">
        <f>IF(A214="","",MAX(0,MAX(AM$5:AM214))-AM214)</f>
        <v/>
      </c>
    </row>
    <row r="215">
      <c r="A215" s="29" t="n"/>
      <c r="B215" s="30" t="n"/>
      <c r="C215" s="31" t="n"/>
      <c r="D215" s="32" t="n"/>
      <c r="E215" s="32" t="n"/>
      <c r="F215" s="33" t="n"/>
      <c r="G215" s="33" t="n"/>
      <c r="H215" s="33" t="n"/>
      <c r="I215" s="34" t="str">
        <f>IF(AND(ISNUMBER(F215),ISNUMBER(G215),ISNUMBER(H215)),IF(OR(AND(E215="多",F215&gt;G215),AND(E215="空",F215&lt;G215)),ABS(H215-F215)/ABS(F215-G215),"止损方向不对"),"")</f>
        <v/>
      </c>
      <c r="J215" s="35" t="str">
        <f>IF(AND(ISNUMBER(F215),ISNUMBER(G215)),IF(F215=G215,"",IF(INT(ROUND('参数'!$C$7/(ABS(F215-G215)*1+2*'参数'!$C$11+N('参数'!$C$14)*F215+N('参数'!$C$15))/1,6))*1&gt;0,INT(ROUND('参数'!$C$7/(ABS(F215-G215)*1+2*'参数'!$C$11+N('参数'!$C$14)*F215+N('参数'!$C$15))/1,6))*1,"预算不足，这笔不做")),"")</f>
        <v/>
      </c>
      <c r="K215" s="36" t="n"/>
      <c r="L215" s="20" t="str">
        <f>IF(AND(ISNUMBER(F215),ISNUMBER(G215),ISNUMBER(K215)),IF(AND(F215&lt;&gt;G215,K215&gt;0),ABS(F215-G215)*K215*1,""),"")</f>
        <v/>
      </c>
      <c r="M215" s="30" t="n"/>
      <c r="N215" s="37" t="str">
        <f>IF(AND(ISNUMBER(L215),ISNUMBER(M215)),IF(E215="空",(G215*(1+'参数'!$C$17)-F215),(F215-G215*(1-'参数'!$C$17)))*K215/L215,"")</f>
        <v/>
      </c>
      <c r="O215" s="38" t="n"/>
      <c r="P215" s="31" t="n"/>
      <c r="Q215" s="32" t="n"/>
      <c r="R215" s="39" t="str">
        <f>IF(N(U215)&gt;0,SUMPRODUCT(LARGE(('成交明细'!$A$5:$A$804=A215)*('成交明细'!$D$5:$D$804=IF(E215="空","卖","买"))*'成交明细'!$B$5:$B$804,COUNTIFS('成交明细'!$A$5:$A$804,A215,'成交明细'!$D$5:$D$804,IF(E215="空","卖","买")))),"")</f>
        <v/>
      </c>
      <c r="S215" s="39" t="str">
        <f>IF(AND(N(U215)&gt;0,N(W215)&gt;=N(U215)),SUMPRODUCT(MAX(('成交明细'!$A$5:$A$804=A215)*('成交明细'!$D$5:$D$804=IF(E215="空","买","卖"))*'成交明细'!$B$5:$B$804)),"")</f>
        <v/>
      </c>
      <c r="T215" s="32" t="n"/>
      <c r="U215" s="35" t="str">
        <f>IF(A215="","",SUMIFS('成交明细'!$F$5:$F$804,'成交明细'!$A$5:$A$804,A215,'成交明细'!$D$5:$D$804,IF(E215="空","卖","买")))</f>
        <v/>
      </c>
      <c r="V215" s="40" t="str">
        <f>IF(N(U215)&gt;0,SUMIFS('成交明细'!$H$5:$H$804,'成交明细'!$A$5:$A$804,A215,'成交明细'!$D$5:$D$804,IF(E215="空","卖","买"))/U215,"")</f>
        <v/>
      </c>
      <c r="W215" s="35" t="str">
        <f>IF(A215="","",SUMIFS('成交明细'!$F$5:$F$804,'成交明细'!$A$5:$A$804,A215,'成交明细'!$D$5:$D$804,IF(E215="空","买","卖")))</f>
        <v/>
      </c>
      <c r="X215" s="40" t="str">
        <f>IF(N(W215)&gt;0,SUMIFS('成交明细'!$H$5:$H$804,'成交明细'!$A$5:$A$804,A215,'成交明细'!$D$5:$D$804,IF(E215="空","买","卖"))/W215,"")</f>
        <v/>
      </c>
      <c r="Y215" s="41" t="str">
        <f>IF(A215="","",IF(Q215&lt;&gt;"已执行",IF(Q215="","未填执行情况",Q215),IF(N(U215)=0,"待录成交",IF(N(W215)&gt;N(U215),"平仓多于开仓",IF(N(W215)&lt;N(U215),"持仓中","已平仓")))))</f>
        <v/>
      </c>
      <c r="Z215" s="41" t="str">
        <f>IF(AND(ISNUMBER(R215),ISNUMBER(S215)),IF(R215=S215,"日内",""),"")</f>
        <v/>
      </c>
      <c r="AA215" s="42" t="str">
        <f>IF(Z215&lt;&gt;"日内","",COUNTIFS($Z$5:$Z$304,"日内",$S$5:$S$304,"&gt;"&amp;WORKDAY(S215,-5),$S$5:$S$304,"&lt;="&amp;S215))</f>
        <v/>
      </c>
      <c r="AB215" s="41" t="str">
        <f>IF(OR(NOT(ISNUMBER(M215)),NOT(ISNUMBER(R215))),"",IF(AND(M215&gt;=R215,OR(NOT(ISNUMBER(S215)),M215&lt;=S215)),"持仓跨财报",""))</f>
        <v/>
      </c>
      <c r="AC215" s="20">
        <f>IF(AND(E215="空",ISNUMBER(O215),ISNUMBER(S215)),ROUND(O215*(S215-R215)/360*V215*U215,2),0)</f>
        <v>0</v>
      </c>
      <c r="AD215" s="43" t="str">
        <f>IF(N(U215)=0,"",SUMIFS('成交明细'!$L$5:$L$804,'成交明细'!$A$5:$A$804,A215)+AC215)</f>
        <v/>
      </c>
      <c r="AE215" s="44" t="str">
        <f>IF(Y215&lt;&gt;"已平仓","",(SUMIFS('成交明细'!$H$5:$H$804,'成交明细'!$A$5:$A$804,A215,'成交明细'!$D$5:$D$804,"卖")-SUMIFS('成交明细'!$H$5:$H$804,'成交明细'!$A$5:$A$804,A215,'成交明细'!$D$5:$D$804,"买"))*1-AD215)</f>
        <v/>
      </c>
      <c r="AF215" s="45" t="str">
        <f>IF(AND(Y215="已平仓",ISNUMBER(L215)),(SUMIFS('成交明细'!$H$5:$H$804,'成交明细'!$A$5:$A$804,A215,'成交明细'!$D$5:$D$804,"卖")-SUMIFS('成交明细'!$H$5:$H$804,'成交明细'!$A$5:$A$804,A215,'成交明细'!$D$5:$D$804,"买"))*1/L215,"")</f>
        <v/>
      </c>
      <c r="AG215" s="45" t="str">
        <f>IF(AND(Y215="已平仓",ISNUMBER(L215)),AE215/L215,"")</f>
        <v/>
      </c>
      <c r="AH215" s="46" t="str">
        <f>IF(AND(ISNUMBER(V215),ISNUMBER(F215)),IF(E215="空",F215-V215,V215-F215),"")</f>
        <v/>
      </c>
      <c r="AI215" s="46" t="str">
        <f>IF(OR(NOT(ISNUMBER(AE215)),NOT(ISNUMBER(X215))),"",IF(AE215&lt;0,IF(E215="空",X215-G215,G215-X215),IF(NOT(ISNUMBER(H215)),"",IF(E215="空",X215-H215,H215-X215))))</f>
        <v/>
      </c>
      <c r="AJ215" s="32" t="n"/>
      <c r="AK215" s="32" t="n"/>
      <c r="AL215" s="31" t="n"/>
      <c r="AM215" s="45" t="str">
        <f>IF(A215="","",SUM(AG$5:AG215))</f>
        <v/>
      </c>
      <c r="AN215" s="37" t="str">
        <f>IF(A215="","",MAX(0,MAX(AM$5:AM215))-AM215)</f>
        <v/>
      </c>
    </row>
    <row r="216">
      <c r="A216" s="29" t="n"/>
      <c r="B216" s="30" t="n"/>
      <c r="C216" s="31" t="n"/>
      <c r="D216" s="32" t="n"/>
      <c r="E216" s="32" t="n"/>
      <c r="F216" s="33" t="n"/>
      <c r="G216" s="33" t="n"/>
      <c r="H216" s="33" t="n"/>
      <c r="I216" s="34" t="str">
        <f>IF(AND(ISNUMBER(F216),ISNUMBER(G216),ISNUMBER(H216)),IF(OR(AND(E216="多",F216&gt;G216),AND(E216="空",F216&lt;G216)),ABS(H216-F216)/ABS(F216-G216),"止损方向不对"),"")</f>
        <v/>
      </c>
      <c r="J216" s="35" t="str">
        <f>IF(AND(ISNUMBER(F216),ISNUMBER(G216)),IF(F216=G216,"",IF(INT(ROUND('参数'!$C$7/(ABS(F216-G216)*1+2*'参数'!$C$11+N('参数'!$C$14)*F216+N('参数'!$C$15))/1,6))*1&gt;0,INT(ROUND('参数'!$C$7/(ABS(F216-G216)*1+2*'参数'!$C$11+N('参数'!$C$14)*F216+N('参数'!$C$15))/1,6))*1,"预算不足，这笔不做")),"")</f>
        <v/>
      </c>
      <c r="K216" s="36" t="n"/>
      <c r="L216" s="20" t="str">
        <f>IF(AND(ISNUMBER(F216),ISNUMBER(G216),ISNUMBER(K216)),IF(AND(F216&lt;&gt;G216,K216&gt;0),ABS(F216-G216)*K216*1,""),"")</f>
        <v/>
      </c>
      <c r="M216" s="30" t="n"/>
      <c r="N216" s="37" t="str">
        <f>IF(AND(ISNUMBER(L216),ISNUMBER(M216)),IF(E216="空",(G216*(1+'参数'!$C$17)-F216),(F216-G216*(1-'参数'!$C$17)))*K216/L216,"")</f>
        <v/>
      </c>
      <c r="O216" s="38" t="n"/>
      <c r="P216" s="31" t="n"/>
      <c r="Q216" s="32" t="n"/>
      <c r="R216" s="39" t="str">
        <f>IF(N(U216)&gt;0,SUMPRODUCT(LARGE(('成交明细'!$A$5:$A$804=A216)*('成交明细'!$D$5:$D$804=IF(E216="空","卖","买"))*'成交明细'!$B$5:$B$804,COUNTIFS('成交明细'!$A$5:$A$804,A216,'成交明细'!$D$5:$D$804,IF(E216="空","卖","买")))),"")</f>
        <v/>
      </c>
      <c r="S216" s="39" t="str">
        <f>IF(AND(N(U216)&gt;0,N(W216)&gt;=N(U216)),SUMPRODUCT(MAX(('成交明细'!$A$5:$A$804=A216)*('成交明细'!$D$5:$D$804=IF(E216="空","买","卖"))*'成交明细'!$B$5:$B$804)),"")</f>
        <v/>
      </c>
      <c r="T216" s="32" t="n"/>
      <c r="U216" s="35" t="str">
        <f>IF(A216="","",SUMIFS('成交明细'!$F$5:$F$804,'成交明细'!$A$5:$A$804,A216,'成交明细'!$D$5:$D$804,IF(E216="空","卖","买")))</f>
        <v/>
      </c>
      <c r="V216" s="40" t="str">
        <f>IF(N(U216)&gt;0,SUMIFS('成交明细'!$H$5:$H$804,'成交明细'!$A$5:$A$804,A216,'成交明细'!$D$5:$D$804,IF(E216="空","卖","买"))/U216,"")</f>
        <v/>
      </c>
      <c r="W216" s="35" t="str">
        <f>IF(A216="","",SUMIFS('成交明细'!$F$5:$F$804,'成交明细'!$A$5:$A$804,A216,'成交明细'!$D$5:$D$804,IF(E216="空","买","卖")))</f>
        <v/>
      </c>
      <c r="X216" s="40" t="str">
        <f>IF(N(W216)&gt;0,SUMIFS('成交明细'!$H$5:$H$804,'成交明细'!$A$5:$A$804,A216,'成交明细'!$D$5:$D$804,IF(E216="空","买","卖"))/W216,"")</f>
        <v/>
      </c>
      <c r="Y216" s="41" t="str">
        <f>IF(A216="","",IF(Q216&lt;&gt;"已执行",IF(Q216="","未填执行情况",Q216),IF(N(U216)=0,"待录成交",IF(N(W216)&gt;N(U216),"平仓多于开仓",IF(N(W216)&lt;N(U216),"持仓中","已平仓")))))</f>
        <v/>
      </c>
      <c r="Z216" s="41" t="str">
        <f>IF(AND(ISNUMBER(R216),ISNUMBER(S216)),IF(R216=S216,"日内",""),"")</f>
        <v/>
      </c>
      <c r="AA216" s="42" t="str">
        <f>IF(Z216&lt;&gt;"日内","",COUNTIFS($Z$5:$Z$304,"日内",$S$5:$S$304,"&gt;"&amp;WORKDAY(S216,-5),$S$5:$S$304,"&lt;="&amp;S216))</f>
        <v/>
      </c>
      <c r="AB216" s="41" t="str">
        <f>IF(OR(NOT(ISNUMBER(M216)),NOT(ISNUMBER(R216))),"",IF(AND(M216&gt;=R216,OR(NOT(ISNUMBER(S216)),M216&lt;=S216)),"持仓跨财报",""))</f>
        <v/>
      </c>
      <c r="AC216" s="20">
        <f>IF(AND(E216="空",ISNUMBER(O216),ISNUMBER(S216)),ROUND(O216*(S216-R216)/360*V216*U216,2),0)</f>
        <v>0</v>
      </c>
      <c r="AD216" s="43" t="str">
        <f>IF(N(U216)=0,"",SUMIFS('成交明细'!$L$5:$L$804,'成交明细'!$A$5:$A$804,A216)+AC216)</f>
        <v/>
      </c>
      <c r="AE216" s="44" t="str">
        <f>IF(Y216&lt;&gt;"已平仓","",(SUMIFS('成交明细'!$H$5:$H$804,'成交明细'!$A$5:$A$804,A216,'成交明细'!$D$5:$D$804,"卖")-SUMIFS('成交明细'!$H$5:$H$804,'成交明细'!$A$5:$A$804,A216,'成交明细'!$D$5:$D$804,"买"))*1-AD216)</f>
        <v/>
      </c>
      <c r="AF216" s="45" t="str">
        <f>IF(AND(Y216="已平仓",ISNUMBER(L216)),(SUMIFS('成交明细'!$H$5:$H$804,'成交明细'!$A$5:$A$804,A216,'成交明细'!$D$5:$D$804,"卖")-SUMIFS('成交明细'!$H$5:$H$804,'成交明细'!$A$5:$A$804,A216,'成交明细'!$D$5:$D$804,"买"))*1/L216,"")</f>
        <v/>
      </c>
      <c r="AG216" s="45" t="str">
        <f>IF(AND(Y216="已平仓",ISNUMBER(L216)),AE216/L216,"")</f>
        <v/>
      </c>
      <c r="AH216" s="46" t="str">
        <f>IF(AND(ISNUMBER(V216),ISNUMBER(F216)),IF(E216="空",F216-V216,V216-F216),"")</f>
        <v/>
      </c>
      <c r="AI216" s="46" t="str">
        <f>IF(OR(NOT(ISNUMBER(AE216)),NOT(ISNUMBER(X216))),"",IF(AE216&lt;0,IF(E216="空",X216-G216,G216-X216),IF(NOT(ISNUMBER(H216)),"",IF(E216="空",X216-H216,H216-X216))))</f>
        <v/>
      </c>
      <c r="AJ216" s="32" t="n"/>
      <c r="AK216" s="32" t="n"/>
      <c r="AL216" s="31" t="n"/>
      <c r="AM216" s="45" t="str">
        <f>IF(A216="","",SUM(AG$5:AG216))</f>
        <v/>
      </c>
      <c r="AN216" s="37" t="str">
        <f>IF(A216="","",MAX(0,MAX(AM$5:AM216))-AM216)</f>
        <v/>
      </c>
    </row>
    <row r="217">
      <c r="A217" s="29" t="n"/>
      <c r="B217" s="30" t="n"/>
      <c r="C217" s="31" t="n"/>
      <c r="D217" s="32" t="n"/>
      <c r="E217" s="32" t="n"/>
      <c r="F217" s="33" t="n"/>
      <c r="G217" s="33" t="n"/>
      <c r="H217" s="33" t="n"/>
      <c r="I217" s="34" t="str">
        <f>IF(AND(ISNUMBER(F217),ISNUMBER(G217),ISNUMBER(H217)),IF(OR(AND(E217="多",F217&gt;G217),AND(E217="空",F217&lt;G217)),ABS(H217-F217)/ABS(F217-G217),"止损方向不对"),"")</f>
        <v/>
      </c>
      <c r="J217" s="35" t="str">
        <f>IF(AND(ISNUMBER(F217),ISNUMBER(G217)),IF(F217=G217,"",IF(INT(ROUND('参数'!$C$7/(ABS(F217-G217)*1+2*'参数'!$C$11+N('参数'!$C$14)*F217+N('参数'!$C$15))/1,6))*1&gt;0,INT(ROUND('参数'!$C$7/(ABS(F217-G217)*1+2*'参数'!$C$11+N('参数'!$C$14)*F217+N('参数'!$C$15))/1,6))*1,"预算不足，这笔不做")),"")</f>
        <v/>
      </c>
      <c r="K217" s="36" t="n"/>
      <c r="L217" s="20" t="str">
        <f>IF(AND(ISNUMBER(F217),ISNUMBER(G217),ISNUMBER(K217)),IF(AND(F217&lt;&gt;G217,K217&gt;0),ABS(F217-G217)*K217*1,""),"")</f>
        <v/>
      </c>
      <c r="M217" s="30" t="n"/>
      <c r="N217" s="37" t="str">
        <f>IF(AND(ISNUMBER(L217),ISNUMBER(M217)),IF(E217="空",(G217*(1+'参数'!$C$17)-F217),(F217-G217*(1-'参数'!$C$17)))*K217/L217,"")</f>
        <v/>
      </c>
      <c r="O217" s="38" t="n"/>
      <c r="P217" s="31" t="n"/>
      <c r="Q217" s="32" t="n"/>
      <c r="R217" s="39" t="str">
        <f>IF(N(U217)&gt;0,SUMPRODUCT(LARGE(('成交明细'!$A$5:$A$804=A217)*('成交明细'!$D$5:$D$804=IF(E217="空","卖","买"))*'成交明细'!$B$5:$B$804,COUNTIFS('成交明细'!$A$5:$A$804,A217,'成交明细'!$D$5:$D$804,IF(E217="空","卖","买")))),"")</f>
        <v/>
      </c>
      <c r="S217" s="39" t="str">
        <f>IF(AND(N(U217)&gt;0,N(W217)&gt;=N(U217)),SUMPRODUCT(MAX(('成交明细'!$A$5:$A$804=A217)*('成交明细'!$D$5:$D$804=IF(E217="空","买","卖"))*'成交明细'!$B$5:$B$804)),"")</f>
        <v/>
      </c>
      <c r="T217" s="32" t="n"/>
      <c r="U217" s="35" t="str">
        <f>IF(A217="","",SUMIFS('成交明细'!$F$5:$F$804,'成交明细'!$A$5:$A$804,A217,'成交明细'!$D$5:$D$804,IF(E217="空","卖","买")))</f>
        <v/>
      </c>
      <c r="V217" s="40" t="str">
        <f>IF(N(U217)&gt;0,SUMIFS('成交明细'!$H$5:$H$804,'成交明细'!$A$5:$A$804,A217,'成交明细'!$D$5:$D$804,IF(E217="空","卖","买"))/U217,"")</f>
        <v/>
      </c>
      <c r="W217" s="35" t="str">
        <f>IF(A217="","",SUMIFS('成交明细'!$F$5:$F$804,'成交明细'!$A$5:$A$804,A217,'成交明细'!$D$5:$D$804,IF(E217="空","买","卖")))</f>
        <v/>
      </c>
      <c r="X217" s="40" t="str">
        <f>IF(N(W217)&gt;0,SUMIFS('成交明细'!$H$5:$H$804,'成交明细'!$A$5:$A$804,A217,'成交明细'!$D$5:$D$804,IF(E217="空","买","卖"))/W217,"")</f>
        <v/>
      </c>
      <c r="Y217" s="41" t="str">
        <f>IF(A217="","",IF(Q217&lt;&gt;"已执行",IF(Q217="","未填执行情况",Q217),IF(N(U217)=0,"待录成交",IF(N(W217)&gt;N(U217),"平仓多于开仓",IF(N(W217)&lt;N(U217),"持仓中","已平仓")))))</f>
        <v/>
      </c>
      <c r="Z217" s="41" t="str">
        <f>IF(AND(ISNUMBER(R217),ISNUMBER(S217)),IF(R217=S217,"日内",""),"")</f>
        <v/>
      </c>
      <c r="AA217" s="42" t="str">
        <f>IF(Z217&lt;&gt;"日内","",COUNTIFS($Z$5:$Z$304,"日内",$S$5:$S$304,"&gt;"&amp;WORKDAY(S217,-5),$S$5:$S$304,"&lt;="&amp;S217))</f>
        <v/>
      </c>
      <c r="AB217" s="41" t="str">
        <f>IF(OR(NOT(ISNUMBER(M217)),NOT(ISNUMBER(R217))),"",IF(AND(M217&gt;=R217,OR(NOT(ISNUMBER(S217)),M217&lt;=S217)),"持仓跨财报",""))</f>
        <v/>
      </c>
      <c r="AC217" s="20">
        <f>IF(AND(E217="空",ISNUMBER(O217),ISNUMBER(S217)),ROUND(O217*(S217-R217)/360*V217*U217,2),0)</f>
        <v>0</v>
      </c>
      <c r="AD217" s="43" t="str">
        <f>IF(N(U217)=0,"",SUMIFS('成交明细'!$L$5:$L$804,'成交明细'!$A$5:$A$804,A217)+AC217)</f>
        <v/>
      </c>
      <c r="AE217" s="44" t="str">
        <f>IF(Y217&lt;&gt;"已平仓","",(SUMIFS('成交明细'!$H$5:$H$804,'成交明细'!$A$5:$A$804,A217,'成交明细'!$D$5:$D$804,"卖")-SUMIFS('成交明细'!$H$5:$H$804,'成交明细'!$A$5:$A$804,A217,'成交明细'!$D$5:$D$804,"买"))*1-AD217)</f>
        <v/>
      </c>
      <c r="AF217" s="45" t="str">
        <f>IF(AND(Y217="已平仓",ISNUMBER(L217)),(SUMIFS('成交明细'!$H$5:$H$804,'成交明细'!$A$5:$A$804,A217,'成交明细'!$D$5:$D$804,"卖")-SUMIFS('成交明细'!$H$5:$H$804,'成交明细'!$A$5:$A$804,A217,'成交明细'!$D$5:$D$804,"买"))*1/L217,"")</f>
        <v/>
      </c>
      <c r="AG217" s="45" t="str">
        <f>IF(AND(Y217="已平仓",ISNUMBER(L217)),AE217/L217,"")</f>
        <v/>
      </c>
      <c r="AH217" s="46" t="str">
        <f>IF(AND(ISNUMBER(V217),ISNUMBER(F217)),IF(E217="空",F217-V217,V217-F217),"")</f>
        <v/>
      </c>
      <c r="AI217" s="46" t="str">
        <f>IF(OR(NOT(ISNUMBER(AE217)),NOT(ISNUMBER(X217))),"",IF(AE217&lt;0,IF(E217="空",X217-G217,G217-X217),IF(NOT(ISNUMBER(H217)),"",IF(E217="空",X217-H217,H217-X217))))</f>
        <v/>
      </c>
      <c r="AJ217" s="32" t="n"/>
      <c r="AK217" s="32" t="n"/>
      <c r="AL217" s="31" t="n"/>
      <c r="AM217" s="45" t="str">
        <f>IF(A217="","",SUM(AG$5:AG217))</f>
        <v/>
      </c>
      <c r="AN217" s="37" t="str">
        <f>IF(A217="","",MAX(0,MAX(AM$5:AM217))-AM217)</f>
        <v/>
      </c>
    </row>
    <row r="218">
      <c r="A218" s="29" t="n"/>
      <c r="B218" s="30" t="n"/>
      <c r="C218" s="31" t="n"/>
      <c r="D218" s="32" t="n"/>
      <c r="E218" s="32" t="n"/>
      <c r="F218" s="33" t="n"/>
      <c r="G218" s="33" t="n"/>
      <c r="H218" s="33" t="n"/>
      <c r="I218" s="34" t="str">
        <f>IF(AND(ISNUMBER(F218),ISNUMBER(G218),ISNUMBER(H218)),IF(OR(AND(E218="多",F218&gt;G218),AND(E218="空",F218&lt;G218)),ABS(H218-F218)/ABS(F218-G218),"止损方向不对"),"")</f>
        <v/>
      </c>
      <c r="J218" s="35" t="str">
        <f>IF(AND(ISNUMBER(F218),ISNUMBER(G218)),IF(F218=G218,"",IF(INT(ROUND('参数'!$C$7/(ABS(F218-G218)*1+2*'参数'!$C$11+N('参数'!$C$14)*F218+N('参数'!$C$15))/1,6))*1&gt;0,INT(ROUND('参数'!$C$7/(ABS(F218-G218)*1+2*'参数'!$C$11+N('参数'!$C$14)*F218+N('参数'!$C$15))/1,6))*1,"预算不足，这笔不做")),"")</f>
        <v/>
      </c>
      <c r="K218" s="36" t="n"/>
      <c r="L218" s="20" t="str">
        <f>IF(AND(ISNUMBER(F218),ISNUMBER(G218),ISNUMBER(K218)),IF(AND(F218&lt;&gt;G218,K218&gt;0),ABS(F218-G218)*K218*1,""),"")</f>
        <v/>
      </c>
      <c r="M218" s="30" t="n"/>
      <c r="N218" s="37" t="str">
        <f>IF(AND(ISNUMBER(L218),ISNUMBER(M218)),IF(E218="空",(G218*(1+'参数'!$C$17)-F218),(F218-G218*(1-'参数'!$C$17)))*K218/L218,"")</f>
        <v/>
      </c>
      <c r="O218" s="38" t="n"/>
      <c r="P218" s="31" t="n"/>
      <c r="Q218" s="32" t="n"/>
      <c r="R218" s="39" t="str">
        <f>IF(N(U218)&gt;0,SUMPRODUCT(LARGE(('成交明细'!$A$5:$A$804=A218)*('成交明细'!$D$5:$D$804=IF(E218="空","卖","买"))*'成交明细'!$B$5:$B$804,COUNTIFS('成交明细'!$A$5:$A$804,A218,'成交明细'!$D$5:$D$804,IF(E218="空","卖","买")))),"")</f>
        <v/>
      </c>
      <c r="S218" s="39" t="str">
        <f>IF(AND(N(U218)&gt;0,N(W218)&gt;=N(U218)),SUMPRODUCT(MAX(('成交明细'!$A$5:$A$804=A218)*('成交明细'!$D$5:$D$804=IF(E218="空","买","卖"))*'成交明细'!$B$5:$B$804)),"")</f>
        <v/>
      </c>
      <c r="T218" s="32" t="n"/>
      <c r="U218" s="35" t="str">
        <f>IF(A218="","",SUMIFS('成交明细'!$F$5:$F$804,'成交明细'!$A$5:$A$804,A218,'成交明细'!$D$5:$D$804,IF(E218="空","卖","买")))</f>
        <v/>
      </c>
      <c r="V218" s="40" t="str">
        <f>IF(N(U218)&gt;0,SUMIFS('成交明细'!$H$5:$H$804,'成交明细'!$A$5:$A$804,A218,'成交明细'!$D$5:$D$804,IF(E218="空","卖","买"))/U218,"")</f>
        <v/>
      </c>
      <c r="W218" s="35" t="str">
        <f>IF(A218="","",SUMIFS('成交明细'!$F$5:$F$804,'成交明细'!$A$5:$A$804,A218,'成交明细'!$D$5:$D$804,IF(E218="空","买","卖")))</f>
        <v/>
      </c>
      <c r="X218" s="40" t="str">
        <f>IF(N(W218)&gt;0,SUMIFS('成交明细'!$H$5:$H$804,'成交明细'!$A$5:$A$804,A218,'成交明细'!$D$5:$D$804,IF(E218="空","买","卖"))/W218,"")</f>
        <v/>
      </c>
      <c r="Y218" s="41" t="str">
        <f>IF(A218="","",IF(Q218&lt;&gt;"已执行",IF(Q218="","未填执行情况",Q218),IF(N(U218)=0,"待录成交",IF(N(W218)&gt;N(U218),"平仓多于开仓",IF(N(W218)&lt;N(U218),"持仓中","已平仓")))))</f>
        <v/>
      </c>
      <c r="Z218" s="41" t="str">
        <f>IF(AND(ISNUMBER(R218),ISNUMBER(S218)),IF(R218=S218,"日内",""),"")</f>
        <v/>
      </c>
      <c r="AA218" s="42" t="str">
        <f>IF(Z218&lt;&gt;"日内","",COUNTIFS($Z$5:$Z$304,"日内",$S$5:$S$304,"&gt;"&amp;WORKDAY(S218,-5),$S$5:$S$304,"&lt;="&amp;S218))</f>
        <v/>
      </c>
      <c r="AB218" s="41" t="str">
        <f>IF(OR(NOT(ISNUMBER(M218)),NOT(ISNUMBER(R218))),"",IF(AND(M218&gt;=R218,OR(NOT(ISNUMBER(S218)),M218&lt;=S218)),"持仓跨财报",""))</f>
        <v/>
      </c>
      <c r="AC218" s="20">
        <f>IF(AND(E218="空",ISNUMBER(O218),ISNUMBER(S218)),ROUND(O218*(S218-R218)/360*V218*U218,2),0)</f>
        <v>0</v>
      </c>
      <c r="AD218" s="43" t="str">
        <f>IF(N(U218)=0,"",SUMIFS('成交明细'!$L$5:$L$804,'成交明细'!$A$5:$A$804,A218)+AC218)</f>
        <v/>
      </c>
      <c r="AE218" s="44" t="str">
        <f>IF(Y218&lt;&gt;"已平仓","",(SUMIFS('成交明细'!$H$5:$H$804,'成交明细'!$A$5:$A$804,A218,'成交明细'!$D$5:$D$804,"卖")-SUMIFS('成交明细'!$H$5:$H$804,'成交明细'!$A$5:$A$804,A218,'成交明细'!$D$5:$D$804,"买"))*1-AD218)</f>
        <v/>
      </c>
      <c r="AF218" s="45" t="str">
        <f>IF(AND(Y218="已平仓",ISNUMBER(L218)),(SUMIFS('成交明细'!$H$5:$H$804,'成交明细'!$A$5:$A$804,A218,'成交明细'!$D$5:$D$804,"卖")-SUMIFS('成交明细'!$H$5:$H$804,'成交明细'!$A$5:$A$804,A218,'成交明细'!$D$5:$D$804,"买"))*1/L218,"")</f>
        <v/>
      </c>
      <c r="AG218" s="45" t="str">
        <f>IF(AND(Y218="已平仓",ISNUMBER(L218)),AE218/L218,"")</f>
        <v/>
      </c>
      <c r="AH218" s="46" t="str">
        <f>IF(AND(ISNUMBER(V218),ISNUMBER(F218)),IF(E218="空",F218-V218,V218-F218),"")</f>
        <v/>
      </c>
      <c r="AI218" s="46" t="str">
        <f>IF(OR(NOT(ISNUMBER(AE218)),NOT(ISNUMBER(X218))),"",IF(AE218&lt;0,IF(E218="空",X218-G218,G218-X218),IF(NOT(ISNUMBER(H218)),"",IF(E218="空",X218-H218,H218-X218))))</f>
        <v/>
      </c>
      <c r="AJ218" s="32" t="n"/>
      <c r="AK218" s="32" t="n"/>
      <c r="AL218" s="31" t="n"/>
      <c r="AM218" s="45" t="str">
        <f>IF(A218="","",SUM(AG$5:AG218))</f>
        <v/>
      </c>
      <c r="AN218" s="37" t="str">
        <f>IF(A218="","",MAX(0,MAX(AM$5:AM218))-AM218)</f>
        <v/>
      </c>
    </row>
    <row r="219">
      <c r="A219" s="29" t="n"/>
      <c r="B219" s="30" t="n"/>
      <c r="C219" s="31" t="n"/>
      <c r="D219" s="32" t="n"/>
      <c r="E219" s="32" t="n"/>
      <c r="F219" s="33" t="n"/>
      <c r="G219" s="33" t="n"/>
      <c r="H219" s="33" t="n"/>
      <c r="I219" s="34" t="str">
        <f>IF(AND(ISNUMBER(F219),ISNUMBER(G219),ISNUMBER(H219)),IF(OR(AND(E219="多",F219&gt;G219),AND(E219="空",F219&lt;G219)),ABS(H219-F219)/ABS(F219-G219),"止损方向不对"),"")</f>
        <v/>
      </c>
      <c r="J219" s="35" t="str">
        <f>IF(AND(ISNUMBER(F219),ISNUMBER(G219)),IF(F219=G219,"",IF(INT(ROUND('参数'!$C$7/(ABS(F219-G219)*1+2*'参数'!$C$11+N('参数'!$C$14)*F219+N('参数'!$C$15))/1,6))*1&gt;0,INT(ROUND('参数'!$C$7/(ABS(F219-G219)*1+2*'参数'!$C$11+N('参数'!$C$14)*F219+N('参数'!$C$15))/1,6))*1,"预算不足，这笔不做")),"")</f>
        <v/>
      </c>
      <c r="K219" s="36" t="n"/>
      <c r="L219" s="20" t="str">
        <f>IF(AND(ISNUMBER(F219),ISNUMBER(G219),ISNUMBER(K219)),IF(AND(F219&lt;&gt;G219,K219&gt;0),ABS(F219-G219)*K219*1,""),"")</f>
        <v/>
      </c>
      <c r="M219" s="30" t="n"/>
      <c r="N219" s="37" t="str">
        <f>IF(AND(ISNUMBER(L219),ISNUMBER(M219)),IF(E219="空",(G219*(1+'参数'!$C$17)-F219),(F219-G219*(1-'参数'!$C$17)))*K219/L219,"")</f>
        <v/>
      </c>
      <c r="O219" s="38" t="n"/>
      <c r="P219" s="31" t="n"/>
      <c r="Q219" s="32" t="n"/>
      <c r="R219" s="39" t="str">
        <f>IF(N(U219)&gt;0,SUMPRODUCT(LARGE(('成交明细'!$A$5:$A$804=A219)*('成交明细'!$D$5:$D$804=IF(E219="空","卖","买"))*'成交明细'!$B$5:$B$804,COUNTIFS('成交明细'!$A$5:$A$804,A219,'成交明细'!$D$5:$D$804,IF(E219="空","卖","买")))),"")</f>
        <v/>
      </c>
      <c r="S219" s="39" t="str">
        <f>IF(AND(N(U219)&gt;0,N(W219)&gt;=N(U219)),SUMPRODUCT(MAX(('成交明细'!$A$5:$A$804=A219)*('成交明细'!$D$5:$D$804=IF(E219="空","买","卖"))*'成交明细'!$B$5:$B$804)),"")</f>
        <v/>
      </c>
      <c r="T219" s="32" t="n"/>
      <c r="U219" s="35" t="str">
        <f>IF(A219="","",SUMIFS('成交明细'!$F$5:$F$804,'成交明细'!$A$5:$A$804,A219,'成交明细'!$D$5:$D$804,IF(E219="空","卖","买")))</f>
        <v/>
      </c>
      <c r="V219" s="40" t="str">
        <f>IF(N(U219)&gt;0,SUMIFS('成交明细'!$H$5:$H$804,'成交明细'!$A$5:$A$804,A219,'成交明细'!$D$5:$D$804,IF(E219="空","卖","买"))/U219,"")</f>
        <v/>
      </c>
      <c r="W219" s="35" t="str">
        <f>IF(A219="","",SUMIFS('成交明细'!$F$5:$F$804,'成交明细'!$A$5:$A$804,A219,'成交明细'!$D$5:$D$804,IF(E219="空","买","卖")))</f>
        <v/>
      </c>
      <c r="X219" s="40" t="str">
        <f>IF(N(W219)&gt;0,SUMIFS('成交明细'!$H$5:$H$804,'成交明细'!$A$5:$A$804,A219,'成交明细'!$D$5:$D$804,IF(E219="空","买","卖"))/W219,"")</f>
        <v/>
      </c>
      <c r="Y219" s="41" t="str">
        <f>IF(A219="","",IF(Q219&lt;&gt;"已执行",IF(Q219="","未填执行情况",Q219),IF(N(U219)=0,"待录成交",IF(N(W219)&gt;N(U219),"平仓多于开仓",IF(N(W219)&lt;N(U219),"持仓中","已平仓")))))</f>
        <v/>
      </c>
      <c r="Z219" s="41" t="str">
        <f>IF(AND(ISNUMBER(R219),ISNUMBER(S219)),IF(R219=S219,"日内",""),"")</f>
        <v/>
      </c>
      <c r="AA219" s="42" t="str">
        <f>IF(Z219&lt;&gt;"日内","",COUNTIFS($Z$5:$Z$304,"日内",$S$5:$S$304,"&gt;"&amp;WORKDAY(S219,-5),$S$5:$S$304,"&lt;="&amp;S219))</f>
        <v/>
      </c>
      <c r="AB219" s="41" t="str">
        <f>IF(OR(NOT(ISNUMBER(M219)),NOT(ISNUMBER(R219))),"",IF(AND(M219&gt;=R219,OR(NOT(ISNUMBER(S219)),M219&lt;=S219)),"持仓跨财报",""))</f>
        <v/>
      </c>
      <c r="AC219" s="20">
        <f>IF(AND(E219="空",ISNUMBER(O219),ISNUMBER(S219)),ROUND(O219*(S219-R219)/360*V219*U219,2),0)</f>
        <v>0</v>
      </c>
      <c r="AD219" s="43" t="str">
        <f>IF(N(U219)=0,"",SUMIFS('成交明细'!$L$5:$L$804,'成交明细'!$A$5:$A$804,A219)+AC219)</f>
        <v/>
      </c>
      <c r="AE219" s="44" t="str">
        <f>IF(Y219&lt;&gt;"已平仓","",(SUMIFS('成交明细'!$H$5:$H$804,'成交明细'!$A$5:$A$804,A219,'成交明细'!$D$5:$D$804,"卖")-SUMIFS('成交明细'!$H$5:$H$804,'成交明细'!$A$5:$A$804,A219,'成交明细'!$D$5:$D$804,"买"))*1-AD219)</f>
        <v/>
      </c>
      <c r="AF219" s="45" t="str">
        <f>IF(AND(Y219="已平仓",ISNUMBER(L219)),(SUMIFS('成交明细'!$H$5:$H$804,'成交明细'!$A$5:$A$804,A219,'成交明细'!$D$5:$D$804,"卖")-SUMIFS('成交明细'!$H$5:$H$804,'成交明细'!$A$5:$A$804,A219,'成交明细'!$D$5:$D$804,"买"))*1/L219,"")</f>
        <v/>
      </c>
      <c r="AG219" s="45" t="str">
        <f>IF(AND(Y219="已平仓",ISNUMBER(L219)),AE219/L219,"")</f>
        <v/>
      </c>
      <c r="AH219" s="46" t="str">
        <f>IF(AND(ISNUMBER(V219),ISNUMBER(F219)),IF(E219="空",F219-V219,V219-F219),"")</f>
        <v/>
      </c>
      <c r="AI219" s="46" t="str">
        <f>IF(OR(NOT(ISNUMBER(AE219)),NOT(ISNUMBER(X219))),"",IF(AE219&lt;0,IF(E219="空",X219-G219,G219-X219),IF(NOT(ISNUMBER(H219)),"",IF(E219="空",X219-H219,H219-X219))))</f>
        <v/>
      </c>
      <c r="AJ219" s="32" t="n"/>
      <c r="AK219" s="32" t="n"/>
      <c r="AL219" s="31" t="n"/>
      <c r="AM219" s="45" t="str">
        <f>IF(A219="","",SUM(AG$5:AG219))</f>
        <v/>
      </c>
      <c r="AN219" s="37" t="str">
        <f>IF(A219="","",MAX(0,MAX(AM$5:AM219))-AM219)</f>
        <v/>
      </c>
    </row>
    <row r="220">
      <c r="A220" s="29" t="n"/>
      <c r="B220" s="30" t="n"/>
      <c r="C220" s="31" t="n"/>
      <c r="D220" s="32" t="n"/>
      <c r="E220" s="32" t="n"/>
      <c r="F220" s="33" t="n"/>
      <c r="G220" s="33" t="n"/>
      <c r="H220" s="33" t="n"/>
      <c r="I220" s="34" t="str">
        <f>IF(AND(ISNUMBER(F220),ISNUMBER(G220),ISNUMBER(H220)),IF(OR(AND(E220="多",F220&gt;G220),AND(E220="空",F220&lt;G220)),ABS(H220-F220)/ABS(F220-G220),"止损方向不对"),"")</f>
        <v/>
      </c>
      <c r="J220" s="35" t="str">
        <f>IF(AND(ISNUMBER(F220),ISNUMBER(G220)),IF(F220=G220,"",IF(INT(ROUND('参数'!$C$7/(ABS(F220-G220)*1+2*'参数'!$C$11+N('参数'!$C$14)*F220+N('参数'!$C$15))/1,6))*1&gt;0,INT(ROUND('参数'!$C$7/(ABS(F220-G220)*1+2*'参数'!$C$11+N('参数'!$C$14)*F220+N('参数'!$C$15))/1,6))*1,"预算不足，这笔不做")),"")</f>
        <v/>
      </c>
      <c r="K220" s="36" t="n"/>
      <c r="L220" s="20" t="str">
        <f>IF(AND(ISNUMBER(F220),ISNUMBER(G220),ISNUMBER(K220)),IF(AND(F220&lt;&gt;G220,K220&gt;0),ABS(F220-G220)*K220*1,""),"")</f>
        <v/>
      </c>
      <c r="M220" s="30" t="n"/>
      <c r="N220" s="37" t="str">
        <f>IF(AND(ISNUMBER(L220),ISNUMBER(M220)),IF(E220="空",(G220*(1+'参数'!$C$17)-F220),(F220-G220*(1-'参数'!$C$17)))*K220/L220,"")</f>
        <v/>
      </c>
      <c r="O220" s="38" t="n"/>
      <c r="P220" s="31" t="n"/>
      <c r="Q220" s="32" t="n"/>
      <c r="R220" s="39" t="str">
        <f>IF(N(U220)&gt;0,SUMPRODUCT(LARGE(('成交明细'!$A$5:$A$804=A220)*('成交明细'!$D$5:$D$804=IF(E220="空","卖","买"))*'成交明细'!$B$5:$B$804,COUNTIFS('成交明细'!$A$5:$A$804,A220,'成交明细'!$D$5:$D$804,IF(E220="空","卖","买")))),"")</f>
        <v/>
      </c>
      <c r="S220" s="39" t="str">
        <f>IF(AND(N(U220)&gt;0,N(W220)&gt;=N(U220)),SUMPRODUCT(MAX(('成交明细'!$A$5:$A$804=A220)*('成交明细'!$D$5:$D$804=IF(E220="空","买","卖"))*'成交明细'!$B$5:$B$804)),"")</f>
        <v/>
      </c>
      <c r="T220" s="32" t="n"/>
      <c r="U220" s="35" t="str">
        <f>IF(A220="","",SUMIFS('成交明细'!$F$5:$F$804,'成交明细'!$A$5:$A$804,A220,'成交明细'!$D$5:$D$804,IF(E220="空","卖","买")))</f>
        <v/>
      </c>
      <c r="V220" s="40" t="str">
        <f>IF(N(U220)&gt;0,SUMIFS('成交明细'!$H$5:$H$804,'成交明细'!$A$5:$A$804,A220,'成交明细'!$D$5:$D$804,IF(E220="空","卖","买"))/U220,"")</f>
        <v/>
      </c>
      <c r="W220" s="35" t="str">
        <f>IF(A220="","",SUMIFS('成交明细'!$F$5:$F$804,'成交明细'!$A$5:$A$804,A220,'成交明细'!$D$5:$D$804,IF(E220="空","买","卖")))</f>
        <v/>
      </c>
      <c r="X220" s="40" t="str">
        <f>IF(N(W220)&gt;0,SUMIFS('成交明细'!$H$5:$H$804,'成交明细'!$A$5:$A$804,A220,'成交明细'!$D$5:$D$804,IF(E220="空","买","卖"))/W220,"")</f>
        <v/>
      </c>
      <c r="Y220" s="41" t="str">
        <f>IF(A220="","",IF(Q220&lt;&gt;"已执行",IF(Q220="","未填执行情况",Q220),IF(N(U220)=0,"待录成交",IF(N(W220)&gt;N(U220),"平仓多于开仓",IF(N(W220)&lt;N(U220),"持仓中","已平仓")))))</f>
        <v/>
      </c>
      <c r="Z220" s="41" t="str">
        <f>IF(AND(ISNUMBER(R220),ISNUMBER(S220)),IF(R220=S220,"日内",""),"")</f>
        <v/>
      </c>
      <c r="AA220" s="42" t="str">
        <f>IF(Z220&lt;&gt;"日内","",COUNTIFS($Z$5:$Z$304,"日内",$S$5:$S$304,"&gt;"&amp;WORKDAY(S220,-5),$S$5:$S$304,"&lt;="&amp;S220))</f>
        <v/>
      </c>
      <c r="AB220" s="41" t="str">
        <f>IF(OR(NOT(ISNUMBER(M220)),NOT(ISNUMBER(R220))),"",IF(AND(M220&gt;=R220,OR(NOT(ISNUMBER(S220)),M220&lt;=S220)),"持仓跨财报",""))</f>
        <v/>
      </c>
      <c r="AC220" s="20">
        <f>IF(AND(E220="空",ISNUMBER(O220),ISNUMBER(S220)),ROUND(O220*(S220-R220)/360*V220*U220,2),0)</f>
        <v>0</v>
      </c>
      <c r="AD220" s="43" t="str">
        <f>IF(N(U220)=0,"",SUMIFS('成交明细'!$L$5:$L$804,'成交明细'!$A$5:$A$804,A220)+AC220)</f>
        <v/>
      </c>
      <c r="AE220" s="44" t="str">
        <f>IF(Y220&lt;&gt;"已平仓","",(SUMIFS('成交明细'!$H$5:$H$804,'成交明细'!$A$5:$A$804,A220,'成交明细'!$D$5:$D$804,"卖")-SUMIFS('成交明细'!$H$5:$H$804,'成交明细'!$A$5:$A$804,A220,'成交明细'!$D$5:$D$804,"买"))*1-AD220)</f>
        <v/>
      </c>
      <c r="AF220" s="45" t="str">
        <f>IF(AND(Y220="已平仓",ISNUMBER(L220)),(SUMIFS('成交明细'!$H$5:$H$804,'成交明细'!$A$5:$A$804,A220,'成交明细'!$D$5:$D$804,"卖")-SUMIFS('成交明细'!$H$5:$H$804,'成交明细'!$A$5:$A$804,A220,'成交明细'!$D$5:$D$804,"买"))*1/L220,"")</f>
        <v/>
      </c>
      <c r="AG220" s="45" t="str">
        <f>IF(AND(Y220="已平仓",ISNUMBER(L220)),AE220/L220,"")</f>
        <v/>
      </c>
      <c r="AH220" s="46" t="str">
        <f>IF(AND(ISNUMBER(V220),ISNUMBER(F220)),IF(E220="空",F220-V220,V220-F220),"")</f>
        <v/>
      </c>
      <c r="AI220" s="46" t="str">
        <f>IF(OR(NOT(ISNUMBER(AE220)),NOT(ISNUMBER(X220))),"",IF(AE220&lt;0,IF(E220="空",X220-G220,G220-X220),IF(NOT(ISNUMBER(H220)),"",IF(E220="空",X220-H220,H220-X220))))</f>
        <v/>
      </c>
      <c r="AJ220" s="32" t="n"/>
      <c r="AK220" s="32" t="n"/>
      <c r="AL220" s="31" t="n"/>
      <c r="AM220" s="45" t="str">
        <f>IF(A220="","",SUM(AG$5:AG220))</f>
        <v/>
      </c>
      <c r="AN220" s="37" t="str">
        <f>IF(A220="","",MAX(0,MAX(AM$5:AM220))-AM220)</f>
        <v/>
      </c>
    </row>
    <row r="221">
      <c r="A221" s="29" t="n"/>
      <c r="B221" s="30" t="n"/>
      <c r="C221" s="31" t="n"/>
      <c r="D221" s="32" t="n"/>
      <c r="E221" s="32" t="n"/>
      <c r="F221" s="33" t="n"/>
      <c r="G221" s="33" t="n"/>
      <c r="H221" s="33" t="n"/>
      <c r="I221" s="34" t="str">
        <f>IF(AND(ISNUMBER(F221),ISNUMBER(G221),ISNUMBER(H221)),IF(OR(AND(E221="多",F221&gt;G221),AND(E221="空",F221&lt;G221)),ABS(H221-F221)/ABS(F221-G221),"止损方向不对"),"")</f>
        <v/>
      </c>
      <c r="J221" s="35" t="str">
        <f>IF(AND(ISNUMBER(F221),ISNUMBER(G221)),IF(F221=G221,"",IF(INT(ROUND('参数'!$C$7/(ABS(F221-G221)*1+2*'参数'!$C$11+N('参数'!$C$14)*F221+N('参数'!$C$15))/1,6))*1&gt;0,INT(ROUND('参数'!$C$7/(ABS(F221-G221)*1+2*'参数'!$C$11+N('参数'!$C$14)*F221+N('参数'!$C$15))/1,6))*1,"预算不足，这笔不做")),"")</f>
        <v/>
      </c>
      <c r="K221" s="36" t="n"/>
      <c r="L221" s="20" t="str">
        <f>IF(AND(ISNUMBER(F221),ISNUMBER(G221),ISNUMBER(K221)),IF(AND(F221&lt;&gt;G221,K221&gt;0),ABS(F221-G221)*K221*1,""),"")</f>
        <v/>
      </c>
      <c r="M221" s="30" t="n"/>
      <c r="N221" s="37" t="str">
        <f>IF(AND(ISNUMBER(L221),ISNUMBER(M221)),IF(E221="空",(G221*(1+'参数'!$C$17)-F221),(F221-G221*(1-'参数'!$C$17)))*K221/L221,"")</f>
        <v/>
      </c>
      <c r="O221" s="38" t="n"/>
      <c r="P221" s="31" t="n"/>
      <c r="Q221" s="32" t="n"/>
      <c r="R221" s="39" t="str">
        <f>IF(N(U221)&gt;0,SUMPRODUCT(LARGE(('成交明细'!$A$5:$A$804=A221)*('成交明细'!$D$5:$D$804=IF(E221="空","卖","买"))*'成交明细'!$B$5:$B$804,COUNTIFS('成交明细'!$A$5:$A$804,A221,'成交明细'!$D$5:$D$804,IF(E221="空","卖","买")))),"")</f>
        <v/>
      </c>
      <c r="S221" s="39" t="str">
        <f>IF(AND(N(U221)&gt;0,N(W221)&gt;=N(U221)),SUMPRODUCT(MAX(('成交明细'!$A$5:$A$804=A221)*('成交明细'!$D$5:$D$804=IF(E221="空","买","卖"))*'成交明细'!$B$5:$B$804)),"")</f>
        <v/>
      </c>
      <c r="T221" s="32" t="n"/>
      <c r="U221" s="35" t="str">
        <f>IF(A221="","",SUMIFS('成交明细'!$F$5:$F$804,'成交明细'!$A$5:$A$804,A221,'成交明细'!$D$5:$D$804,IF(E221="空","卖","买")))</f>
        <v/>
      </c>
      <c r="V221" s="40" t="str">
        <f>IF(N(U221)&gt;0,SUMIFS('成交明细'!$H$5:$H$804,'成交明细'!$A$5:$A$804,A221,'成交明细'!$D$5:$D$804,IF(E221="空","卖","买"))/U221,"")</f>
        <v/>
      </c>
      <c r="W221" s="35" t="str">
        <f>IF(A221="","",SUMIFS('成交明细'!$F$5:$F$804,'成交明细'!$A$5:$A$804,A221,'成交明细'!$D$5:$D$804,IF(E221="空","买","卖")))</f>
        <v/>
      </c>
      <c r="X221" s="40" t="str">
        <f>IF(N(W221)&gt;0,SUMIFS('成交明细'!$H$5:$H$804,'成交明细'!$A$5:$A$804,A221,'成交明细'!$D$5:$D$804,IF(E221="空","买","卖"))/W221,"")</f>
        <v/>
      </c>
      <c r="Y221" s="41" t="str">
        <f>IF(A221="","",IF(Q221&lt;&gt;"已执行",IF(Q221="","未填执行情况",Q221),IF(N(U221)=0,"待录成交",IF(N(W221)&gt;N(U221),"平仓多于开仓",IF(N(W221)&lt;N(U221),"持仓中","已平仓")))))</f>
        <v/>
      </c>
      <c r="Z221" s="41" t="str">
        <f>IF(AND(ISNUMBER(R221),ISNUMBER(S221)),IF(R221=S221,"日内",""),"")</f>
        <v/>
      </c>
      <c r="AA221" s="42" t="str">
        <f>IF(Z221&lt;&gt;"日内","",COUNTIFS($Z$5:$Z$304,"日内",$S$5:$S$304,"&gt;"&amp;WORKDAY(S221,-5),$S$5:$S$304,"&lt;="&amp;S221))</f>
        <v/>
      </c>
      <c r="AB221" s="41" t="str">
        <f>IF(OR(NOT(ISNUMBER(M221)),NOT(ISNUMBER(R221))),"",IF(AND(M221&gt;=R221,OR(NOT(ISNUMBER(S221)),M221&lt;=S221)),"持仓跨财报",""))</f>
        <v/>
      </c>
      <c r="AC221" s="20">
        <f>IF(AND(E221="空",ISNUMBER(O221),ISNUMBER(S221)),ROUND(O221*(S221-R221)/360*V221*U221,2),0)</f>
        <v>0</v>
      </c>
      <c r="AD221" s="43" t="str">
        <f>IF(N(U221)=0,"",SUMIFS('成交明细'!$L$5:$L$804,'成交明细'!$A$5:$A$804,A221)+AC221)</f>
        <v/>
      </c>
      <c r="AE221" s="44" t="str">
        <f>IF(Y221&lt;&gt;"已平仓","",(SUMIFS('成交明细'!$H$5:$H$804,'成交明细'!$A$5:$A$804,A221,'成交明细'!$D$5:$D$804,"卖")-SUMIFS('成交明细'!$H$5:$H$804,'成交明细'!$A$5:$A$804,A221,'成交明细'!$D$5:$D$804,"买"))*1-AD221)</f>
        <v/>
      </c>
      <c r="AF221" s="45" t="str">
        <f>IF(AND(Y221="已平仓",ISNUMBER(L221)),(SUMIFS('成交明细'!$H$5:$H$804,'成交明细'!$A$5:$A$804,A221,'成交明细'!$D$5:$D$804,"卖")-SUMIFS('成交明细'!$H$5:$H$804,'成交明细'!$A$5:$A$804,A221,'成交明细'!$D$5:$D$804,"买"))*1/L221,"")</f>
        <v/>
      </c>
      <c r="AG221" s="45" t="str">
        <f>IF(AND(Y221="已平仓",ISNUMBER(L221)),AE221/L221,"")</f>
        <v/>
      </c>
      <c r="AH221" s="46" t="str">
        <f>IF(AND(ISNUMBER(V221),ISNUMBER(F221)),IF(E221="空",F221-V221,V221-F221),"")</f>
        <v/>
      </c>
      <c r="AI221" s="46" t="str">
        <f>IF(OR(NOT(ISNUMBER(AE221)),NOT(ISNUMBER(X221))),"",IF(AE221&lt;0,IF(E221="空",X221-G221,G221-X221),IF(NOT(ISNUMBER(H221)),"",IF(E221="空",X221-H221,H221-X221))))</f>
        <v/>
      </c>
      <c r="AJ221" s="32" t="n"/>
      <c r="AK221" s="32" t="n"/>
      <c r="AL221" s="31" t="n"/>
      <c r="AM221" s="45" t="str">
        <f>IF(A221="","",SUM(AG$5:AG221))</f>
        <v/>
      </c>
      <c r="AN221" s="37" t="str">
        <f>IF(A221="","",MAX(0,MAX(AM$5:AM221))-AM221)</f>
        <v/>
      </c>
    </row>
    <row r="222">
      <c r="A222" s="29" t="n"/>
      <c r="B222" s="30" t="n"/>
      <c r="C222" s="31" t="n"/>
      <c r="D222" s="32" t="n"/>
      <c r="E222" s="32" t="n"/>
      <c r="F222" s="33" t="n"/>
      <c r="G222" s="33" t="n"/>
      <c r="H222" s="33" t="n"/>
      <c r="I222" s="34" t="str">
        <f>IF(AND(ISNUMBER(F222),ISNUMBER(G222),ISNUMBER(H222)),IF(OR(AND(E222="多",F222&gt;G222),AND(E222="空",F222&lt;G222)),ABS(H222-F222)/ABS(F222-G222),"止损方向不对"),"")</f>
        <v/>
      </c>
      <c r="J222" s="35" t="str">
        <f>IF(AND(ISNUMBER(F222),ISNUMBER(G222)),IF(F222=G222,"",IF(INT(ROUND('参数'!$C$7/(ABS(F222-G222)*1+2*'参数'!$C$11+N('参数'!$C$14)*F222+N('参数'!$C$15))/1,6))*1&gt;0,INT(ROUND('参数'!$C$7/(ABS(F222-G222)*1+2*'参数'!$C$11+N('参数'!$C$14)*F222+N('参数'!$C$15))/1,6))*1,"预算不足，这笔不做")),"")</f>
        <v/>
      </c>
      <c r="K222" s="36" t="n"/>
      <c r="L222" s="20" t="str">
        <f>IF(AND(ISNUMBER(F222),ISNUMBER(G222),ISNUMBER(K222)),IF(AND(F222&lt;&gt;G222,K222&gt;0),ABS(F222-G222)*K222*1,""),"")</f>
        <v/>
      </c>
      <c r="M222" s="30" t="n"/>
      <c r="N222" s="37" t="str">
        <f>IF(AND(ISNUMBER(L222),ISNUMBER(M222)),IF(E222="空",(G222*(1+'参数'!$C$17)-F222),(F222-G222*(1-'参数'!$C$17)))*K222/L222,"")</f>
        <v/>
      </c>
      <c r="O222" s="38" t="n"/>
      <c r="P222" s="31" t="n"/>
      <c r="Q222" s="32" t="n"/>
      <c r="R222" s="39" t="str">
        <f>IF(N(U222)&gt;0,SUMPRODUCT(LARGE(('成交明细'!$A$5:$A$804=A222)*('成交明细'!$D$5:$D$804=IF(E222="空","卖","买"))*'成交明细'!$B$5:$B$804,COUNTIFS('成交明细'!$A$5:$A$804,A222,'成交明细'!$D$5:$D$804,IF(E222="空","卖","买")))),"")</f>
        <v/>
      </c>
      <c r="S222" s="39" t="str">
        <f>IF(AND(N(U222)&gt;0,N(W222)&gt;=N(U222)),SUMPRODUCT(MAX(('成交明细'!$A$5:$A$804=A222)*('成交明细'!$D$5:$D$804=IF(E222="空","买","卖"))*'成交明细'!$B$5:$B$804)),"")</f>
        <v/>
      </c>
      <c r="T222" s="32" t="n"/>
      <c r="U222" s="35" t="str">
        <f>IF(A222="","",SUMIFS('成交明细'!$F$5:$F$804,'成交明细'!$A$5:$A$804,A222,'成交明细'!$D$5:$D$804,IF(E222="空","卖","买")))</f>
        <v/>
      </c>
      <c r="V222" s="40" t="str">
        <f>IF(N(U222)&gt;0,SUMIFS('成交明细'!$H$5:$H$804,'成交明细'!$A$5:$A$804,A222,'成交明细'!$D$5:$D$804,IF(E222="空","卖","买"))/U222,"")</f>
        <v/>
      </c>
      <c r="W222" s="35" t="str">
        <f>IF(A222="","",SUMIFS('成交明细'!$F$5:$F$804,'成交明细'!$A$5:$A$804,A222,'成交明细'!$D$5:$D$804,IF(E222="空","买","卖")))</f>
        <v/>
      </c>
      <c r="X222" s="40" t="str">
        <f>IF(N(W222)&gt;0,SUMIFS('成交明细'!$H$5:$H$804,'成交明细'!$A$5:$A$804,A222,'成交明细'!$D$5:$D$804,IF(E222="空","买","卖"))/W222,"")</f>
        <v/>
      </c>
      <c r="Y222" s="41" t="str">
        <f>IF(A222="","",IF(Q222&lt;&gt;"已执行",IF(Q222="","未填执行情况",Q222),IF(N(U222)=0,"待录成交",IF(N(W222)&gt;N(U222),"平仓多于开仓",IF(N(W222)&lt;N(U222),"持仓中","已平仓")))))</f>
        <v/>
      </c>
      <c r="Z222" s="41" t="str">
        <f>IF(AND(ISNUMBER(R222),ISNUMBER(S222)),IF(R222=S222,"日内",""),"")</f>
        <v/>
      </c>
      <c r="AA222" s="42" t="str">
        <f>IF(Z222&lt;&gt;"日内","",COUNTIFS($Z$5:$Z$304,"日内",$S$5:$S$304,"&gt;"&amp;WORKDAY(S222,-5),$S$5:$S$304,"&lt;="&amp;S222))</f>
        <v/>
      </c>
      <c r="AB222" s="41" t="str">
        <f>IF(OR(NOT(ISNUMBER(M222)),NOT(ISNUMBER(R222))),"",IF(AND(M222&gt;=R222,OR(NOT(ISNUMBER(S222)),M222&lt;=S222)),"持仓跨财报",""))</f>
        <v/>
      </c>
      <c r="AC222" s="20">
        <f>IF(AND(E222="空",ISNUMBER(O222),ISNUMBER(S222)),ROUND(O222*(S222-R222)/360*V222*U222,2),0)</f>
        <v>0</v>
      </c>
      <c r="AD222" s="43" t="str">
        <f>IF(N(U222)=0,"",SUMIFS('成交明细'!$L$5:$L$804,'成交明细'!$A$5:$A$804,A222)+AC222)</f>
        <v/>
      </c>
      <c r="AE222" s="44" t="str">
        <f>IF(Y222&lt;&gt;"已平仓","",(SUMIFS('成交明细'!$H$5:$H$804,'成交明细'!$A$5:$A$804,A222,'成交明细'!$D$5:$D$804,"卖")-SUMIFS('成交明细'!$H$5:$H$804,'成交明细'!$A$5:$A$804,A222,'成交明细'!$D$5:$D$804,"买"))*1-AD222)</f>
        <v/>
      </c>
      <c r="AF222" s="45" t="str">
        <f>IF(AND(Y222="已平仓",ISNUMBER(L222)),(SUMIFS('成交明细'!$H$5:$H$804,'成交明细'!$A$5:$A$804,A222,'成交明细'!$D$5:$D$804,"卖")-SUMIFS('成交明细'!$H$5:$H$804,'成交明细'!$A$5:$A$804,A222,'成交明细'!$D$5:$D$804,"买"))*1/L222,"")</f>
        <v/>
      </c>
      <c r="AG222" s="45" t="str">
        <f>IF(AND(Y222="已平仓",ISNUMBER(L222)),AE222/L222,"")</f>
        <v/>
      </c>
      <c r="AH222" s="46" t="str">
        <f>IF(AND(ISNUMBER(V222),ISNUMBER(F222)),IF(E222="空",F222-V222,V222-F222),"")</f>
        <v/>
      </c>
      <c r="AI222" s="46" t="str">
        <f>IF(OR(NOT(ISNUMBER(AE222)),NOT(ISNUMBER(X222))),"",IF(AE222&lt;0,IF(E222="空",X222-G222,G222-X222),IF(NOT(ISNUMBER(H222)),"",IF(E222="空",X222-H222,H222-X222))))</f>
        <v/>
      </c>
      <c r="AJ222" s="32" t="n"/>
      <c r="AK222" s="32" t="n"/>
      <c r="AL222" s="31" t="n"/>
      <c r="AM222" s="45" t="str">
        <f>IF(A222="","",SUM(AG$5:AG222))</f>
        <v/>
      </c>
      <c r="AN222" s="37" t="str">
        <f>IF(A222="","",MAX(0,MAX(AM$5:AM222))-AM222)</f>
        <v/>
      </c>
    </row>
    <row r="223">
      <c r="A223" s="29" t="n"/>
      <c r="B223" s="30" t="n"/>
      <c r="C223" s="31" t="n"/>
      <c r="D223" s="32" t="n"/>
      <c r="E223" s="32" t="n"/>
      <c r="F223" s="33" t="n"/>
      <c r="G223" s="33" t="n"/>
      <c r="H223" s="33" t="n"/>
      <c r="I223" s="34" t="str">
        <f>IF(AND(ISNUMBER(F223),ISNUMBER(G223),ISNUMBER(H223)),IF(OR(AND(E223="多",F223&gt;G223),AND(E223="空",F223&lt;G223)),ABS(H223-F223)/ABS(F223-G223),"止损方向不对"),"")</f>
        <v/>
      </c>
      <c r="J223" s="35" t="str">
        <f>IF(AND(ISNUMBER(F223),ISNUMBER(G223)),IF(F223=G223,"",IF(INT(ROUND('参数'!$C$7/(ABS(F223-G223)*1+2*'参数'!$C$11+N('参数'!$C$14)*F223+N('参数'!$C$15))/1,6))*1&gt;0,INT(ROUND('参数'!$C$7/(ABS(F223-G223)*1+2*'参数'!$C$11+N('参数'!$C$14)*F223+N('参数'!$C$15))/1,6))*1,"预算不足，这笔不做")),"")</f>
        <v/>
      </c>
      <c r="K223" s="36" t="n"/>
      <c r="L223" s="20" t="str">
        <f>IF(AND(ISNUMBER(F223),ISNUMBER(G223),ISNUMBER(K223)),IF(AND(F223&lt;&gt;G223,K223&gt;0),ABS(F223-G223)*K223*1,""),"")</f>
        <v/>
      </c>
      <c r="M223" s="30" t="n"/>
      <c r="N223" s="37" t="str">
        <f>IF(AND(ISNUMBER(L223),ISNUMBER(M223)),IF(E223="空",(G223*(1+'参数'!$C$17)-F223),(F223-G223*(1-'参数'!$C$17)))*K223/L223,"")</f>
        <v/>
      </c>
      <c r="O223" s="38" t="n"/>
      <c r="P223" s="31" t="n"/>
      <c r="Q223" s="32" t="n"/>
      <c r="R223" s="39" t="str">
        <f>IF(N(U223)&gt;0,SUMPRODUCT(LARGE(('成交明细'!$A$5:$A$804=A223)*('成交明细'!$D$5:$D$804=IF(E223="空","卖","买"))*'成交明细'!$B$5:$B$804,COUNTIFS('成交明细'!$A$5:$A$804,A223,'成交明细'!$D$5:$D$804,IF(E223="空","卖","买")))),"")</f>
        <v/>
      </c>
      <c r="S223" s="39" t="str">
        <f>IF(AND(N(U223)&gt;0,N(W223)&gt;=N(U223)),SUMPRODUCT(MAX(('成交明细'!$A$5:$A$804=A223)*('成交明细'!$D$5:$D$804=IF(E223="空","买","卖"))*'成交明细'!$B$5:$B$804)),"")</f>
        <v/>
      </c>
      <c r="T223" s="32" t="n"/>
      <c r="U223" s="35" t="str">
        <f>IF(A223="","",SUMIFS('成交明细'!$F$5:$F$804,'成交明细'!$A$5:$A$804,A223,'成交明细'!$D$5:$D$804,IF(E223="空","卖","买")))</f>
        <v/>
      </c>
      <c r="V223" s="40" t="str">
        <f>IF(N(U223)&gt;0,SUMIFS('成交明细'!$H$5:$H$804,'成交明细'!$A$5:$A$804,A223,'成交明细'!$D$5:$D$804,IF(E223="空","卖","买"))/U223,"")</f>
        <v/>
      </c>
      <c r="W223" s="35" t="str">
        <f>IF(A223="","",SUMIFS('成交明细'!$F$5:$F$804,'成交明细'!$A$5:$A$804,A223,'成交明细'!$D$5:$D$804,IF(E223="空","买","卖")))</f>
        <v/>
      </c>
      <c r="X223" s="40" t="str">
        <f>IF(N(W223)&gt;0,SUMIFS('成交明细'!$H$5:$H$804,'成交明细'!$A$5:$A$804,A223,'成交明细'!$D$5:$D$804,IF(E223="空","买","卖"))/W223,"")</f>
        <v/>
      </c>
      <c r="Y223" s="41" t="str">
        <f>IF(A223="","",IF(Q223&lt;&gt;"已执行",IF(Q223="","未填执行情况",Q223),IF(N(U223)=0,"待录成交",IF(N(W223)&gt;N(U223),"平仓多于开仓",IF(N(W223)&lt;N(U223),"持仓中","已平仓")))))</f>
        <v/>
      </c>
      <c r="Z223" s="41" t="str">
        <f>IF(AND(ISNUMBER(R223),ISNUMBER(S223)),IF(R223=S223,"日内",""),"")</f>
        <v/>
      </c>
      <c r="AA223" s="42" t="str">
        <f>IF(Z223&lt;&gt;"日内","",COUNTIFS($Z$5:$Z$304,"日内",$S$5:$S$304,"&gt;"&amp;WORKDAY(S223,-5),$S$5:$S$304,"&lt;="&amp;S223))</f>
        <v/>
      </c>
      <c r="AB223" s="41" t="str">
        <f>IF(OR(NOT(ISNUMBER(M223)),NOT(ISNUMBER(R223))),"",IF(AND(M223&gt;=R223,OR(NOT(ISNUMBER(S223)),M223&lt;=S223)),"持仓跨财报",""))</f>
        <v/>
      </c>
      <c r="AC223" s="20">
        <f>IF(AND(E223="空",ISNUMBER(O223),ISNUMBER(S223)),ROUND(O223*(S223-R223)/360*V223*U223,2),0)</f>
        <v>0</v>
      </c>
      <c r="AD223" s="43" t="str">
        <f>IF(N(U223)=0,"",SUMIFS('成交明细'!$L$5:$L$804,'成交明细'!$A$5:$A$804,A223)+AC223)</f>
        <v/>
      </c>
      <c r="AE223" s="44" t="str">
        <f>IF(Y223&lt;&gt;"已平仓","",(SUMIFS('成交明细'!$H$5:$H$804,'成交明细'!$A$5:$A$804,A223,'成交明细'!$D$5:$D$804,"卖")-SUMIFS('成交明细'!$H$5:$H$804,'成交明细'!$A$5:$A$804,A223,'成交明细'!$D$5:$D$804,"买"))*1-AD223)</f>
        <v/>
      </c>
      <c r="AF223" s="45" t="str">
        <f>IF(AND(Y223="已平仓",ISNUMBER(L223)),(SUMIFS('成交明细'!$H$5:$H$804,'成交明细'!$A$5:$A$804,A223,'成交明细'!$D$5:$D$804,"卖")-SUMIFS('成交明细'!$H$5:$H$804,'成交明细'!$A$5:$A$804,A223,'成交明细'!$D$5:$D$804,"买"))*1/L223,"")</f>
        <v/>
      </c>
      <c r="AG223" s="45" t="str">
        <f>IF(AND(Y223="已平仓",ISNUMBER(L223)),AE223/L223,"")</f>
        <v/>
      </c>
      <c r="AH223" s="46" t="str">
        <f>IF(AND(ISNUMBER(V223),ISNUMBER(F223)),IF(E223="空",F223-V223,V223-F223),"")</f>
        <v/>
      </c>
      <c r="AI223" s="46" t="str">
        <f>IF(OR(NOT(ISNUMBER(AE223)),NOT(ISNUMBER(X223))),"",IF(AE223&lt;0,IF(E223="空",X223-G223,G223-X223),IF(NOT(ISNUMBER(H223)),"",IF(E223="空",X223-H223,H223-X223))))</f>
        <v/>
      </c>
      <c r="AJ223" s="32" t="n"/>
      <c r="AK223" s="32" t="n"/>
      <c r="AL223" s="31" t="n"/>
      <c r="AM223" s="45" t="str">
        <f>IF(A223="","",SUM(AG$5:AG223))</f>
        <v/>
      </c>
      <c r="AN223" s="37" t="str">
        <f>IF(A223="","",MAX(0,MAX(AM$5:AM223))-AM223)</f>
        <v/>
      </c>
    </row>
    <row r="224">
      <c r="A224" s="29" t="n"/>
      <c r="B224" s="30" t="n"/>
      <c r="C224" s="31" t="n"/>
      <c r="D224" s="32" t="n"/>
      <c r="E224" s="32" t="n"/>
      <c r="F224" s="33" t="n"/>
      <c r="G224" s="33" t="n"/>
      <c r="H224" s="33" t="n"/>
      <c r="I224" s="34" t="str">
        <f>IF(AND(ISNUMBER(F224),ISNUMBER(G224),ISNUMBER(H224)),IF(OR(AND(E224="多",F224&gt;G224),AND(E224="空",F224&lt;G224)),ABS(H224-F224)/ABS(F224-G224),"止损方向不对"),"")</f>
        <v/>
      </c>
      <c r="J224" s="35" t="str">
        <f>IF(AND(ISNUMBER(F224),ISNUMBER(G224)),IF(F224=G224,"",IF(INT(ROUND('参数'!$C$7/(ABS(F224-G224)*1+2*'参数'!$C$11+N('参数'!$C$14)*F224+N('参数'!$C$15))/1,6))*1&gt;0,INT(ROUND('参数'!$C$7/(ABS(F224-G224)*1+2*'参数'!$C$11+N('参数'!$C$14)*F224+N('参数'!$C$15))/1,6))*1,"预算不足，这笔不做")),"")</f>
        <v/>
      </c>
      <c r="K224" s="36" t="n"/>
      <c r="L224" s="20" t="str">
        <f>IF(AND(ISNUMBER(F224),ISNUMBER(G224),ISNUMBER(K224)),IF(AND(F224&lt;&gt;G224,K224&gt;0),ABS(F224-G224)*K224*1,""),"")</f>
        <v/>
      </c>
      <c r="M224" s="30" t="n"/>
      <c r="N224" s="37" t="str">
        <f>IF(AND(ISNUMBER(L224),ISNUMBER(M224)),IF(E224="空",(G224*(1+'参数'!$C$17)-F224),(F224-G224*(1-'参数'!$C$17)))*K224/L224,"")</f>
        <v/>
      </c>
      <c r="O224" s="38" t="n"/>
      <c r="P224" s="31" t="n"/>
      <c r="Q224" s="32" t="n"/>
      <c r="R224" s="39" t="str">
        <f>IF(N(U224)&gt;0,SUMPRODUCT(LARGE(('成交明细'!$A$5:$A$804=A224)*('成交明细'!$D$5:$D$804=IF(E224="空","卖","买"))*'成交明细'!$B$5:$B$804,COUNTIFS('成交明细'!$A$5:$A$804,A224,'成交明细'!$D$5:$D$804,IF(E224="空","卖","买")))),"")</f>
        <v/>
      </c>
      <c r="S224" s="39" t="str">
        <f>IF(AND(N(U224)&gt;0,N(W224)&gt;=N(U224)),SUMPRODUCT(MAX(('成交明细'!$A$5:$A$804=A224)*('成交明细'!$D$5:$D$804=IF(E224="空","买","卖"))*'成交明细'!$B$5:$B$804)),"")</f>
        <v/>
      </c>
      <c r="T224" s="32" t="n"/>
      <c r="U224" s="35" t="str">
        <f>IF(A224="","",SUMIFS('成交明细'!$F$5:$F$804,'成交明细'!$A$5:$A$804,A224,'成交明细'!$D$5:$D$804,IF(E224="空","卖","买")))</f>
        <v/>
      </c>
      <c r="V224" s="40" t="str">
        <f>IF(N(U224)&gt;0,SUMIFS('成交明细'!$H$5:$H$804,'成交明细'!$A$5:$A$804,A224,'成交明细'!$D$5:$D$804,IF(E224="空","卖","买"))/U224,"")</f>
        <v/>
      </c>
      <c r="W224" s="35" t="str">
        <f>IF(A224="","",SUMIFS('成交明细'!$F$5:$F$804,'成交明细'!$A$5:$A$804,A224,'成交明细'!$D$5:$D$804,IF(E224="空","买","卖")))</f>
        <v/>
      </c>
      <c r="X224" s="40" t="str">
        <f>IF(N(W224)&gt;0,SUMIFS('成交明细'!$H$5:$H$804,'成交明细'!$A$5:$A$804,A224,'成交明细'!$D$5:$D$804,IF(E224="空","买","卖"))/W224,"")</f>
        <v/>
      </c>
      <c r="Y224" s="41" t="str">
        <f>IF(A224="","",IF(Q224&lt;&gt;"已执行",IF(Q224="","未填执行情况",Q224),IF(N(U224)=0,"待录成交",IF(N(W224)&gt;N(U224),"平仓多于开仓",IF(N(W224)&lt;N(U224),"持仓中","已平仓")))))</f>
        <v/>
      </c>
      <c r="Z224" s="41" t="str">
        <f>IF(AND(ISNUMBER(R224),ISNUMBER(S224)),IF(R224=S224,"日内",""),"")</f>
        <v/>
      </c>
      <c r="AA224" s="42" t="str">
        <f>IF(Z224&lt;&gt;"日内","",COUNTIFS($Z$5:$Z$304,"日内",$S$5:$S$304,"&gt;"&amp;WORKDAY(S224,-5),$S$5:$S$304,"&lt;="&amp;S224))</f>
        <v/>
      </c>
      <c r="AB224" s="41" t="str">
        <f>IF(OR(NOT(ISNUMBER(M224)),NOT(ISNUMBER(R224))),"",IF(AND(M224&gt;=R224,OR(NOT(ISNUMBER(S224)),M224&lt;=S224)),"持仓跨财报",""))</f>
        <v/>
      </c>
      <c r="AC224" s="20">
        <f>IF(AND(E224="空",ISNUMBER(O224),ISNUMBER(S224)),ROUND(O224*(S224-R224)/360*V224*U224,2),0)</f>
        <v>0</v>
      </c>
      <c r="AD224" s="43" t="str">
        <f>IF(N(U224)=0,"",SUMIFS('成交明细'!$L$5:$L$804,'成交明细'!$A$5:$A$804,A224)+AC224)</f>
        <v/>
      </c>
      <c r="AE224" s="44" t="str">
        <f>IF(Y224&lt;&gt;"已平仓","",(SUMIFS('成交明细'!$H$5:$H$804,'成交明细'!$A$5:$A$804,A224,'成交明细'!$D$5:$D$804,"卖")-SUMIFS('成交明细'!$H$5:$H$804,'成交明细'!$A$5:$A$804,A224,'成交明细'!$D$5:$D$804,"买"))*1-AD224)</f>
        <v/>
      </c>
      <c r="AF224" s="45" t="str">
        <f>IF(AND(Y224="已平仓",ISNUMBER(L224)),(SUMIFS('成交明细'!$H$5:$H$804,'成交明细'!$A$5:$A$804,A224,'成交明细'!$D$5:$D$804,"卖")-SUMIFS('成交明细'!$H$5:$H$804,'成交明细'!$A$5:$A$804,A224,'成交明细'!$D$5:$D$804,"买"))*1/L224,"")</f>
        <v/>
      </c>
      <c r="AG224" s="45" t="str">
        <f>IF(AND(Y224="已平仓",ISNUMBER(L224)),AE224/L224,"")</f>
        <v/>
      </c>
      <c r="AH224" s="46" t="str">
        <f>IF(AND(ISNUMBER(V224),ISNUMBER(F224)),IF(E224="空",F224-V224,V224-F224),"")</f>
        <v/>
      </c>
      <c r="AI224" s="46" t="str">
        <f>IF(OR(NOT(ISNUMBER(AE224)),NOT(ISNUMBER(X224))),"",IF(AE224&lt;0,IF(E224="空",X224-G224,G224-X224),IF(NOT(ISNUMBER(H224)),"",IF(E224="空",X224-H224,H224-X224))))</f>
        <v/>
      </c>
      <c r="AJ224" s="32" t="n"/>
      <c r="AK224" s="32" t="n"/>
      <c r="AL224" s="31" t="n"/>
      <c r="AM224" s="45" t="str">
        <f>IF(A224="","",SUM(AG$5:AG224))</f>
        <v/>
      </c>
      <c r="AN224" s="37" t="str">
        <f>IF(A224="","",MAX(0,MAX(AM$5:AM224))-AM224)</f>
        <v/>
      </c>
    </row>
    <row r="225">
      <c r="A225" s="29" t="n"/>
      <c r="B225" s="30" t="n"/>
      <c r="C225" s="31" t="n"/>
      <c r="D225" s="32" t="n"/>
      <c r="E225" s="32" t="n"/>
      <c r="F225" s="33" t="n"/>
      <c r="G225" s="33" t="n"/>
      <c r="H225" s="33" t="n"/>
      <c r="I225" s="34" t="str">
        <f>IF(AND(ISNUMBER(F225),ISNUMBER(G225),ISNUMBER(H225)),IF(OR(AND(E225="多",F225&gt;G225),AND(E225="空",F225&lt;G225)),ABS(H225-F225)/ABS(F225-G225),"止损方向不对"),"")</f>
        <v/>
      </c>
      <c r="J225" s="35" t="str">
        <f>IF(AND(ISNUMBER(F225),ISNUMBER(G225)),IF(F225=G225,"",IF(INT(ROUND('参数'!$C$7/(ABS(F225-G225)*1+2*'参数'!$C$11+N('参数'!$C$14)*F225+N('参数'!$C$15))/1,6))*1&gt;0,INT(ROUND('参数'!$C$7/(ABS(F225-G225)*1+2*'参数'!$C$11+N('参数'!$C$14)*F225+N('参数'!$C$15))/1,6))*1,"预算不足，这笔不做")),"")</f>
        <v/>
      </c>
      <c r="K225" s="36" t="n"/>
      <c r="L225" s="20" t="str">
        <f>IF(AND(ISNUMBER(F225),ISNUMBER(G225),ISNUMBER(K225)),IF(AND(F225&lt;&gt;G225,K225&gt;0),ABS(F225-G225)*K225*1,""),"")</f>
        <v/>
      </c>
      <c r="M225" s="30" t="n"/>
      <c r="N225" s="37" t="str">
        <f>IF(AND(ISNUMBER(L225),ISNUMBER(M225)),IF(E225="空",(G225*(1+'参数'!$C$17)-F225),(F225-G225*(1-'参数'!$C$17)))*K225/L225,"")</f>
        <v/>
      </c>
      <c r="O225" s="38" t="n"/>
      <c r="P225" s="31" t="n"/>
      <c r="Q225" s="32" t="n"/>
      <c r="R225" s="39" t="str">
        <f>IF(N(U225)&gt;0,SUMPRODUCT(LARGE(('成交明细'!$A$5:$A$804=A225)*('成交明细'!$D$5:$D$804=IF(E225="空","卖","买"))*'成交明细'!$B$5:$B$804,COUNTIFS('成交明细'!$A$5:$A$804,A225,'成交明细'!$D$5:$D$804,IF(E225="空","卖","买")))),"")</f>
        <v/>
      </c>
      <c r="S225" s="39" t="str">
        <f>IF(AND(N(U225)&gt;0,N(W225)&gt;=N(U225)),SUMPRODUCT(MAX(('成交明细'!$A$5:$A$804=A225)*('成交明细'!$D$5:$D$804=IF(E225="空","买","卖"))*'成交明细'!$B$5:$B$804)),"")</f>
        <v/>
      </c>
      <c r="T225" s="32" t="n"/>
      <c r="U225" s="35" t="str">
        <f>IF(A225="","",SUMIFS('成交明细'!$F$5:$F$804,'成交明细'!$A$5:$A$804,A225,'成交明细'!$D$5:$D$804,IF(E225="空","卖","买")))</f>
        <v/>
      </c>
      <c r="V225" s="40" t="str">
        <f>IF(N(U225)&gt;0,SUMIFS('成交明细'!$H$5:$H$804,'成交明细'!$A$5:$A$804,A225,'成交明细'!$D$5:$D$804,IF(E225="空","卖","买"))/U225,"")</f>
        <v/>
      </c>
      <c r="W225" s="35" t="str">
        <f>IF(A225="","",SUMIFS('成交明细'!$F$5:$F$804,'成交明细'!$A$5:$A$804,A225,'成交明细'!$D$5:$D$804,IF(E225="空","买","卖")))</f>
        <v/>
      </c>
      <c r="X225" s="40" t="str">
        <f>IF(N(W225)&gt;0,SUMIFS('成交明细'!$H$5:$H$804,'成交明细'!$A$5:$A$804,A225,'成交明细'!$D$5:$D$804,IF(E225="空","买","卖"))/W225,"")</f>
        <v/>
      </c>
      <c r="Y225" s="41" t="str">
        <f>IF(A225="","",IF(Q225&lt;&gt;"已执行",IF(Q225="","未填执行情况",Q225),IF(N(U225)=0,"待录成交",IF(N(W225)&gt;N(U225),"平仓多于开仓",IF(N(W225)&lt;N(U225),"持仓中","已平仓")))))</f>
        <v/>
      </c>
      <c r="Z225" s="41" t="str">
        <f>IF(AND(ISNUMBER(R225),ISNUMBER(S225)),IF(R225=S225,"日内",""),"")</f>
        <v/>
      </c>
      <c r="AA225" s="42" t="str">
        <f>IF(Z225&lt;&gt;"日内","",COUNTIFS($Z$5:$Z$304,"日内",$S$5:$S$304,"&gt;"&amp;WORKDAY(S225,-5),$S$5:$S$304,"&lt;="&amp;S225))</f>
        <v/>
      </c>
      <c r="AB225" s="41" t="str">
        <f>IF(OR(NOT(ISNUMBER(M225)),NOT(ISNUMBER(R225))),"",IF(AND(M225&gt;=R225,OR(NOT(ISNUMBER(S225)),M225&lt;=S225)),"持仓跨财报",""))</f>
        <v/>
      </c>
      <c r="AC225" s="20">
        <f>IF(AND(E225="空",ISNUMBER(O225),ISNUMBER(S225)),ROUND(O225*(S225-R225)/360*V225*U225,2),0)</f>
        <v>0</v>
      </c>
      <c r="AD225" s="43" t="str">
        <f>IF(N(U225)=0,"",SUMIFS('成交明细'!$L$5:$L$804,'成交明细'!$A$5:$A$804,A225)+AC225)</f>
        <v/>
      </c>
      <c r="AE225" s="44" t="str">
        <f>IF(Y225&lt;&gt;"已平仓","",(SUMIFS('成交明细'!$H$5:$H$804,'成交明细'!$A$5:$A$804,A225,'成交明细'!$D$5:$D$804,"卖")-SUMIFS('成交明细'!$H$5:$H$804,'成交明细'!$A$5:$A$804,A225,'成交明细'!$D$5:$D$804,"买"))*1-AD225)</f>
        <v/>
      </c>
      <c r="AF225" s="45" t="str">
        <f>IF(AND(Y225="已平仓",ISNUMBER(L225)),(SUMIFS('成交明细'!$H$5:$H$804,'成交明细'!$A$5:$A$804,A225,'成交明细'!$D$5:$D$804,"卖")-SUMIFS('成交明细'!$H$5:$H$804,'成交明细'!$A$5:$A$804,A225,'成交明细'!$D$5:$D$804,"买"))*1/L225,"")</f>
        <v/>
      </c>
      <c r="AG225" s="45" t="str">
        <f>IF(AND(Y225="已平仓",ISNUMBER(L225)),AE225/L225,"")</f>
        <v/>
      </c>
      <c r="AH225" s="46" t="str">
        <f>IF(AND(ISNUMBER(V225),ISNUMBER(F225)),IF(E225="空",F225-V225,V225-F225),"")</f>
        <v/>
      </c>
      <c r="AI225" s="46" t="str">
        <f>IF(OR(NOT(ISNUMBER(AE225)),NOT(ISNUMBER(X225))),"",IF(AE225&lt;0,IF(E225="空",X225-G225,G225-X225),IF(NOT(ISNUMBER(H225)),"",IF(E225="空",X225-H225,H225-X225))))</f>
        <v/>
      </c>
      <c r="AJ225" s="32" t="n"/>
      <c r="AK225" s="32" t="n"/>
      <c r="AL225" s="31" t="n"/>
      <c r="AM225" s="45" t="str">
        <f>IF(A225="","",SUM(AG$5:AG225))</f>
        <v/>
      </c>
      <c r="AN225" s="37" t="str">
        <f>IF(A225="","",MAX(0,MAX(AM$5:AM225))-AM225)</f>
        <v/>
      </c>
    </row>
    <row r="226">
      <c r="A226" s="29" t="n"/>
      <c r="B226" s="30" t="n"/>
      <c r="C226" s="31" t="n"/>
      <c r="D226" s="32" t="n"/>
      <c r="E226" s="32" t="n"/>
      <c r="F226" s="33" t="n"/>
      <c r="G226" s="33" t="n"/>
      <c r="H226" s="33" t="n"/>
      <c r="I226" s="34" t="str">
        <f>IF(AND(ISNUMBER(F226),ISNUMBER(G226),ISNUMBER(H226)),IF(OR(AND(E226="多",F226&gt;G226),AND(E226="空",F226&lt;G226)),ABS(H226-F226)/ABS(F226-G226),"止损方向不对"),"")</f>
        <v/>
      </c>
      <c r="J226" s="35" t="str">
        <f>IF(AND(ISNUMBER(F226),ISNUMBER(G226)),IF(F226=G226,"",IF(INT(ROUND('参数'!$C$7/(ABS(F226-G226)*1+2*'参数'!$C$11+N('参数'!$C$14)*F226+N('参数'!$C$15))/1,6))*1&gt;0,INT(ROUND('参数'!$C$7/(ABS(F226-G226)*1+2*'参数'!$C$11+N('参数'!$C$14)*F226+N('参数'!$C$15))/1,6))*1,"预算不足，这笔不做")),"")</f>
        <v/>
      </c>
      <c r="K226" s="36" t="n"/>
      <c r="L226" s="20" t="str">
        <f>IF(AND(ISNUMBER(F226),ISNUMBER(G226),ISNUMBER(K226)),IF(AND(F226&lt;&gt;G226,K226&gt;0),ABS(F226-G226)*K226*1,""),"")</f>
        <v/>
      </c>
      <c r="M226" s="30" t="n"/>
      <c r="N226" s="37" t="str">
        <f>IF(AND(ISNUMBER(L226),ISNUMBER(M226)),IF(E226="空",(G226*(1+'参数'!$C$17)-F226),(F226-G226*(1-'参数'!$C$17)))*K226/L226,"")</f>
        <v/>
      </c>
      <c r="O226" s="38" t="n"/>
      <c r="P226" s="31" t="n"/>
      <c r="Q226" s="32" t="n"/>
      <c r="R226" s="39" t="str">
        <f>IF(N(U226)&gt;0,SUMPRODUCT(LARGE(('成交明细'!$A$5:$A$804=A226)*('成交明细'!$D$5:$D$804=IF(E226="空","卖","买"))*'成交明细'!$B$5:$B$804,COUNTIFS('成交明细'!$A$5:$A$804,A226,'成交明细'!$D$5:$D$804,IF(E226="空","卖","买")))),"")</f>
        <v/>
      </c>
      <c r="S226" s="39" t="str">
        <f>IF(AND(N(U226)&gt;0,N(W226)&gt;=N(U226)),SUMPRODUCT(MAX(('成交明细'!$A$5:$A$804=A226)*('成交明细'!$D$5:$D$804=IF(E226="空","买","卖"))*'成交明细'!$B$5:$B$804)),"")</f>
        <v/>
      </c>
      <c r="T226" s="32" t="n"/>
      <c r="U226" s="35" t="str">
        <f>IF(A226="","",SUMIFS('成交明细'!$F$5:$F$804,'成交明细'!$A$5:$A$804,A226,'成交明细'!$D$5:$D$804,IF(E226="空","卖","买")))</f>
        <v/>
      </c>
      <c r="V226" s="40" t="str">
        <f>IF(N(U226)&gt;0,SUMIFS('成交明细'!$H$5:$H$804,'成交明细'!$A$5:$A$804,A226,'成交明细'!$D$5:$D$804,IF(E226="空","卖","买"))/U226,"")</f>
        <v/>
      </c>
      <c r="W226" s="35" t="str">
        <f>IF(A226="","",SUMIFS('成交明细'!$F$5:$F$804,'成交明细'!$A$5:$A$804,A226,'成交明细'!$D$5:$D$804,IF(E226="空","买","卖")))</f>
        <v/>
      </c>
      <c r="X226" s="40" t="str">
        <f>IF(N(W226)&gt;0,SUMIFS('成交明细'!$H$5:$H$804,'成交明细'!$A$5:$A$804,A226,'成交明细'!$D$5:$D$804,IF(E226="空","买","卖"))/W226,"")</f>
        <v/>
      </c>
      <c r="Y226" s="41" t="str">
        <f>IF(A226="","",IF(Q226&lt;&gt;"已执行",IF(Q226="","未填执行情况",Q226),IF(N(U226)=0,"待录成交",IF(N(W226)&gt;N(U226),"平仓多于开仓",IF(N(W226)&lt;N(U226),"持仓中","已平仓")))))</f>
        <v/>
      </c>
      <c r="Z226" s="41" t="str">
        <f>IF(AND(ISNUMBER(R226),ISNUMBER(S226)),IF(R226=S226,"日内",""),"")</f>
        <v/>
      </c>
      <c r="AA226" s="42" t="str">
        <f>IF(Z226&lt;&gt;"日内","",COUNTIFS($Z$5:$Z$304,"日内",$S$5:$S$304,"&gt;"&amp;WORKDAY(S226,-5),$S$5:$S$304,"&lt;="&amp;S226))</f>
        <v/>
      </c>
      <c r="AB226" s="41" t="str">
        <f>IF(OR(NOT(ISNUMBER(M226)),NOT(ISNUMBER(R226))),"",IF(AND(M226&gt;=R226,OR(NOT(ISNUMBER(S226)),M226&lt;=S226)),"持仓跨财报",""))</f>
        <v/>
      </c>
      <c r="AC226" s="20">
        <f>IF(AND(E226="空",ISNUMBER(O226),ISNUMBER(S226)),ROUND(O226*(S226-R226)/360*V226*U226,2),0)</f>
        <v>0</v>
      </c>
      <c r="AD226" s="43" t="str">
        <f>IF(N(U226)=0,"",SUMIFS('成交明细'!$L$5:$L$804,'成交明细'!$A$5:$A$804,A226)+AC226)</f>
        <v/>
      </c>
      <c r="AE226" s="44" t="str">
        <f>IF(Y226&lt;&gt;"已平仓","",(SUMIFS('成交明细'!$H$5:$H$804,'成交明细'!$A$5:$A$804,A226,'成交明细'!$D$5:$D$804,"卖")-SUMIFS('成交明细'!$H$5:$H$804,'成交明细'!$A$5:$A$804,A226,'成交明细'!$D$5:$D$804,"买"))*1-AD226)</f>
        <v/>
      </c>
      <c r="AF226" s="45" t="str">
        <f>IF(AND(Y226="已平仓",ISNUMBER(L226)),(SUMIFS('成交明细'!$H$5:$H$804,'成交明细'!$A$5:$A$804,A226,'成交明细'!$D$5:$D$804,"卖")-SUMIFS('成交明细'!$H$5:$H$804,'成交明细'!$A$5:$A$804,A226,'成交明细'!$D$5:$D$804,"买"))*1/L226,"")</f>
        <v/>
      </c>
      <c r="AG226" s="45" t="str">
        <f>IF(AND(Y226="已平仓",ISNUMBER(L226)),AE226/L226,"")</f>
        <v/>
      </c>
      <c r="AH226" s="46" t="str">
        <f>IF(AND(ISNUMBER(V226),ISNUMBER(F226)),IF(E226="空",F226-V226,V226-F226),"")</f>
        <v/>
      </c>
      <c r="AI226" s="46" t="str">
        <f>IF(OR(NOT(ISNUMBER(AE226)),NOT(ISNUMBER(X226))),"",IF(AE226&lt;0,IF(E226="空",X226-G226,G226-X226),IF(NOT(ISNUMBER(H226)),"",IF(E226="空",X226-H226,H226-X226))))</f>
        <v/>
      </c>
      <c r="AJ226" s="32" t="n"/>
      <c r="AK226" s="32" t="n"/>
      <c r="AL226" s="31" t="n"/>
      <c r="AM226" s="45" t="str">
        <f>IF(A226="","",SUM(AG$5:AG226))</f>
        <v/>
      </c>
      <c r="AN226" s="37" t="str">
        <f>IF(A226="","",MAX(0,MAX(AM$5:AM226))-AM226)</f>
        <v/>
      </c>
    </row>
    <row r="227">
      <c r="A227" s="29" t="n"/>
      <c r="B227" s="30" t="n"/>
      <c r="C227" s="31" t="n"/>
      <c r="D227" s="32" t="n"/>
      <c r="E227" s="32" t="n"/>
      <c r="F227" s="33" t="n"/>
      <c r="G227" s="33" t="n"/>
      <c r="H227" s="33" t="n"/>
      <c r="I227" s="34" t="str">
        <f>IF(AND(ISNUMBER(F227),ISNUMBER(G227),ISNUMBER(H227)),IF(OR(AND(E227="多",F227&gt;G227),AND(E227="空",F227&lt;G227)),ABS(H227-F227)/ABS(F227-G227),"止损方向不对"),"")</f>
        <v/>
      </c>
      <c r="J227" s="35" t="str">
        <f>IF(AND(ISNUMBER(F227),ISNUMBER(G227)),IF(F227=G227,"",IF(INT(ROUND('参数'!$C$7/(ABS(F227-G227)*1+2*'参数'!$C$11+N('参数'!$C$14)*F227+N('参数'!$C$15))/1,6))*1&gt;0,INT(ROUND('参数'!$C$7/(ABS(F227-G227)*1+2*'参数'!$C$11+N('参数'!$C$14)*F227+N('参数'!$C$15))/1,6))*1,"预算不足，这笔不做")),"")</f>
        <v/>
      </c>
      <c r="K227" s="36" t="n"/>
      <c r="L227" s="20" t="str">
        <f>IF(AND(ISNUMBER(F227),ISNUMBER(G227),ISNUMBER(K227)),IF(AND(F227&lt;&gt;G227,K227&gt;0),ABS(F227-G227)*K227*1,""),"")</f>
        <v/>
      </c>
      <c r="M227" s="30" t="n"/>
      <c r="N227" s="37" t="str">
        <f>IF(AND(ISNUMBER(L227),ISNUMBER(M227)),IF(E227="空",(G227*(1+'参数'!$C$17)-F227),(F227-G227*(1-'参数'!$C$17)))*K227/L227,"")</f>
        <v/>
      </c>
      <c r="O227" s="38" t="n"/>
      <c r="P227" s="31" t="n"/>
      <c r="Q227" s="32" t="n"/>
      <c r="R227" s="39" t="str">
        <f>IF(N(U227)&gt;0,SUMPRODUCT(LARGE(('成交明细'!$A$5:$A$804=A227)*('成交明细'!$D$5:$D$804=IF(E227="空","卖","买"))*'成交明细'!$B$5:$B$804,COUNTIFS('成交明细'!$A$5:$A$804,A227,'成交明细'!$D$5:$D$804,IF(E227="空","卖","买")))),"")</f>
        <v/>
      </c>
      <c r="S227" s="39" t="str">
        <f>IF(AND(N(U227)&gt;0,N(W227)&gt;=N(U227)),SUMPRODUCT(MAX(('成交明细'!$A$5:$A$804=A227)*('成交明细'!$D$5:$D$804=IF(E227="空","买","卖"))*'成交明细'!$B$5:$B$804)),"")</f>
        <v/>
      </c>
      <c r="T227" s="32" t="n"/>
      <c r="U227" s="35" t="str">
        <f>IF(A227="","",SUMIFS('成交明细'!$F$5:$F$804,'成交明细'!$A$5:$A$804,A227,'成交明细'!$D$5:$D$804,IF(E227="空","卖","买")))</f>
        <v/>
      </c>
      <c r="V227" s="40" t="str">
        <f>IF(N(U227)&gt;0,SUMIFS('成交明细'!$H$5:$H$804,'成交明细'!$A$5:$A$804,A227,'成交明细'!$D$5:$D$804,IF(E227="空","卖","买"))/U227,"")</f>
        <v/>
      </c>
      <c r="W227" s="35" t="str">
        <f>IF(A227="","",SUMIFS('成交明细'!$F$5:$F$804,'成交明细'!$A$5:$A$804,A227,'成交明细'!$D$5:$D$804,IF(E227="空","买","卖")))</f>
        <v/>
      </c>
      <c r="X227" s="40" t="str">
        <f>IF(N(W227)&gt;0,SUMIFS('成交明细'!$H$5:$H$804,'成交明细'!$A$5:$A$804,A227,'成交明细'!$D$5:$D$804,IF(E227="空","买","卖"))/W227,"")</f>
        <v/>
      </c>
      <c r="Y227" s="41" t="str">
        <f>IF(A227="","",IF(Q227&lt;&gt;"已执行",IF(Q227="","未填执行情况",Q227),IF(N(U227)=0,"待录成交",IF(N(W227)&gt;N(U227),"平仓多于开仓",IF(N(W227)&lt;N(U227),"持仓中","已平仓")))))</f>
        <v/>
      </c>
      <c r="Z227" s="41" t="str">
        <f>IF(AND(ISNUMBER(R227),ISNUMBER(S227)),IF(R227=S227,"日内",""),"")</f>
        <v/>
      </c>
      <c r="AA227" s="42" t="str">
        <f>IF(Z227&lt;&gt;"日内","",COUNTIFS($Z$5:$Z$304,"日内",$S$5:$S$304,"&gt;"&amp;WORKDAY(S227,-5),$S$5:$S$304,"&lt;="&amp;S227))</f>
        <v/>
      </c>
      <c r="AB227" s="41" t="str">
        <f>IF(OR(NOT(ISNUMBER(M227)),NOT(ISNUMBER(R227))),"",IF(AND(M227&gt;=R227,OR(NOT(ISNUMBER(S227)),M227&lt;=S227)),"持仓跨财报",""))</f>
        <v/>
      </c>
      <c r="AC227" s="20">
        <f>IF(AND(E227="空",ISNUMBER(O227),ISNUMBER(S227)),ROUND(O227*(S227-R227)/360*V227*U227,2),0)</f>
        <v>0</v>
      </c>
      <c r="AD227" s="43" t="str">
        <f>IF(N(U227)=0,"",SUMIFS('成交明细'!$L$5:$L$804,'成交明细'!$A$5:$A$804,A227)+AC227)</f>
        <v/>
      </c>
      <c r="AE227" s="44" t="str">
        <f>IF(Y227&lt;&gt;"已平仓","",(SUMIFS('成交明细'!$H$5:$H$804,'成交明细'!$A$5:$A$804,A227,'成交明细'!$D$5:$D$804,"卖")-SUMIFS('成交明细'!$H$5:$H$804,'成交明细'!$A$5:$A$804,A227,'成交明细'!$D$5:$D$804,"买"))*1-AD227)</f>
        <v/>
      </c>
      <c r="AF227" s="45" t="str">
        <f>IF(AND(Y227="已平仓",ISNUMBER(L227)),(SUMIFS('成交明细'!$H$5:$H$804,'成交明细'!$A$5:$A$804,A227,'成交明细'!$D$5:$D$804,"卖")-SUMIFS('成交明细'!$H$5:$H$804,'成交明细'!$A$5:$A$804,A227,'成交明细'!$D$5:$D$804,"买"))*1/L227,"")</f>
        <v/>
      </c>
      <c r="AG227" s="45" t="str">
        <f>IF(AND(Y227="已平仓",ISNUMBER(L227)),AE227/L227,"")</f>
        <v/>
      </c>
      <c r="AH227" s="46" t="str">
        <f>IF(AND(ISNUMBER(V227),ISNUMBER(F227)),IF(E227="空",F227-V227,V227-F227),"")</f>
        <v/>
      </c>
      <c r="AI227" s="46" t="str">
        <f>IF(OR(NOT(ISNUMBER(AE227)),NOT(ISNUMBER(X227))),"",IF(AE227&lt;0,IF(E227="空",X227-G227,G227-X227),IF(NOT(ISNUMBER(H227)),"",IF(E227="空",X227-H227,H227-X227))))</f>
        <v/>
      </c>
      <c r="AJ227" s="32" t="n"/>
      <c r="AK227" s="32" t="n"/>
      <c r="AL227" s="31" t="n"/>
      <c r="AM227" s="45" t="str">
        <f>IF(A227="","",SUM(AG$5:AG227))</f>
        <v/>
      </c>
      <c r="AN227" s="37" t="str">
        <f>IF(A227="","",MAX(0,MAX(AM$5:AM227))-AM227)</f>
        <v/>
      </c>
    </row>
    <row r="228">
      <c r="A228" s="29" t="n"/>
      <c r="B228" s="30" t="n"/>
      <c r="C228" s="31" t="n"/>
      <c r="D228" s="32" t="n"/>
      <c r="E228" s="32" t="n"/>
      <c r="F228" s="33" t="n"/>
      <c r="G228" s="33" t="n"/>
      <c r="H228" s="33" t="n"/>
      <c r="I228" s="34" t="str">
        <f>IF(AND(ISNUMBER(F228),ISNUMBER(G228),ISNUMBER(H228)),IF(OR(AND(E228="多",F228&gt;G228),AND(E228="空",F228&lt;G228)),ABS(H228-F228)/ABS(F228-G228),"止损方向不对"),"")</f>
        <v/>
      </c>
      <c r="J228" s="35" t="str">
        <f>IF(AND(ISNUMBER(F228),ISNUMBER(G228)),IF(F228=G228,"",IF(INT(ROUND('参数'!$C$7/(ABS(F228-G228)*1+2*'参数'!$C$11+N('参数'!$C$14)*F228+N('参数'!$C$15))/1,6))*1&gt;0,INT(ROUND('参数'!$C$7/(ABS(F228-G228)*1+2*'参数'!$C$11+N('参数'!$C$14)*F228+N('参数'!$C$15))/1,6))*1,"预算不足，这笔不做")),"")</f>
        <v/>
      </c>
      <c r="K228" s="36" t="n"/>
      <c r="L228" s="20" t="str">
        <f>IF(AND(ISNUMBER(F228),ISNUMBER(G228),ISNUMBER(K228)),IF(AND(F228&lt;&gt;G228,K228&gt;0),ABS(F228-G228)*K228*1,""),"")</f>
        <v/>
      </c>
      <c r="M228" s="30" t="n"/>
      <c r="N228" s="37" t="str">
        <f>IF(AND(ISNUMBER(L228),ISNUMBER(M228)),IF(E228="空",(G228*(1+'参数'!$C$17)-F228),(F228-G228*(1-'参数'!$C$17)))*K228/L228,"")</f>
        <v/>
      </c>
      <c r="O228" s="38" t="n"/>
      <c r="P228" s="31" t="n"/>
      <c r="Q228" s="32" t="n"/>
      <c r="R228" s="39" t="str">
        <f>IF(N(U228)&gt;0,SUMPRODUCT(LARGE(('成交明细'!$A$5:$A$804=A228)*('成交明细'!$D$5:$D$804=IF(E228="空","卖","买"))*'成交明细'!$B$5:$B$804,COUNTIFS('成交明细'!$A$5:$A$804,A228,'成交明细'!$D$5:$D$804,IF(E228="空","卖","买")))),"")</f>
        <v/>
      </c>
      <c r="S228" s="39" t="str">
        <f>IF(AND(N(U228)&gt;0,N(W228)&gt;=N(U228)),SUMPRODUCT(MAX(('成交明细'!$A$5:$A$804=A228)*('成交明细'!$D$5:$D$804=IF(E228="空","买","卖"))*'成交明细'!$B$5:$B$804)),"")</f>
        <v/>
      </c>
      <c r="T228" s="32" t="n"/>
      <c r="U228" s="35" t="str">
        <f>IF(A228="","",SUMIFS('成交明细'!$F$5:$F$804,'成交明细'!$A$5:$A$804,A228,'成交明细'!$D$5:$D$804,IF(E228="空","卖","买")))</f>
        <v/>
      </c>
      <c r="V228" s="40" t="str">
        <f>IF(N(U228)&gt;0,SUMIFS('成交明细'!$H$5:$H$804,'成交明细'!$A$5:$A$804,A228,'成交明细'!$D$5:$D$804,IF(E228="空","卖","买"))/U228,"")</f>
        <v/>
      </c>
      <c r="W228" s="35" t="str">
        <f>IF(A228="","",SUMIFS('成交明细'!$F$5:$F$804,'成交明细'!$A$5:$A$804,A228,'成交明细'!$D$5:$D$804,IF(E228="空","买","卖")))</f>
        <v/>
      </c>
      <c r="X228" s="40" t="str">
        <f>IF(N(W228)&gt;0,SUMIFS('成交明细'!$H$5:$H$804,'成交明细'!$A$5:$A$804,A228,'成交明细'!$D$5:$D$804,IF(E228="空","买","卖"))/W228,"")</f>
        <v/>
      </c>
      <c r="Y228" s="41" t="str">
        <f>IF(A228="","",IF(Q228&lt;&gt;"已执行",IF(Q228="","未填执行情况",Q228),IF(N(U228)=0,"待录成交",IF(N(W228)&gt;N(U228),"平仓多于开仓",IF(N(W228)&lt;N(U228),"持仓中","已平仓")))))</f>
        <v/>
      </c>
      <c r="Z228" s="41" t="str">
        <f>IF(AND(ISNUMBER(R228),ISNUMBER(S228)),IF(R228=S228,"日内",""),"")</f>
        <v/>
      </c>
      <c r="AA228" s="42" t="str">
        <f>IF(Z228&lt;&gt;"日内","",COUNTIFS($Z$5:$Z$304,"日内",$S$5:$S$304,"&gt;"&amp;WORKDAY(S228,-5),$S$5:$S$304,"&lt;="&amp;S228))</f>
        <v/>
      </c>
      <c r="AB228" s="41" t="str">
        <f>IF(OR(NOT(ISNUMBER(M228)),NOT(ISNUMBER(R228))),"",IF(AND(M228&gt;=R228,OR(NOT(ISNUMBER(S228)),M228&lt;=S228)),"持仓跨财报",""))</f>
        <v/>
      </c>
      <c r="AC228" s="20">
        <f>IF(AND(E228="空",ISNUMBER(O228),ISNUMBER(S228)),ROUND(O228*(S228-R228)/360*V228*U228,2),0)</f>
        <v>0</v>
      </c>
      <c r="AD228" s="43" t="str">
        <f>IF(N(U228)=0,"",SUMIFS('成交明细'!$L$5:$L$804,'成交明细'!$A$5:$A$804,A228)+AC228)</f>
        <v/>
      </c>
      <c r="AE228" s="44" t="str">
        <f>IF(Y228&lt;&gt;"已平仓","",(SUMIFS('成交明细'!$H$5:$H$804,'成交明细'!$A$5:$A$804,A228,'成交明细'!$D$5:$D$804,"卖")-SUMIFS('成交明细'!$H$5:$H$804,'成交明细'!$A$5:$A$804,A228,'成交明细'!$D$5:$D$804,"买"))*1-AD228)</f>
        <v/>
      </c>
      <c r="AF228" s="45" t="str">
        <f>IF(AND(Y228="已平仓",ISNUMBER(L228)),(SUMIFS('成交明细'!$H$5:$H$804,'成交明细'!$A$5:$A$804,A228,'成交明细'!$D$5:$D$804,"卖")-SUMIFS('成交明细'!$H$5:$H$804,'成交明细'!$A$5:$A$804,A228,'成交明细'!$D$5:$D$804,"买"))*1/L228,"")</f>
        <v/>
      </c>
      <c r="AG228" s="45" t="str">
        <f>IF(AND(Y228="已平仓",ISNUMBER(L228)),AE228/L228,"")</f>
        <v/>
      </c>
      <c r="AH228" s="46" t="str">
        <f>IF(AND(ISNUMBER(V228),ISNUMBER(F228)),IF(E228="空",F228-V228,V228-F228),"")</f>
        <v/>
      </c>
      <c r="AI228" s="46" t="str">
        <f>IF(OR(NOT(ISNUMBER(AE228)),NOT(ISNUMBER(X228))),"",IF(AE228&lt;0,IF(E228="空",X228-G228,G228-X228),IF(NOT(ISNUMBER(H228)),"",IF(E228="空",X228-H228,H228-X228))))</f>
        <v/>
      </c>
      <c r="AJ228" s="32" t="n"/>
      <c r="AK228" s="32" t="n"/>
      <c r="AL228" s="31" t="n"/>
      <c r="AM228" s="45" t="str">
        <f>IF(A228="","",SUM(AG$5:AG228))</f>
        <v/>
      </c>
      <c r="AN228" s="37" t="str">
        <f>IF(A228="","",MAX(0,MAX(AM$5:AM228))-AM228)</f>
        <v/>
      </c>
    </row>
    <row r="229">
      <c r="A229" s="29" t="n"/>
      <c r="B229" s="30" t="n"/>
      <c r="C229" s="31" t="n"/>
      <c r="D229" s="32" t="n"/>
      <c r="E229" s="32" t="n"/>
      <c r="F229" s="33" t="n"/>
      <c r="G229" s="33" t="n"/>
      <c r="H229" s="33" t="n"/>
      <c r="I229" s="34" t="str">
        <f>IF(AND(ISNUMBER(F229),ISNUMBER(G229),ISNUMBER(H229)),IF(OR(AND(E229="多",F229&gt;G229),AND(E229="空",F229&lt;G229)),ABS(H229-F229)/ABS(F229-G229),"止损方向不对"),"")</f>
        <v/>
      </c>
      <c r="J229" s="35" t="str">
        <f>IF(AND(ISNUMBER(F229),ISNUMBER(G229)),IF(F229=G229,"",IF(INT(ROUND('参数'!$C$7/(ABS(F229-G229)*1+2*'参数'!$C$11+N('参数'!$C$14)*F229+N('参数'!$C$15))/1,6))*1&gt;0,INT(ROUND('参数'!$C$7/(ABS(F229-G229)*1+2*'参数'!$C$11+N('参数'!$C$14)*F229+N('参数'!$C$15))/1,6))*1,"预算不足，这笔不做")),"")</f>
        <v/>
      </c>
      <c r="K229" s="36" t="n"/>
      <c r="L229" s="20" t="str">
        <f>IF(AND(ISNUMBER(F229),ISNUMBER(G229),ISNUMBER(K229)),IF(AND(F229&lt;&gt;G229,K229&gt;0),ABS(F229-G229)*K229*1,""),"")</f>
        <v/>
      </c>
      <c r="M229" s="30" t="n"/>
      <c r="N229" s="37" t="str">
        <f>IF(AND(ISNUMBER(L229),ISNUMBER(M229)),IF(E229="空",(G229*(1+'参数'!$C$17)-F229),(F229-G229*(1-'参数'!$C$17)))*K229/L229,"")</f>
        <v/>
      </c>
      <c r="O229" s="38" t="n"/>
      <c r="P229" s="31" t="n"/>
      <c r="Q229" s="32" t="n"/>
      <c r="R229" s="39" t="str">
        <f>IF(N(U229)&gt;0,SUMPRODUCT(LARGE(('成交明细'!$A$5:$A$804=A229)*('成交明细'!$D$5:$D$804=IF(E229="空","卖","买"))*'成交明细'!$B$5:$B$804,COUNTIFS('成交明细'!$A$5:$A$804,A229,'成交明细'!$D$5:$D$804,IF(E229="空","卖","买")))),"")</f>
        <v/>
      </c>
      <c r="S229" s="39" t="str">
        <f>IF(AND(N(U229)&gt;0,N(W229)&gt;=N(U229)),SUMPRODUCT(MAX(('成交明细'!$A$5:$A$804=A229)*('成交明细'!$D$5:$D$804=IF(E229="空","买","卖"))*'成交明细'!$B$5:$B$804)),"")</f>
        <v/>
      </c>
      <c r="T229" s="32" t="n"/>
      <c r="U229" s="35" t="str">
        <f>IF(A229="","",SUMIFS('成交明细'!$F$5:$F$804,'成交明细'!$A$5:$A$804,A229,'成交明细'!$D$5:$D$804,IF(E229="空","卖","买")))</f>
        <v/>
      </c>
      <c r="V229" s="40" t="str">
        <f>IF(N(U229)&gt;0,SUMIFS('成交明细'!$H$5:$H$804,'成交明细'!$A$5:$A$804,A229,'成交明细'!$D$5:$D$804,IF(E229="空","卖","买"))/U229,"")</f>
        <v/>
      </c>
      <c r="W229" s="35" t="str">
        <f>IF(A229="","",SUMIFS('成交明细'!$F$5:$F$804,'成交明细'!$A$5:$A$804,A229,'成交明细'!$D$5:$D$804,IF(E229="空","买","卖")))</f>
        <v/>
      </c>
      <c r="X229" s="40" t="str">
        <f>IF(N(W229)&gt;0,SUMIFS('成交明细'!$H$5:$H$804,'成交明细'!$A$5:$A$804,A229,'成交明细'!$D$5:$D$804,IF(E229="空","买","卖"))/W229,"")</f>
        <v/>
      </c>
      <c r="Y229" s="41" t="str">
        <f>IF(A229="","",IF(Q229&lt;&gt;"已执行",IF(Q229="","未填执行情况",Q229),IF(N(U229)=0,"待录成交",IF(N(W229)&gt;N(U229),"平仓多于开仓",IF(N(W229)&lt;N(U229),"持仓中","已平仓")))))</f>
        <v/>
      </c>
      <c r="Z229" s="41" t="str">
        <f>IF(AND(ISNUMBER(R229),ISNUMBER(S229)),IF(R229=S229,"日内",""),"")</f>
        <v/>
      </c>
      <c r="AA229" s="42" t="str">
        <f>IF(Z229&lt;&gt;"日内","",COUNTIFS($Z$5:$Z$304,"日内",$S$5:$S$304,"&gt;"&amp;WORKDAY(S229,-5),$S$5:$S$304,"&lt;="&amp;S229))</f>
        <v/>
      </c>
      <c r="AB229" s="41" t="str">
        <f>IF(OR(NOT(ISNUMBER(M229)),NOT(ISNUMBER(R229))),"",IF(AND(M229&gt;=R229,OR(NOT(ISNUMBER(S229)),M229&lt;=S229)),"持仓跨财报",""))</f>
        <v/>
      </c>
      <c r="AC229" s="20">
        <f>IF(AND(E229="空",ISNUMBER(O229),ISNUMBER(S229)),ROUND(O229*(S229-R229)/360*V229*U229,2),0)</f>
        <v>0</v>
      </c>
      <c r="AD229" s="43" t="str">
        <f>IF(N(U229)=0,"",SUMIFS('成交明细'!$L$5:$L$804,'成交明细'!$A$5:$A$804,A229)+AC229)</f>
        <v/>
      </c>
      <c r="AE229" s="44" t="str">
        <f>IF(Y229&lt;&gt;"已平仓","",(SUMIFS('成交明细'!$H$5:$H$804,'成交明细'!$A$5:$A$804,A229,'成交明细'!$D$5:$D$804,"卖")-SUMIFS('成交明细'!$H$5:$H$804,'成交明细'!$A$5:$A$804,A229,'成交明细'!$D$5:$D$804,"买"))*1-AD229)</f>
        <v/>
      </c>
      <c r="AF229" s="45" t="str">
        <f>IF(AND(Y229="已平仓",ISNUMBER(L229)),(SUMIFS('成交明细'!$H$5:$H$804,'成交明细'!$A$5:$A$804,A229,'成交明细'!$D$5:$D$804,"卖")-SUMIFS('成交明细'!$H$5:$H$804,'成交明细'!$A$5:$A$804,A229,'成交明细'!$D$5:$D$804,"买"))*1/L229,"")</f>
        <v/>
      </c>
      <c r="AG229" s="45" t="str">
        <f>IF(AND(Y229="已平仓",ISNUMBER(L229)),AE229/L229,"")</f>
        <v/>
      </c>
      <c r="AH229" s="46" t="str">
        <f>IF(AND(ISNUMBER(V229),ISNUMBER(F229)),IF(E229="空",F229-V229,V229-F229),"")</f>
        <v/>
      </c>
      <c r="AI229" s="46" t="str">
        <f>IF(OR(NOT(ISNUMBER(AE229)),NOT(ISNUMBER(X229))),"",IF(AE229&lt;0,IF(E229="空",X229-G229,G229-X229),IF(NOT(ISNUMBER(H229)),"",IF(E229="空",X229-H229,H229-X229))))</f>
        <v/>
      </c>
      <c r="AJ229" s="32" t="n"/>
      <c r="AK229" s="32" t="n"/>
      <c r="AL229" s="31" t="n"/>
      <c r="AM229" s="45" t="str">
        <f>IF(A229="","",SUM(AG$5:AG229))</f>
        <v/>
      </c>
      <c r="AN229" s="37" t="str">
        <f>IF(A229="","",MAX(0,MAX(AM$5:AM229))-AM229)</f>
        <v/>
      </c>
    </row>
    <row r="230">
      <c r="A230" s="29" t="n"/>
      <c r="B230" s="30" t="n"/>
      <c r="C230" s="31" t="n"/>
      <c r="D230" s="32" t="n"/>
      <c r="E230" s="32" t="n"/>
      <c r="F230" s="33" t="n"/>
      <c r="G230" s="33" t="n"/>
      <c r="H230" s="33" t="n"/>
      <c r="I230" s="34" t="str">
        <f>IF(AND(ISNUMBER(F230),ISNUMBER(G230),ISNUMBER(H230)),IF(OR(AND(E230="多",F230&gt;G230),AND(E230="空",F230&lt;G230)),ABS(H230-F230)/ABS(F230-G230),"止损方向不对"),"")</f>
        <v/>
      </c>
      <c r="J230" s="35" t="str">
        <f>IF(AND(ISNUMBER(F230),ISNUMBER(G230)),IF(F230=G230,"",IF(INT(ROUND('参数'!$C$7/(ABS(F230-G230)*1+2*'参数'!$C$11+N('参数'!$C$14)*F230+N('参数'!$C$15))/1,6))*1&gt;0,INT(ROUND('参数'!$C$7/(ABS(F230-G230)*1+2*'参数'!$C$11+N('参数'!$C$14)*F230+N('参数'!$C$15))/1,6))*1,"预算不足，这笔不做")),"")</f>
        <v/>
      </c>
      <c r="K230" s="36" t="n"/>
      <c r="L230" s="20" t="str">
        <f>IF(AND(ISNUMBER(F230),ISNUMBER(G230),ISNUMBER(K230)),IF(AND(F230&lt;&gt;G230,K230&gt;0),ABS(F230-G230)*K230*1,""),"")</f>
        <v/>
      </c>
      <c r="M230" s="30" t="n"/>
      <c r="N230" s="37" t="str">
        <f>IF(AND(ISNUMBER(L230),ISNUMBER(M230)),IF(E230="空",(G230*(1+'参数'!$C$17)-F230),(F230-G230*(1-'参数'!$C$17)))*K230/L230,"")</f>
        <v/>
      </c>
      <c r="O230" s="38" t="n"/>
      <c r="P230" s="31" t="n"/>
      <c r="Q230" s="32" t="n"/>
      <c r="R230" s="39" t="str">
        <f>IF(N(U230)&gt;0,SUMPRODUCT(LARGE(('成交明细'!$A$5:$A$804=A230)*('成交明细'!$D$5:$D$804=IF(E230="空","卖","买"))*'成交明细'!$B$5:$B$804,COUNTIFS('成交明细'!$A$5:$A$804,A230,'成交明细'!$D$5:$D$804,IF(E230="空","卖","买")))),"")</f>
        <v/>
      </c>
      <c r="S230" s="39" t="str">
        <f>IF(AND(N(U230)&gt;0,N(W230)&gt;=N(U230)),SUMPRODUCT(MAX(('成交明细'!$A$5:$A$804=A230)*('成交明细'!$D$5:$D$804=IF(E230="空","买","卖"))*'成交明细'!$B$5:$B$804)),"")</f>
        <v/>
      </c>
      <c r="T230" s="32" t="n"/>
      <c r="U230" s="35" t="str">
        <f>IF(A230="","",SUMIFS('成交明细'!$F$5:$F$804,'成交明细'!$A$5:$A$804,A230,'成交明细'!$D$5:$D$804,IF(E230="空","卖","买")))</f>
        <v/>
      </c>
      <c r="V230" s="40" t="str">
        <f>IF(N(U230)&gt;0,SUMIFS('成交明细'!$H$5:$H$804,'成交明细'!$A$5:$A$804,A230,'成交明细'!$D$5:$D$804,IF(E230="空","卖","买"))/U230,"")</f>
        <v/>
      </c>
      <c r="W230" s="35" t="str">
        <f>IF(A230="","",SUMIFS('成交明细'!$F$5:$F$804,'成交明细'!$A$5:$A$804,A230,'成交明细'!$D$5:$D$804,IF(E230="空","买","卖")))</f>
        <v/>
      </c>
      <c r="X230" s="40" t="str">
        <f>IF(N(W230)&gt;0,SUMIFS('成交明细'!$H$5:$H$804,'成交明细'!$A$5:$A$804,A230,'成交明细'!$D$5:$D$804,IF(E230="空","买","卖"))/W230,"")</f>
        <v/>
      </c>
      <c r="Y230" s="41" t="str">
        <f>IF(A230="","",IF(Q230&lt;&gt;"已执行",IF(Q230="","未填执行情况",Q230),IF(N(U230)=0,"待录成交",IF(N(W230)&gt;N(U230),"平仓多于开仓",IF(N(W230)&lt;N(U230),"持仓中","已平仓")))))</f>
        <v/>
      </c>
      <c r="Z230" s="41" t="str">
        <f>IF(AND(ISNUMBER(R230),ISNUMBER(S230)),IF(R230=S230,"日内",""),"")</f>
        <v/>
      </c>
      <c r="AA230" s="42" t="str">
        <f>IF(Z230&lt;&gt;"日内","",COUNTIFS($Z$5:$Z$304,"日内",$S$5:$S$304,"&gt;"&amp;WORKDAY(S230,-5),$S$5:$S$304,"&lt;="&amp;S230))</f>
        <v/>
      </c>
      <c r="AB230" s="41" t="str">
        <f>IF(OR(NOT(ISNUMBER(M230)),NOT(ISNUMBER(R230))),"",IF(AND(M230&gt;=R230,OR(NOT(ISNUMBER(S230)),M230&lt;=S230)),"持仓跨财报",""))</f>
        <v/>
      </c>
      <c r="AC230" s="20">
        <f>IF(AND(E230="空",ISNUMBER(O230),ISNUMBER(S230)),ROUND(O230*(S230-R230)/360*V230*U230,2),0)</f>
        <v>0</v>
      </c>
      <c r="AD230" s="43" t="str">
        <f>IF(N(U230)=0,"",SUMIFS('成交明细'!$L$5:$L$804,'成交明细'!$A$5:$A$804,A230)+AC230)</f>
        <v/>
      </c>
      <c r="AE230" s="44" t="str">
        <f>IF(Y230&lt;&gt;"已平仓","",(SUMIFS('成交明细'!$H$5:$H$804,'成交明细'!$A$5:$A$804,A230,'成交明细'!$D$5:$D$804,"卖")-SUMIFS('成交明细'!$H$5:$H$804,'成交明细'!$A$5:$A$804,A230,'成交明细'!$D$5:$D$804,"买"))*1-AD230)</f>
        <v/>
      </c>
      <c r="AF230" s="45" t="str">
        <f>IF(AND(Y230="已平仓",ISNUMBER(L230)),(SUMIFS('成交明细'!$H$5:$H$804,'成交明细'!$A$5:$A$804,A230,'成交明细'!$D$5:$D$804,"卖")-SUMIFS('成交明细'!$H$5:$H$804,'成交明细'!$A$5:$A$804,A230,'成交明细'!$D$5:$D$804,"买"))*1/L230,"")</f>
        <v/>
      </c>
      <c r="AG230" s="45" t="str">
        <f>IF(AND(Y230="已平仓",ISNUMBER(L230)),AE230/L230,"")</f>
        <v/>
      </c>
      <c r="AH230" s="46" t="str">
        <f>IF(AND(ISNUMBER(V230),ISNUMBER(F230)),IF(E230="空",F230-V230,V230-F230),"")</f>
        <v/>
      </c>
      <c r="AI230" s="46" t="str">
        <f>IF(OR(NOT(ISNUMBER(AE230)),NOT(ISNUMBER(X230))),"",IF(AE230&lt;0,IF(E230="空",X230-G230,G230-X230),IF(NOT(ISNUMBER(H230)),"",IF(E230="空",X230-H230,H230-X230))))</f>
        <v/>
      </c>
      <c r="AJ230" s="32" t="n"/>
      <c r="AK230" s="32" t="n"/>
      <c r="AL230" s="31" t="n"/>
      <c r="AM230" s="45" t="str">
        <f>IF(A230="","",SUM(AG$5:AG230))</f>
        <v/>
      </c>
      <c r="AN230" s="37" t="str">
        <f>IF(A230="","",MAX(0,MAX(AM$5:AM230))-AM230)</f>
        <v/>
      </c>
    </row>
    <row r="231">
      <c r="A231" s="29" t="n"/>
      <c r="B231" s="30" t="n"/>
      <c r="C231" s="31" t="n"/>
      <c r="D231" s="32" t="n"/>
      <c r="E231" s="32" t="n"/>
      <c r="F231" s="33" t="n"/>
      <c r="G231" s="33" t="n"/>
      <c r="H231" s="33" t="n"/>
      <c r="I231" s="34" t="str">
        <f>IF(AND(ISNUMBER(F231),ISNUMBER(G231),ISNUMBER(H231)),IF(OR(AND(E231="多",F231&gt;G231),AND(E231="空",F231&lt;G231)),ABS(H231-F231)/ABS(F231-G231),"止损方向不对"),"")</f>
        <v/>
      </c>
      <c r="J231" s="35" t="str">
        <f>IF(AND(ISNUMBER(F231),ISNUMBER(G231)),IF(F231=G231,"",IF(INT(ROUND('参数'!$C$7/(ABS(F231-G231)*1+2*'参数'!$C$11+N('参数'!$C$14)*F231+N('参数'!$C$15))/1,6))*1&gt;0,INT(ROUND('参数'!$C$7/(ABS(F231-G231)*1+2*'参数'!$C$11+N('参数'!$C$14)*F231+N('参数'!$C$15))/1,6))*1,"预算不足，这笔不做")),"")</f>
        <v/>
      </c>
      <c r="K231" s="36" t="n"/>
      <c r="L231" s="20" t="str">
        <f>IF(AND(ISNUMBER(F231),ISNUMBER(G231),ISNUMBER(K231)),IF(AND(F231&lt;&gt;G231,K231&gt;0),ABS(F231-G231)*K231*1,""),"")</f>
        <v/>
      </c>
      <c r="M231" s="30" t="n"/>
      <c r="N231" s="37" t="str">
        <f>IF(AND(ISNUMBER(L231),ISNUMBER(M231)),IF(E231="空",(G231*(1+'参数'!$C$17)-F231),(F231-G231*(1-'参数'!$C$17)))*K231/L231,"")</f>
        <v/>
      </c>
      <c r="O231" s="38" t="n"/>
      <c r="P231" s="31" t="n"/>
      <c r="Q231" s="32" t="n"/>
      <c r="R231" s="39" t="str">
        <f>IF(N(U231)&gt;0,SUMPRODUCT(LARGE(('成交明细'!$A$5:$A$804=A231)*('成交明细'!$D$5:$D$804=IF(E231="空","卖","买"))*'成交明细'!$B$5:$B$804,COUNTIFS('成交明细'!$A$5:$A$804,A231,'成交明细'!$D$5:$D$804,IF(E231="空","卖","买")))),"")</f>
        <v/>
      </c>
      <c r="S231" s="39" t="str">
        <f>IF(AND(N(U231)&gt;0,N(W231)&gt;=N(U231)),SUMPRODUCT(MAX(('成交明细'!$A$5:$A$804=A231)*('成交明细'!$D$5:$D$804=IF(E231="空","买","卖"))*'成交明细'!$B$5:$B$804)),"")</f>
        <v/>
      </c>
      <c r="T231" s="32" t="n"/>
      <c r="U231" s="35" t="str">
        <f>IF(A231="","",SUMIFS('成交明细'!$F$5:$F$804,'成交明细'!$A$5:$A$804,A231,'成交明细'!$D$5:$D$804,IF(E231="空","卖","买")))</f>
        <v/>
      </c>
      <c r="V231" s="40" t="str">
        <f>IF(N(U231)&gt;0,SUMIFS('成交明细'!$H$5:$H$804,'成交明细'!$A$5:$A$804,A231,'成交明细'!$D$5:$D$804,IF(E231="空","卖","买"))/U231,"")</f>
        <v/>
      </c>
      <c r="W231" s="35" t="str">
        <f>IF(A231="","",SUMIFS('成交明细'!$F$5:$F$804,'成交明细'!$A$5:$A$804,A231,'成交明细'!$D$5:$D$804,IF(E231="空","买","卖")))</f>
        <v/>
      </c>
      <c r="X231" s="40" t="str">
        <f>IF(N(W231)&gt;0,SUMIFS('成交明细'!$H$5:$H$804,'成交明细'!$A$5:$A$804,A231,'成交明细'!$D$5:$D$804,IF(E231="空","买","卖"))/W231,"")</f>
        <v/>
      </c>
      <c r="Y231" s="41" t="str">
        <f>IF(A231="","",IF(Q231&lt;&gt;"已执行",IF(Q231="","未填执行情况",Q231),IF(N(U231)=0,"待录成交",IF(N(W231)&gt;N(U231),"平仓多于开仓",IF(N(W231)&lt;N(U231),"持仓中","已平仓")))))</f>
        <v/>
      </c>
      <c r="Z231" s="41" t="str">
        <f>IF(AND(ISNUMBER(R231),ISNUMBER(S231)),IF(R231=S231,"日内",""),"")</f>
        <v/>
      </c>
      <c r="AA231" s="42" t="str">
        <f>IF(Z231&lt;&gt;"日内","",COUNTIFS($Z$5:$Z$304,"日内",$S$5:$S$304,"&gt;"&amp;WORKDAY(S231,-5),$S$5:$S$304,"&lt;="&amp;S231))</f>
        <v/>
      </c>
      <c r="AB231" s="41" t="str">
        <f>IF(OR(NOT(ISNUMBER(M231)),NOT(ISNUMBER(R231))),"",IF(AND(M231&gt;=R231,OR(NOT(ISNUMBER(S231)),M231&lt;=S231)),"持仓跨财报",""))</f>
        <v/>
      </c>
      <c r="AC231" s="20">
        <f>IF(AND(E231="空",ISNUMBER(O231),ISNUMBER(S231)),ROUND(O231*(S231-R231)/360*V231*U231,2),0)</f>
        <v>0</v>
      </c>
      <c r="AD231" s="43" t="str">
        <f>IF(N(U231)=0,"",SUMIFS('成交明细'!$L$5:$L$804,'成交明细'!$A$5:$A$804,A231)+AC231)</f>
        <v/>
      </c>
      <c r="AE231" s="44" t="str">
        <f>IF(Y231&lt;&gt;"已平仓","",(SUMIFS('成交明细'!$H$5:$H$804,'成交明细'!$A$5:$A$804,A231,'成交明细'!$D$5:$D$804,"卖")-SUMIFS('成交明细'!$H$5:$H$804,'成交明细'!$A$5:$A$804,A231,'成交明细'!$D$5:$D$804,"买"))*1-AD231)</f>
        <v/>
      </c>
      <c r="AF231" s="45" t="str">
        <f>IF(AND(Y231="已平仓",ISNUMBER(L231)),(SUMIFS('成交明细'!$H$5:$H$804,'成交明细'!$A$5:$A$804,A231,'成交明细'!$D$5:$D$804,"卖")-SUMIFS('成交明细'!$H$5:$H$804,'成交明细'!$A$5:$A$804,A231,'成交明细'!$D$5:$D$804,"买"))*1/L231,"")</f>
        <v/>
      </c>
      <c r="AG231" s="45" t="str">
        <f>IF(AND(Y231="已平仓",ISNUMBER(L231)),AE231/L231,"")</f>
        <v/>
      </c>
      <c r="AH231" s="46" t="str">
        <f>IF(AND(ISNUMBER(V231),ISNUMBER(F231)),IF(E231="空",F231-V231,V231-F231),"")</f>
        <v/>
      </c>
      <c r="AI231" s="46" t="str">
        <f>IF(OR(NOT(ISNUMBER(AE231)),NOT(ISNUMBER(X231))),"",IF(AE231&lt;0,IF(E231="空",X231-G231,G231-X231),IF(NOT(ISNUMBER(H231)),"",IF(E231="空",X231-H231,H231-X231))))</f>
        <v/>
      </c>
      <c r="AJ231" s="32" t="n"/>
      <c r="AK231" s="32" t="n"/>
      <c r="AL231" s="31" t="n"/>
      <c r="AM231" s="45" t="str">
        <f>IF(A231="","",SUM(AG$5:AG231))</f>
        <v/>
      </c>
      <c r="AN231" s="37" t="str">
        <f>IF(A231="","",MAX(0,MAX(AM$5:AM231))-AM231)</f>
        <v/>
      </c>
    </row>
    <row r="232">
      <c r="A232" s="29" t="n"/>
      <c r="B232" s="30" t="n"/>
      <c r="C232" s="31" t="n"/>
      <c r="D232" s="32" t="n"/>
      <c r="E232" s="32" t="n"/>
      <c r="F232" s="33" t="n"/>
      <c r="G232" s="33" t="n"/>
      <c r="H232" s="33" t="n"/>
      <c r="I232" s="34" t="str">
        <f>IF(AND(ISNUMBER(F232),ISNUMBER(G232),ISNUMBER(H232)),IF(OR(AND(E232="多",F232&gt;G232),AND(E232="空",F232&lt;G232)),ABS(H232-F232)/ABS(F232-G232),"止损方向不对"),"")</f>
        <v/>
      </c>
      <c r="J232" s="35" t="str">
        <f>IF(AND(ISNUMBER(F232),ISNUMBER(G232)),IF(F232=G232,"",IF(INT(ROUND('参数'!$C$7/(ABS(F232-G232)*1+2*'参数'!$C$11+N('参数'!$C$14)*F232+N('参数'!$C$15))/1,6))*1&gt;0,INT(ROUND('参数'!$C$7/(ABS(F232-G232)*1+2*'参数'!$C$11+N('参数'!$C$14)*F232+N('参数'!$C$15))/1,6))*1,"预算不足，这笔不做")),"")</f>
        <v/>
      </c>
      <c r="K232" s="36" t="n"/>
      <c r="L232" s="20" t="str">
        <f>IF(AND(ISNUMBER(F232),ISNUMBER(G232),ISNUMBER(K232)),IF(AND(F232&lt;&gt;G232,K232&gt;0),ABS(F232-G232)*K232*1,""),"")</f>
        <v/>
      </c>
      <c r="M232" s="30" t="n"/>
      <c r="N232" s="37" t="str">
        <f>IF(AND(ISNUMBER(L232),ISNUMBER(M232)),IF(E232="空",(G232*(1+'参数'!$C$17)-F232),(F232-G232*(1-'参数'!$C$17)))*K232/L232,"")</f>
        <v/>
      </c>
      <c r="O232" s="38" t="n"/>
      <c r="P232" s="31" t="n"/>
      <c r="Q232" s="32" t="n"/>
      <c r="R232" s="39" t="str">
        <f>IF(N(U232)&gt;0,SUMPRODUCT(LARGE(('成交明细'!$A$5:$A$804=A232)*('成交明细'!$D$5:$D$804=IF(E232="空","卖","买"))*'成交明细'!$B$5:$B$804,COUNTIFS('成交明细'!$A$5:$A$804,A232,'成交明细'!$D$5:$D$804,IF(E232="空","卖","买")))),"")</f>
        <v/>
      </c>
      <c r="S232" s="39" t="str">
        <f>IF(AND(N(U232)&gt;0,N(W232)&gt;=N(U232)),SUMPRODUCT(MAX(('成交明细'!$A$5:$A$804=A232)*('成交明细'!$D$5:$D$804=IF(E232="空","买","卖"))*'成交明细'!$B$5:$B$804)),"")</f>
        <v/>
      </c>
      <c r="T232" s="32" t="n"/>
      <c r="U232" s="35" t="str">
        <f>IF(A232="","",SUMIFS('成交明细'!$F$5:$F$804,'成交明细'!$A$5:$A$804,A232,'成交明细'!$D$5:$D$804,IF(E232="空","卖","买")))</f>
        <v/>
      </c>
      <c r="V232" s="40" t="str">
        <f>IF(N(U232)&gt;0,SUMIFS('成交明细'!$H$5:$H$804,'成交明细'!$A$5:$A$804,A232,'成交明细'!$D$5:$D$804,IF(E232="空","卖","买"))/U232,"")</f>
        <v/>
      </c>
      <c r="W232" s="35" t="str">
        <f>IF(A232="","",SUMIFS('成交明细'!$F$5:$F$804,'成交明细'!$A$5:$A$804,A232,'成交明细'!$D$5:$D$804,IF(E232="空","买","卖")))</f>
        <v/>
      </c>
      <c r="X232" s="40" t="str">
        <f>IF(N(W232)&gt;0,SUMIFS('成交明细'!$H$5:$H$804,'成交明细'!$A$5:$A$804,A232,'成交明细'!$D$5:$D$804,IF(E232="空","买","卖"))/W232,"")</f>
        <v/>
      </c>
      <c r="Y232" s="41" t="str">
        <f>IF(A232="","",IF(Q232&lt;&gt;"已执行",IF(Q232="","未填执行情况",Q232),IF(N(U232)=0,"待录成交",IF(N(W232)&gt;N(U232),"平仓多于开仓",IF(N(W232)&lt;N(U232),"持仓中","已平仓")))))</f>
        <v/>
      </c>
      <c r="Z232" s="41" t="str">
        <f>IF(AND(ISNUMBER(R232),ISNUMBER(S232)),IF(R232=S232,"日内",""),"")</f>
        <v/>
      </c>
      <c r="AA232" s="42" t="str">
        <f>IF(Z232&lt;&gt;"日内","",COUNTIFS($Z$5:$Z$304,"日内",$S$5:$S$304,"&gt;"&amp;WORKDAY(S232,-5),$S$5:$S$304,"&lt;="&amp;S232))</f>
        <v/>
      </c>
      <c r="AB232" s="41" t="str">
        <f>IF(OR(NOT(ISNUMBER(M232)),NOT(ISNUMBER(R232))),"",IF(AND(M232&gt;=R232,OR(NOT(ISNUMBER(S232)),M232&lt;=S232)),"持仓跨财报",""))</f>
        <v/>
      </c>
      <c r="AC232" s="20">
        <f>IF(AND(E232="空",ISNUMBER(O232),ISNUMBER(S232)),ROUND(O232*(S232-R232)/360*V232*U232,2),0)</f>
        <v>0</v>
      </c>
      <c r="AD232" s="43" t="str">
        <f>IF(N(U232)=0,"",SUMIFS('成交明细'!$L$5:$L$804,'成交明细'!$A$5:$A$804,A232)+AC232)</f>
        <v/>
      </c>
      <c r="AE232" s="44" t="str">
        <f>IF(Y232&lt;&gt;"已平仓","",(SUMIFS('成交明细'!$H$5:$H$804,'成交明细'!$A$5:$A$804,A232,'成交明细'!$D$5:$D$804,"卖")-SUMIFS('成交明细'!$H$5:$H$804,'成交明细'!$A$5:$A$804,A232,'成交明细'!$D$5:$D$804,"买"))*1-AD232)</f>
        <v/>
      </c>
      <c r="AF232" s="45" t="str">
        <f>IF(AND(Y232="已平仓",ISNUMBER(L232)),(SUMIFS('成交明细'!$H$5:$H$804,'成交明细'!$A$5:$A$804,A232,'成交明细'!$D$5:$D$804,"卖")-SUMIFS('成交明细'!$H$5:$H$804,'成交明细'!$A$5:$A$804,A232,'成交明细'!$D$5:$D$804,"买"))*1/L232,"")</f>
        <v/>
      </c>
      <c r="AG232" s="45" t="str">
        <f>IF(AND(Y232="已平仓",ISNUMBER(L232)),AE232/L232,"")</f>
        <v/>
      </c>
      <c r="AH232" s="46" t="str">
        <f>IF(AND(ISNUMBER(V232),ISNUMBER(F232)),IF(E232="空",F232-V232,V232-F232),"")</f>
        <v/>
      </c>
      <c r="AI232" s="46" t="str">
        <f>IF(OR(NOT(ISNUMBER(AE232)),NOT(ISNUMBER(X232))),"",IF(AE232&lt;0,IF(E232="空",X232-G232,G232-X232),IF(NOT(ISNUMBER(H232)),"",IF(E232="空",X232-H232,H232-X232))))</f>
        <v/>
      </c>
      <c r="AJ232" s="32" t="n"/>
      <c r="AK232" s="32" t="n"/>
      <c r="AL232" s="31" t="n"/>
      <c r="AM232" s="45" t="str">
        <f>IF(A232="","",SUM(AG$5:AG232))</f>
        <v/>
      </c>
      <c r="AN232" s="37" t="str">
        <f>IF(A232="","",MAX(0,MAX(AM$5:AM232))-AM232)</f>
        <v/>
      </c>
    </row>
    <row r="233">
      <c r="A233" s="29" t="n"/>
      <c r="B233" s="30" t="n"/>
      <c r="C233" s="31" t="n"/>
      <c r="D233" s="32" t="n"/>
      <c r="E233" s="32" t="n"/>
      <c r="F233" s="33" t="n"/>
      <c r="G233" s="33" t="n"/>
      <c r="H233" s="33" t="n"/>
      <c r="I233" s="34" t="str">
        <f>IF(AND(ISNUMBER(F233),ISNUMBER(G233),ISNUMBER(H233)),IF(OR(AND(E233="多",F233&gt;G233),AND(E233="空",F233&lt;G233)),ABS(H233-F233)/ABS(F233-G233),"止损方向不对"),"")</f>
        <v/>
      </c>
      <c r="J233" s="35" t="str">
        <f>IF(AND(ISNUMBER(F233),ISNUMBER(G233)),IF(F233=G233,"",IF(INT(ROUND('参数'!$C$7/(ABS(F233-G233)*1+2*'参数'!$C$11+N('参数'!$C$14)*F233+N('参数'!$C$15))/1,6))*1&gt;0,INT(ROUND('参数'!$C$7/(ABS(F233-G233)*1+2*'参数'!$C$11+N('参数'!$C$14)*F233+N('参数'!$C$15))/1,6))*1,"预算不足，这笔不做")),"")</f>
        <v/>
      </c>
      <c r="K233" s="36" t="n"/>
      <c r="L233" s="20" t="str">
        <f>IF(AND(ISNUMBER(F233),ISNUMBER(G233),ISNUMBER(K233)),IF(AND(F233&lt;&gt;G233,K233&gt;0),ABS(F233-G233)*K233*1,""),"")</f>
        <v/>
      </c>
      <c r="M233" s="30" t="n"/>
      <c r="N233" s="37" t="str">
        <f>IF(AND(ISNUMBER(L233),ISNUMBER(M233)),IF(E233="空",(G233*(1+'参数'!$C$17)-F233),(F233-G233*(1-'参数'!$C$17)))*K233/L233,"")</f>
        <v/>
      </c>
      <c r="O233" s="38" t="n"/>
      <c r="P233" s="31" t="n"/>
      <c r="Q233" s="32" t="n"/>
      <c r="R233" s="39" t="str">
        <f>IF(N(U233)&gt;0,SUMPRODUCT(LARGE(('成交明细'!$A$5:$A$804=A233)*('成交明细'!$D$5:$D$804=IF(E233="空","卖","买"))*'成交明细'!$B$5:$B$804,COUNTIFS('成交明细'!$A$5:$A$804,A233,'成交明细'!$D$5:$D$804,IF(E233="空","卖","买")))),"")</f>
        <v/>
      </c>
      <c r="S233" s="39" t="str">
        <f>IF(AND(N(U233)&gt;0,N(W233)&gt;=N(U233)),SUMPRODUCT(MAX(('成交明细'!$A$5:$A$804=A233)*('成交明细'!$D$5:$D$804=IF(E233="空","买","卖"))*'成交明细'!$B$5:$B$804)),"")</f>
        <v/>
      </c>
      <c r="T233" s="32" t="n"/>
      <c r="U233" s="35" t="str">
        <f>IF(A233="","",SUMIFS('成交明细'!$F$5:$F$804,'成交明细'!$A$5:$A$804,A233,'成交明细'!$D$5:$D$804,IF(E233="空","卖","买")))</f>
        <v/>
      </c>
      <c r="V233" s="40" t="str">
        <f>IF(N(U233)&gt;0,SUMIFS('成交明细'!$H$5:$H$804,'成交明细'!$A$5:$A$804,A233,'成交明细'!$D$5:$D$804,IF(E233="空","卖","买"))/U233,"")</f>
        <v/>
      </c>
      <c r="W233" s="35" t="str">
        <f>IF(A233="","",SUMIFS('成交明细'!$F$5:$F$804,'成交明细'!$A$5:$A$804,A233,'成交明细'!$D$5:$D$804,IF(E233="空","买","卖")))</f>
        <v/>
      </c>
      <c r="X233" s="40" t="str">
        <f>IF(N(W233)&gt;0,SUMIFS('成交明细'!$H$5:$H$804,'成交明细'!$A$5:$A$804,A233,'成交明细'!$D$5:$D$804,IF(E233="空","买","卖"))/W233,"")</f>
        <v/>
      </c>
      <c r="Y233" s="41" t="str">
        <f>IF(A233="","",IF(Q233&lt;&gt;"已执行",IF(Q233="","未填执行情况",Q233),IF(N(U233)=0,"待录成交",IF(N(W233)&gt;N(U233),"平仓多于开仓",IF(N(W233)&lt;N(U233),"持仓中","已平仓")))))</f>
        <v/>
      </c>
      <c r="Z233" s="41" t="str">
        <f>IF(AND(ISNUMBER(R233),ISNUMBER(S233)),IF(R233=S233,"日内",""),"")</f>
        <v/>
      </c>
      <c r="AA233" s="42" t="str">
        <f>IF(Z233&lt;&gt;"日内","",COUNTIFS($Z$5:$Z$304,"日内",$S$5:$S$304,"&gt;"&amp;WORKDAY(S233,-5),$S$5:$S$304,"&lt;="&amp;S233))</f>
        <v/>
      </c>
      <c r="AB233" s="41" t="str">
        <f>IF(OR(NOT(ISNUMBER(M233)),NOT(ISNUMBER(R233))),"",IF(AND(M233&gt;=R233,OR(NOT(ISNUMBER(S233)),M233&lt;=S233)),"持仓跨财报",""))</f>
        <v/>
      </c>
      <c r="AC233" s="20">
        <f>IF(AND(E233="空",ISNUMBER(O233),ISNUMBER(S233)),ROUND(O233*(S233-R233)/360*V233*U233,2),0)</f>
        <v>0</v>
      </c>
      <c r="AD233" s="43" t="str">
        <f>IF(N(U233)=0,"",SUMIFS('成交明细'!$L$5:$L$804,'成交明细'!$A$5:$A$804,A233)+AC233)</f>
        <v/>
      </c>
      <c r="AE233" s="44" t="str">
        <f>IF(Y233&lt;&gt;"已平仓","",(SUMIFS('成交明细'!$H$5:$H$804,'成交明细'!$A$5:$A$804,A233,'成交明细'!$D$5:$D$804,"卖")-SUMIFS('成交明细'!$H$5:$H$804,'成交明细'!$A$5:$A$804,A233,'成交明细'!$D$5:$D$804,"买"))*1-AD233)</f>
        <v/>
      </c>
      <c r="AF233" s="45" t="str">
        <f>IF(AND(Y233="已平仓",ISNUMBER(L233)),(SUMIFS('成交明细'!$H$5:$H$804,'成交明细'!$A$5:$A$804,A233,'成交明细'!$D$5:$D$804,"卖")-SUMIFS('成交明细'!$H$5:$H$804,'成交明细'!$A$5:$A$804,A233,'成交明细'!$D$5:$D$804,"买"))*1/L233,"")</f>
        <v/>
      </c>
      <c r="AG233" s="45" t="str">
        <f>IF(AND(Y233="已平仓",ISNUMBER(L233)),AE233/L233,"")</f>
        <v/>
      </c>
      <c r="AH233" s="46" t="str">
        <f>IF(AND(ISNUMBER(V233),ISNUMBER(F233)),IF(E233="空",F233-V233,V233-F233),"")</f>
        <v/>
      </c>
      <c r="AI233" s="46" t="str">
        <f>IF(OR(NOT(ISNUMBER(AE233)),NOT(ISNUMBER(X233))),"",IF(AE233&lt;0,IF(E233="空",X233-G233,G233-X233),IF(NOT(ISNUMBER(H233)),"",IF(E233="空",X233-H233,H233-X233))))</f>
        <v/>
      </c>
      <c r="AJ233" s="32" t="n"/>
      <c r="AK233" s="32" t="n"/>
      <c r="AL233" s="31" t="n"/>
      <c r="AM233" s="45" t="str">
        <f>IF(A233="","",SUM(AG$5:AG233))</f>
        <v/>
      </c>
      <c r="AN233" s="37" t="str">
        <f>IF(A233="","",MAX(0,MAX(AM$5:AM233))-AM233)</f>
        <v/>
      </c>
    </row>
    <row r="234">
      <c r="A234" s="29" t="n"/>
      <c r="B234" s="30" t="n"/>
      <c r="C234" s="31" t="n"/>
      <c r="D234" s="32" t="n"/>
      <c r="E234" s="32" t="n"/>
      <c r="F234" s="33" t="n"/>
      <c r="G234" s="33" t="n"/>
      <c r="H234" s="33" t="n"/>
      <c r="I234" s="34" t="str">
        <f>IF(AND(ISNUMBER(F234),ISNUMBER(G234),ISNUMBER(H234)),IF(OR(AND(E234="多",F234&gt;G234),AND(E234="空",F234&lt;G234)),ABS(H234-F234)/ABS(F234-G234),"止损方向不对"),"")</f>
        <v/>
      </c>
      <c r="J234" s="35" t="str">
        <f>IF(AND(ISNUMBER(F234),ISNUMBER(G234)),IF(F234=G234,"",IF(INT(ROUND('参数'!$C$7/(ABS(F234-G234)*1+2*'参数'!$C$11+N('参数'!$C$14)*F234+N('参数'!$C$15))/1,6))*1&gt;0,INT(ROUND('参数'!$C$7/(ABS(F234-G234)*1+2*'参数'!$C$11+N('参数'!$C$14)*F234+N('参数'!$C$15))/1,6))*1,"预算不足，这笔不做")),"")</f>
        <v/>
      </c>
      <c r="K234" s="36" t="n"/>
      <c r="L234" s="20" t="str">
        <f>IF(AND(ISNUMBER(F234),ISNUMBER(G234),ISNUMBER(K234)),IF(AND(F234&lt;&gt;G234,K234&gt;0),ABS(F234-G234)*K234*1,""),"")</f>
        <v/>
      </c>
      <c r="M234" s="30" t="n"/>
      <c r="N234" s="37" t="str">
        <f>IF(AND(ISNUMBER(L234),ISNUMBER(M234)),IF(E234="空",(G234*(1+'参数'!$C$17)-F234),(F234-G234*(1-'参数'!$C$17)))*K234/L234,"")</f>
        <v/>
      </c>
      <c r="O234" s="38" t="n"/>
      <c r="P234" s="31" t="n"/>
      <c r="Q234" s="32" t="n"/>
      <c r="R234" s="39" t="str">
        <f>IF(N(U234)&gt;0,SUMPRODUCT(LARGE(('成交明细'!$A$5:$A$804=A234)*('成交明细'!$D$5:$D$804=IF(E234="空","卖","买"))*'成交明细'!$B$5:$B$804,COUNTIFS('成交明细'!$A$5:$A$804,A234,'成交明细'!$D$5:$D$804,IF(E234="空","卖","买")))),"")</f>
        <v/>
      </c>
      <c r="S234" s="39" t="str">
        <f>IF(AND(N(U234)&gt;0,N(W234)&gt;=N(U234)),SUMPRODUCT(MAX(('成交明细'!$A$5:$A$804=A234)*('成交明细'!$D$5:$D$804=IF(E234="空","买","卖"))*'成交明细'!$B$5:$B$804)),"")</f>
        <v/>
      </c>
      <c r="T234" s="32" t="n"/>
      <c r="U234" s="35" t="str">
        <f>IF(A234="","",SUMIFS('成交明细'!$F$5:$F$804,'成交明细'!$A$5:$A$804,A234,'成交明细'!$D$5:$D$804,IF(E234="空","卖","买")))</f>
        <v/>
      </c>
      <c r="V234" s="40" t="str">
        <f>IF(N(U234)&gt;0,SUMIFS('成交明细'!$H$5:$H$804,'成交明细'!$A$5:$A$804,A234,'成交明细'!$D$5:$D$804,IF(E234="空","卖","买"))/U234,"")</f>
        <v/>
      </c>
      <c r="W234" s="35" t="str">
        <f>IF(A234="","",SUMIFS('成交明细'!$F$5:$F$804,'成交明细'!$A$5:$A$804,A234,'成交明细'!$D$5:$D$804,IF(E234="空","买","卖")))</f>
        <v/>
      </c>
      <c r="X234" s="40" t="str">
        <f>IF(N(W234)&gt;0,SUMIFS('成交明细'!$H$5:$H$804,'成交明细'!$A$5:$A$804,A234,'成交明细'!$D$5:$D$804,IF(E234="空","买","卖"))/W234,"")</f>
        <v/>
      </c>
      <c r="Y234" s="41" t="str">
        <f>IF(A234="","",IF(Q234&lt;&gt;"已执行",IF(Q234="","未填执行情况",Q234),IF(N(U234)=0,"待录成交",IF(N(W234)&gt;N(U234),"平仓多于开仓",IF(N(W234)&lt;N(U234),"持仓中","已平仓")))))</f>
        <v/>
      </c>
      <c r="Z234" s="41" t="str">
        <f>IF(AND(ISNUMBER(R234),ISNUMBER(S234)),IF(R234=S234,"日内",""),"")</f>
        <v/>
      </c>
      <c r="AA234" s="42" t="str">
        <f>IF(Z234&lt;&gt;"日内","",COUNTIFS($Z$5:$Z$304,"日内",$S$5:$S$304,"&gt;"&amp;WORKDAY(S234,-5),$S$5:$S$304,"&lt;="&amp;S234))</f>
        <v/>
      </c>
      <c r="AB234" s="41" t="str">
        <f>IF(OR(NOT(ISNUMBER(M234)),NOT(ISNUMBER(R234))),"",IF(AND(M234&gt;=R234,OR(NOT(ISNUMBER(S234)),M234&lt;=S234)),"持仓跨财报",""))</f>
        <v/>
      </c>
      <c r="AC234" s="20">
        <f>IF(AND(E234="空",ISNUMBER(O234),ISNUMBER(S234)),ROUND(O234*(S234-R234)/360*V234*U234,2),0)</f>
        <v>0</v>
      </c>
      <c r="AD234" s="43" t="str">
        <f>IF(N(U234)=0,"",SUMIFS('成交明细'!$L$5:$L$804,'成交明细'!$A$5:$A$804,A234)+AC234)</f>
        <v/>
      </c>
      <c r="AE234" s="44" t="str">
        <f>IF(Y234&lt;&gt;"已平仓","",(SUMIFS('成交明细'!$H$5:$H$804,'成交明细'!$A$5:$A$804,A234,'成交明细'!$D$5:$D$804,"卖")-SUMIFS('成交明细'!$H$5:$H$804,'成交明细'!$A$5:$A$804,A234,'成交明细'!$D$5:$D$804,"买"))*1-AD234)</f>
        <v/>
      </c>
      <c r="AF234" s="45" t="str">
        <f>IF(AND(Y234="已平仓",ISNUMBER(L234)),(SUMIFS('成交明细'!$H$5:$H$804,'成交明细'!$A$5:$A$804,A234,'成交明细'!$D$5:$D$804,"卖")-SUMIFS('成交明细'!$H$5:$H$804,'成交明细'!$A$5:$A$804,A234,'成交明细'!$D$5:$D$804,"买"))*1/L234,"")</f>
        <v/>
      </c>
      <c r="AG234" s="45" t="str">
        <f>IF(AND(Y234="已平仓",ISNUMBER(L234)),AE234/L234,"")</f>
        <v/>
      </c>
      <c r="AH234" s="46" t="str">
        <f>IF(AND(ISNUMBER(V234),ISNUMBER(F234)),IF(E234="空",F234-V234,V234-F234),"")</f>
        <v/>
      </c>
      <c r="AI234" s="46" t="str">
        <f>IF(OR(NOT(ISNUMBER(AE234)),NOT(ISNUMBER(X234))),"",IF(AE234&lt;0,IF(E234="空",X234-G234,G234-X234),IF(NOT(ISNUMBER(H234)),"",IF(E234="空",X234-H234,H234-X234))))</f>
        <v/>
      </c>
      <c r="AJ234" s="32" t="n"/>
      <c r="AK234" s="32" t="n"/>
      <c r="AL234" s="31" t="n"/>
      <c r="AM234" s="45" t="str">
        <f>IF(A234="","",SUM(AG$5:AG234))</f>
        <v/>
      </c>
      <c r="AN234" s="37" t="str">
        <f>IF(A234="","",MAX(0,MAX(AM$5:AM234))-AM234)</f>
        <v/>
      </c>
    </row>
    <row r="235">
      <c r="A235" s="29" t="n"/>
      <c r="B235" s="30" t="n"/>
      <c r="C235" s="31" t="n"/>
      <c r="D235" s="32" t="n"/>
      <c r="E235" s="32" t="n"/>
      <c r="F235" s="33" t="n"/>
      <c r="G235" s="33" t="n"/>
      <c r="H235" s="33" t="n"/>
      <c r="I235" s="34" t="str">
        <f>IF(AND(ISNUMBER(F235),ISNUMBER(G235),ISNUMBER(H235)),IF(OR(AND(E235="多",F235&gt;G235),AND(E235="空",F235&lt;G235)),ABS(H235-F235)/ABS(F235-G235),"止损方向不对"),"")</f>
        <v/>
      </c>
      <c r="J235" s="35" t="str">
        <f>IF(AND(ISNUMBER(F235),ISNUMBER(G235)),IF(F235=G235,"",IF(INT(ROUND('参数'!$C$7/(ABS(F235-G235)*1+2*'参数'!$C$11+N('参数'!$C$14)*F235+N('参数'!$C$15))/1,6))*1&gt;0,INT(ROUND('参数'!$C$7/(ABS(F235-G235)*1+2*'参数'!$C$11+N('参数'!$C$14)*F235+N('参数'!$C$15))/1,6))*1,"预算不足，这笔不做")),"")</f>
        <v/>
      </c>
      <c r="K235" s="36" t="n"/>
      <c r="L235" s="20" t="str">
        <f>IF(AND(ISNUMBER(F235),ISNUMBER(G235),ISNUMBER(K235)),IF(AND(F235&lt;&gt;G235,K235&gt;0),ABS(F235-G235)*K235*1,""),"")</f>
        <v/>
      </c>
      <c r="M235" s="30" t="n"/>
      <c r="N235" s="37" t="str">
        <f>IF(AND(ISNUMBER(L235),ISNUMBER(M235)),IF(E235="空",(G235*(1+'参数'!$C$17)-F235),(F235-G235*(1-'参数'!$C$17)))*K235/L235,"")</f>
        <v/>
      </c>
      <c r="O235" s="38" t="n"/>
      <c r="P235" s="31" t="n"/>
      <c r="Q235" s="32" t="n"/>
      <c r="R235" s="39" t="str">
        <f>IF(N(U235)&gt;0,SUMPRODUCT(LARGE(('成交明细'!$A$5:$A$804=A235)*('成交明细'!$D$5:$D$804=IF(E235="空","卖","买"))*'成交明细'!$B$5:$B$804,COUNTIFS('成交明细'!$A$5:$A$804,A235,'成交明细'!$D$5:$D$804,IF(E235="空","卖","买")))),"")</f>
        <v/>
      </c>
      <c r="S235" s="39" t="str">
        <f>IF(AND(N(U235)&gt;0,N(W235)&gt;=N(U235)),SUMPRODUCT(MAX(('成交明细'!$A$5:$A$804=A235)*('成交明细'!$D$5:$D$804=IF(E235="空","买","卖"))*'成交明细'!$B$5:$B$804)),"")</f>
        <v/>
      </c>
      <c r="T235" s="32" t="n"/>
      <c r="U235" s="35" t="str">
        <f>IF(A235="","",SUMIFS('成交明细'!$F$5:$F$804,'成交明细'!$A$5:$A$804,A235,'成交明细'!$D$5:$D$804,IF(E235="空","卖","买")))</f>
        <v/>
      </c>
      <c r="V235" s="40" t="str">
        <f>IF(N(U235)&gt;0,SUMIFS('成交明细'!$H$5:$H$804,'成交明细'!$A$5:$A$804,A235,'成交明细'!$D$5:$D$804,IF(E235="空","卖","买"))/U235,"")</f>
        <v/>
      </c>
      <c r="W235" s="35" t="str">
        <f>IF(A235="","",SUMIFS('成交明细'!$F$5:$F$804,'成交明细'!$A$5:$A$804,A235,'成交明细'!$D$5:$D$804,IF(E235="空","买","卖")))</f>
        <v/>
      </c>
      <c r="X235" s="40" t="str">
        <f>IF(N(W235)&gt;0,SUMIFS('成交明细'!$H$5:$H$804,'成交明细'!$A$5:$A$804,A235,'成交明细'!$D$5:$D$804,IF(E235="空","买","卖"))/W235,"")</f>
        <v/>
      </c>
      <c r="Y235" s="41" t="str">
        <f>IF(A235="","",IF(Q235&lt;&gt;"已执行",IF(Q235="","未填执行情况",Q235),IF(N(U235)=0,"待录成交",IF(N(W235)&gt;N(U235),"平仓多于开仓",IF(N(W235)&lt;N(U235),"持仓中","已平仓")))))</f>
        <v/>
      </c>
      <c r="Z235" s="41" t="str">
        <f>IF(AND(ISNUMBER(R235),ISNUMBER(S235)),IF(R235=S235,"日内",""),"")</f>
        <v/>
      </c>
      <c r="AA235" s="42" t="str">
        <f>IF(Z235&lt;&gt;"日内","",COUNTIFS($Z$5:$Z$304,"日内",$S$5:$S$304,"&gt;"&amp;WORKDAY(S235,-5),$S$5:$S$304,"&lt;="&amp;S235))</f>
        <v/>
      </c>
      <c r="AB235" s="41" t="str">
        <f>IF(OR(NOT(ISNUMBER(M235)),NOT(ISNUMBER(R235))),"",IF(AND(M235&gt;=R235,OR(NOT(ISNUMBER(S235)),M235&lt;=S235)),"持仓跨财报",""))</f>
        <v/>
      </c>
      <c r="AC235" s="20">
        <f>IF(AND(E235="空",ISNUMBER(O235),ISNUMBER(S235)),ROUND(O235*(S235-R235)/360*V235*U235,2),0)</f>
        <v>0</v>
      </c>
      <c r="AD235" s="43" t="str">
        <f>IF(N(U235)=0,"",SUMIFS('成交明细'!$L$5:$L$804,'成交明细'!$A$5:$A$804,A235)+AC235)</f>
        <v/>
      </c>
      <c r="AE235" s="44" t="str">
        <f>IF(Y235&lt;&gt;"已平仓","",(SUMIFS('成交明细'!$H$5:$H$804,'成交明细'!$A$5:$A$804,A235,'成交明细'!$D$5:$D$804,"卖")-SUMIFS('成交明细'!$H$5:$H$804,'成交明细'!$A$5:$A$804,A235,'成交明细'!$D$5:$D$804,"买"))*1-AD235)</f>
        <v/>
      </c>
      <c r="AF235" s="45" t="str">
        <f>IF(AND(Y235="已平仓",ISNUMBER(L235)),(SUMIFS('成交明细'!$H$5:$H$804,'成交明细'!$A$5:$A$804,A235,'成交明细'!$D$5:$D$804,"卖")-SUMIFS('成交明细'!$H$5:$H$804,'成交明细'!$A$5:$A$804,A235,'成交明细'!$D$5:$D$804,"买"))*1/L235,"")</f>
        <v/>
      </c>
      <c r="AG235" s="45" t="str">
        <f>IF(AND(Y235="已平仓",ISNUMBER(L235)),AE235/L235,"")</f>
        <v/>
      </c>
      <c r="AH235" s="46" t="str">
        <f>IF(AND(ISNUMBER(V235),ISNUMBER(F235)),IF(E235="空",F235-V235,V235-F235),"")</f>
        <v/>
      </c>
      <c r="AI235" s="46" t="str">
        <f>IF(OR(NOT(ISNUMBER(AE235)),NOT(ISNUMBER(X235))),"",IF(AE235&lt;0,IF(E235="空",X235-G235,G235-X235),IF(NOT(ISNUMBER(H235)),"",IF(E235="空",X235-H235,H235-X235))))</f>
        <v/>
      </c>
      <c r="AJ235" s="32" t="n"/>
      <c r="AK235" s="32" t="n"/>
      <c r="AL235" s="31" t="n"/>
      <c r="AM235" s="45" t="str">
        <f>IF(A235="","",SUM(AG$5:AG235))</f>
        <v/>
      </c>
      <c r="AN235" s="37" t="str">
        <f>IF(A235="","",MAX(0,MAX(AM$5:AM235))-AM235)</f>
        <v/>
      </c>
    </row>
    <row r="236">
      <c r="A236" s="29" t="n"/>
      <c r="B236" s="30" t="n"/>
      <c r="C236" s="31" t="n"/>
      <c r="D236" s="32" t="n"/>
      <c r="E236" s="32" t="n"/>
      <c r="F236" s="33" t="n"/>
      <c r="G236" s="33" t="n"/>
      <c r="H236" s="33" t="n"/>
      <c r="I236" s="34" t="str">
        <f>IF(AND(ISNUMBER(F236),ISNUMBER(G236),ISNUMBER(H236)),IF(OR(AND(E236="多",F236&gt;G236),AND(E236="空",F236&lt;G236)),ABS(H236-F236)/ABS(F236-G236),"止损方向不对"),"")</f>
        <v/>
      </c>
      <c r="J236" s="35" t="str">
        <f>IF(AND(ISNUMBER(F236),ISNUMBER(G236)),IF(F236=G236,"",IF(INT(ROUND('参数'!$C$7/(ABS(F236-G236)*1+2*'参数'!$C$11+N('参数'!$C$14)*F236+N('参数'!$C$15))/1,6))*1&gt;0,INT(ROUND('参数'!$C$7/(ABS(F236-G236)*1+2*'参数'!$C$11+N('参数'!$C$14)*F236+N('参数'!$C$15))/1,6))*1,"预算不足，这笔不做")),"")</f>
        <v/>
      </c>
      <c r="K236" s="36" t="n"/>
      <c r="L236" s="20" t="str">
        <f>IF(AND(ISNUMBER(F236),ISNUMBER(G236),ISNUMBER(K236)),IF(AND(F236&lt;&gt;G236,K236&gt;0),ABS(F236-G236)*K236*1,""),"")</f>
        <v/>
      </c>
      <c r="M236" s="30" t="n"/>
      <c r="N236" s="37" t="str">
        <f>IF(AND(ISNUMBER(L236),ISNUMBER(M236)),IF(E236="空",(G236*(1+'参数'!$C$17)-F236),(F236-G236*(1-'参数'!$C$17)))*K236/L236,"")</f>
        <v/>
      </c>
      <c r="O236" s="38" t="n"/>
      <c r="P236" s="31" t="n"/>
      <c r="Q236" s="32" t="n"/>
      <c r="R236" s="39" t="str">
        <f>IF(N(U236)&gt;0,SUMPRODUCT(LARGE(('成交明细'!$A$5:$A$804=A236)*('成交明细'!$D$5:$D$804=IF(E236="空","卖","买"))*'成交明细'!$B$5:$B$804,COUNTIFS('成交明细'!$A$5:$A$804,A236,'成交明细'!$D$5:$D$804,IF(E236="空","卖","买")))),"")</f>
        <v/>
      </c>
      <c r="S236" s="39" t="str">
        <f>IF(AND(N(U236)&gt;0,N(W236)&gt;=N(U236)),SUMPRODUCT(MAX(('成交明细'!$A$5:$A$804=A236)*('成交明细'!$D$5:$D$804=IF(E236="空","买","卖"))*'成交明细'!$B$5:$B$804)),"")</f>
        <v/>
      </c>
      <c r="T236" s="32" t="n"/>
      <c r="U236" s="35" t="str">
        <f>IF(A236="","",SUMIFS('成交明细'!$F$5:$F$804,'成交明细'!$A$5:$A$804,A236,'成交明细'!$D$5:$D$804,IF(E236="空","卖","买")))</f>
        <v/>
      </c>
      <c r="V236" s="40" t="str">
        <f>IF(N(U236)&gt;0,SUMIFS('成交明细'!$H$5:$H$804,'成交明细'!$A$5:$A$804,A236,'成交明细'!$D$5:$D$804,IF(E236="空","卖","买"))/U236,"")</f>
        <v/>
      </c>
      <c r="W236" s="35" t="str">
        <f>IF(A236="","",SUMIFS('成交明细'!$F$5:$F$804,'成交明细'!$A$5:$A$804,A236,'成交明细'!$D$5:$D$804,IF(E236="空","买","卖")))</f>
        <v/>
      </c>
      <c r="X236" s="40" t="str">
        <f>IF(N(W236)&gt;0,SUMIFS('成交明细'!$H$5:$H$804,'成交明细'!$A$5:$A$804,A236,'成交明细'!$D$5:$D$804,IF(E236="空","买","卖"))/W236,"")</f>
        <v/>
      </c>
      <c r="Y236" s="41" t="str">
        <f>IF(A236="","",IF(Q236&lt;&gt;"已执行",IF(Q236="","未填执行情况",Q236),IF(N(U236)=0,"待录成交",IF(N(W236)&gt;N(U236),"平仓多于开仓",IF(N(W236)&lt;N(U236),"持仓中","已平仓")))))</f>
        <v/>
      </c>
      <c r="Z236" s="41" t="str">
        <f>IF(AND(ISNUMBER(R236),ISNUMBER(S236)),IF(R236=S236,"日内",""),"")</f>
        <v/>
      </c>
      <c r="AA236" s="42" t="str">
        <f>IF(Z236&lt;&gt;"日内","",COUNTIFS($Z$5:$Z$304,"日内",$S$5:$S$304,"&gt;"&amp;WORKDAY(S236,-5),$S$5:$S$304,"&lt;="&amp;S236))</f>
        <v/>
      </c>
      <c r="AB236" s="41" t="str">
        <f>IF(OR(NOT(ISNUMBER(M236)),NOT(ISNUMBER(R236))),"",IF(AND(M236&gt;=R236,OR(NOT(ISNUMBER(S236)),M236&lt;=S236)),"持仓跨财报",""))</f>
        <v/>
      </c>
      <c r="AC236" s="20">
        <f>IF(AND(E236="空",ISNUMBER(O236),ISNUMBER(S236)),ROUND(O236*(S236-R236)/360*V236*U236,2),0)</f>
        <v>0</v>
      </c>
      <c r="AD236" s="43" t="str">
        <f>IF(N(U236)=0,"",SUMIFS('成交明细'!$L$5:$L$804,'成交明细'!$A$5:$A$804,A236)+AC236)</f>
        <v/>
      </c>
      <c r="AE236" s="44" t="str">
        <f>IF(Y236&lt;&gt;"已平仓","",(SUMIFS('成交明细'!$H$5:$H$804,'成交明细'!$A$5:$A$804,A236,'成交明细'!$D$5:$D$804,"卖")-SUMIFS('成交明细'!$H$5:$H$804,'成交明细'!$A$5:$A$804,A236,'成交明细'!$D$5:$D$804,"买"))*1-AD236)</f>
        <v/>
      </c>
      <c r="AF236" s="45" t="str">
        <f>IF(AND(Y236="已平仓",ISNUMBER(L236)),(SUMIFS('成交明细'!$H$5:$H$804,'成交明细'!$A$5:$A$804,A236,'成交明细'!$D$5:$D$804,"卖")-SUMIFS('成交明细'!$H$5:$H$804,'成交明细'!$A$5:$A$804,A236,'成交明细'!$D$5:$D$804,"买"))*1/L236,"")</f>
        <v/>
      </c>
      <c r="AG236" s="45" t="str">
        <f>IF(AND(Y236="已平仓",ISNUMBER(L236)),AE236/L236,"")</f>
        <v/>
      </c>
      <c r="AH236" s="46" t="str">
        <f>IF(AND(ISNUMBER(V236),ISNUMBER(F236)),IF(E236="空",F236-V236,V236-F236),"")</f>
        <v/>
      </c>
      <c r="AI236" s="46" t="str">
        <f>IF(OR(NOT(ISNUMBER(AE236)),NOT(ISNUMBER(X236))),"",IF(AE236&lt;0,IF(E236="空",X236-G236,G236-X236),IF(NOT(ISNUMBER(H236)),"",IF(E236="空",X236-H236,H236-X236))))</f>
        <v/>
      </c>
      <c r="AJ236" s="32" t="n"/>
      <c r="AK236" s="32" t="n"/>
      <c r="AL236" s="31" t="n"/>
      <c r="AM236" s="45" t="str">
        <f>IF(A236="","",SUM(AG$5:AG236))</f>
        <v/>
      </c>
      <c r="AN236" s="37" t="str">
        <f>IF(A236="","",MAX(0,MAX(AM$5:AM236))-AM236)</f>
        <v/>
      </c>
    </row>
    <row r="237">
      <c r="A237" s="29" t="n"/>
      <c r="B237" s="30" t="n"/>
      <c r="C237" s="31" t="n"/>
      <c r="D237" s="32" t="n"/>
      <c r="E237" s="32" t="n"/>
      <c r="F237" s="33" t="n"/>
      <c r="G237" s="33" t="n"/>
      <c r="H237" s="33" t="n"/>
      <c r="I237" s="34" t="str">
        <f>IF(AND(ISNUMBER(F237),ISNUMBER(G237),ISNUMBER(H237)),IF(OR(AND(E237="多",F237&gt;G237),AND(E237="空",F237&lt;G237)),ABS(H237-F237)/ABS(F237-G237),"止损方向不对"),"")</f>
        <v/>
      </c>
      <c r="J237" s="35" t="str">
        <f>IF(AND(ISNUMBER(F237),ISNUMBER(G237)),IF(F237=G237,"",IF(INT(ROUND('参数'!$C$7/(ABS(F237-G237)*1+2*'参数'!$C$11+N('参数'!$C$14)*F237+N('参数'!$C$15))/1,6))*1&gt;0,INT(ROUND('参数'!$C$7/(ABS(F237-G237)*1+2*'参数'!$C$11+N('参数'!$C$14)*F237+N('参数'!$C$15))/1,6))*1,"预算不足，这笔不做")),"")</f>
        <v/>
      </c>
      <c r="K237" s="36" t="n"/>
      <c r="L237" s="20" t="str">
        <f>IF(AND(ISNUMBER(F237),ISNUMBER(G237),ISNUMBER(K237)),IF(AND(F237&lt;&gt;G237,K237&gt;0),ABS(F237-G237)*K237*1,""),"")</f>
        <v/>
      </c>
      <c r="M237" s="30" t="n"/>
      <c r="N237" s="37" t="str">
        <f>IF(AND(ISNUMBER(L237),ISNUMBER(M237)),IF(E237="空",(G237*(1+'参数'!$C$17)-F237),(F237-G237*(1-'参数'!$C$17)))*K237/L237,"")</f>
        <v/>
      </c>
      <c r="O237" s="38" t="n"/>
      <c r="P237" s="31" t="n"/>
      <c r="Q237" s="32" t="n"/>
      <c r="R237" s="39" t="str">
        <f>IF(N(U237)&gt;0,SUMPRODUCT(LARGE(('成交明细'!$A$5:$A$804=A237)*('成交明细'!$D$5:$D$804=IF(E237="空","卖","买"))*'成交明细'!$B$5:$B$804,COUNTIFS('成交明细'!$A$5:$A$804,A237,'成交明细'!$D$5:$D$804,IF(E237="空","卖","买")))),"")</f>
        <v/>
      </c>
      <c r="S237" s="39" t="str">
        <f>IF(AND(N(U237)&gt;0,N(W237)&gt;=N(U237)),SUMPRODUCT(MAX(('成交明细'!$A$5:$A$804=A237)*('成交明细'!$D$5:$D$804=IF(E237="空","买","卖"))*'成交明细'!$B$5:$B$804)),"")</f>
        <v/>
      </c>
      <c r="T237" s="32" t="n"/>
      <c r="U237" s="35" t="str">
        <f>IF(A237="","",SUMIFS('成交明细'!$F$5:$F$804,'成交明细'!$A$5:$A$804,A237,'成交明细'!$D$5:$D$804,IF(E237="空","卖","买")))</f>
        <v/>
      </c>
      <c r="V237" s="40" t="str">
        <f>IF(N(U237)&gt;0,SUMIFS('成交明细'!$H$5:$H$804,'成交明细'!$A$5:$A$804,A237,'成交明细'!$D$5:$D$804,IF(E237="空","卖","买"))/U237,"")</f>
        <v/>
      </c>
      <c r="W237" s="35" t="str">
        <f>IF(A237="","",SUMIFS('成交明细'!$F$5:$F$804,'成交明细'!$A$5:$A$804,A237,'成交明细'!$D$5:$D$804,IF(E237="空","买","卖")))</f>
        <v/>
      </c>
      <c r="X237" s="40" t="str">
        <f>IF(N(W237)&gt;0,SUMIFS('成交明细'!$H$5:$H$804,'成交明细'!$A$5:$A$804,A237,'成交明细'!$D$5:$D$804,IF(E237="空","买","卖"))/W237,"")</f>
        <v/>
      </c>
      <c r="Y237" s="41" t="str">
        <f>IF(A237="","",IF(Q237&lt;&gt;"已执行",IF(Q237="","未填执行情况",Q237),IF(N(U237)=0,"待录成交",IF(N(W237)&gt;N(U237),"平仓多于开仓",IF(N(W237)&lt;N(U237),"持仓中","已平仓")))))</f>
        <v/>
      </c>
      <c r="Z237" s="41" t="str">
        <f>IF(AND(ISNUMBER(R237),ISNUMBER(S237)),IF(R237=S237,"日内",""),"")</f>
        <v/>
      </c>
      <c r="AA237" s="42" t="str">
        <f>IF(Z237&lt;&gt;"日内","",COUNTIFS($Z$5:$Z$304,"日内",$S$5:$S$304,"&gt;"&amp;WORKDAY(S237,-5),$S$5:$S$304,"&lt;="&amp;S237))</f>
        <v/>
      </c>
      <c r="AB237" s="41" t="str">
        <f>IF(OR(NOT(ISNUMBER(M237)),NOT(ISNUMBER(R237))),"",IF(AND(M237&gt;=R237,OR(NOT(ISNUMBER(S237)),M237&lt;=S237)),"持仓跨财报",""))</f>
        <v/>
      </c>
      <c r="AC237" s="20">
        <f>IF(AND(E237="空",ISNUMBER(O237),ISNUMBER(S237)),ROUND(O237*(S237-R237)/360*V237*U237,2),0)</f>
        <v>0</v>
      </c>
      <c r="AD237" s="43" t="str">
        <f>IF(N(U237)=0,"",SUMIFS('成交明细'!$L$5:$L$804,'成交明细'!$A$5:$A$804,A237)+AC237)</f>
        <v/>
      </c>
      <c r="AE237" s="44" t="str">
        <f>IF(Y237&lt;&gt;"已平仓","",(SUMIFS('成交明细'!$H$5:$H$804,'成交明细'!$A$5:$A$804,A237,'成交明细'!$D$5:$D$804,"卖")-SUMIFS('成交明细'!$H$5:$H$804,'成交明细'!$A$5:$A$804,A237,'成交明细'!$D$5:$D$804,"买"))*1-AD237)</f>
        <v/>
      </c>
      <c r="AF237" s="45" t="str">
        <f>IF(AND(Y237="已平仓",ISNUMBER(L237)),(SUMIFS('成交明细'!$H$5:$H$804,'成交明细'!$A$5:$A$804,A237,'成交明细'!$D$5:$D$804,"卖")-SUMIFS('成交明细'!$H$5:$H$804,'成交明细'!$A$5:$A$804,A237,'成交明细'!$D$5:$D$804,"买"))*1/L237,"")</f>
        <v/>
      </c>
      <c r="AG237" s="45" t="str">
        <f>IF(AND(Y237="已平仓",ISNUMBER(L237)),AE237/L237,"")</f>
        <v/>
      </c>
      <c r="AH237" s="46" t="str">
        <f>IF(AND(ISNUMBER(V237),ISNUMBER(F237)),IF(E237="空",F237-V237,V237-F237),"")</f>
        <v/>
      </c>
      <c r="AI237" s="46" t="str">
        <f>IF(OR(NOT(ISNUMBER(AE237)),NOT(ISNUMBER(X237))),"",IF(AE237&lt;0,IF(E237="空",X237-G237,G237-X237),IF(NOT(ISNUMBER(H237)),"",IF(E237="空",X237-H237,H237-X237))))</f>
        <v/>
      </c>
      <c r="AJ237" s="32" t="n"/>
      <c r="AK237" s="32" t="n"/>
      <c r="AL237" s="31" t="n"/>
      <c r="AM237" s="45" t="str">
        <f>IF(A237="","",SUM(AG$5:AG237))</f>
        <v/>
      </c>
      <c r="AN237" s="37" t="str">
        <f>IF(A237="","",MAX(0,MAX(AM$5:AM237))-AM237)</f>
        <v/>
      </c>
    </row>
    <row r="238">
      <c r="A238" s="29" t="n"/>
      <c r="B238" s="30" t="n"/>
      <c r="C238" s="31" t="n"/>
      <c r="D238" s="32" t="n"/>
      <c r="E238" s="32" t="n"/>
      <c r="F238" s="33" t="n"/>
      <c r="G238" s="33" t="n"/>
      <c r="H238" s="33" t="n"/>
      <c r="I238" s="34" t="str">
        <f>IF(AND(ISNUMBER(F238),ISNUMBER(G238),ISNUMBER(H238)),IF(OR(AND(E238="多",F238&gt;G238),AND(E238="空",F238&lt;G238)),ABS(H238-F238)/ABS(F238-G238),"止损方向不对"),"")</f>
        <v/>
      </c>
      <c r="J238" s="35" t="str">
        <f>IF(AND(ISNUMBER(F238),ISNUMBER(G238)),IF(F238=G238,"",IF(INT(ROUND('参数'!$C$7/(ABS(F238-G238)*1+2*'参数'!$C$11+N('参数'!$C$14)*F238+N('参数'!$C$15))/1,6))*1&gt;0,INT(ROUND('参数'!$C$7/(ABS(F238-G238)*1+2*'参数'!$C$11+N('参数'!$C$14)*F238+N('参数'!$C$15))/1,6))*1,"预算不足，这笔不做")),"")</f>
        <v/>
      </c>
      <c r="K238" s="36" t="n"/>
      <c r="L238" s="20" t="str">
        <f>IF(AND(ISNUMBER(F238),ISNUMBER(G238),ISNUMBER(K238)),IF(AND(F238&lt;&gt;G238,K238&gt;0),ABS(F238-G238)*K238*1,""),"")</f>
        <v/>
      </c>
      <c r="M238" s="30" t="n"/>
      <c r="N238" s="37" t="str">
        <f>IF(AND(ISNUMBER(L238),ISNUMBER(M238)),IF(E238="空",(G238*(1+'参数'!$C$17)-F238),(F238-G238*(1-'参数'!$C$17)))*K238/L238,"")</f>
        <v/>
      </c>
      <c r="O238" s="38" t="n"/>
      <c r="P238" s="31" t="n"/>
      <c r="Q238" s="32" t="n"/>
      <c r="R238" s="39" t="str">
        <f>IF(N(U238)&gt;0,SUMPRODUCT(LARGE(('成交明细'!$A$5:$A$804=A238)*('成交明细'!$D$5:$D$804=IF(E238="空","卖","买"))*'成交明细'!$B$5:$B$804,COUNTIFS('成交明细'!$A$5:$A$804,A238,'成交明细'!$D$5:$D$804,IF(E238="空","卖","买")))),"")</f>
        <v/>
      </c>
      <c r="S238" s="39" t="str">
        <f>IF(AND(N(U238)&gt;0,N(W238)&gt;=N(U238)),SUMPRODUCT(MAX(('成交明细'!$A$5:$A$804=A238)*('成交明细'!$D$5:$D$804=IF(E238="空","买","卖"))*'成交明细'!$B$5:$B$804)),"")</f>
        <v/>
      </c>
      <c r="T238" s="32" t="n"/>
      <c r="U238" s="35" t="str">
        <f>IF(A238="","",SUMIFS('成交明细'!$F$5:$F$804,'成交明细'!$A$5:$A$804,A238,'成交明细'!$D$5:$D$804,IF(E238="空","卖","买")))</f>
        <v/>
      </c>
      <c r="V238" s="40" t="str">
        <f>IF(N(U238)&gt;0,SUMIFS('成交明细'!$H$5:$H$804,'成交明细'!$A$5:$A$804,A238,'成交明细'!$D$5:$D$804,IF(E238="空","卖","买"))/U238,"")</f>
        <v/>
      </c>
      <c r="W238" s="35" t="str">
        <f>IF(A238="","",SUMIFS('成交明细'!$F$5:$F$804,'成交明细'!$A$5:$A$804,A238,'成交明细'!$D$5:$D$804,IF(E238="空","买","卖")))</f>
        <v/>
      </c>
      <c r="X238" s="40" t="str">
        <f>IF(N(W238)&gt;0,SUMIFS('成交明细'!$H$5:$H$804,'成交明细'!$A$5:$A$804,A238,'成交明细'!$D$5:$D$804,IF(E238="空","买","卖"))/W238,"")</f>
        <v/>
      </c>
      <c r="Y238" s="41" t="str">
        <f>IF(A238="","",IF(Q238&lt;&gt;"已执行",IF(Q238="","未填执行情况",Q238),IF(N(U238)=0,"待录成交",IF(N(W238)&gt;N(U238),"平仓多于开仓",IF(N(W238)&lt;N(U238),"持仓中","已平仓")))))</f>
        <v/>
      </c>
      <c r="Z238" s="41" t="str">
        <f>IF(AND(ISNUMBER(R238),ISNUMBER(S238)),IF(R238=S238,"日内",""),"")</f>
        <v/>
      </c>
      <c r="AA238" s="42" t="str">
        <f>IF(Z238&lt;&gt;"日内","",COUNTIFS($Z$5:$Z$304,"日内",$S$5:$S$304,"&gt;"&amp;WORKDAY(S238,-5),$S$5:$S$304,"&lt;="&amp;S238))</f>
        <v/>
      </c>
      <c r="AB238" s="41" t="str">
        <f>IF(OR(NOT(ISNUMBER(M238)),NOT(ISNUMBER(R238))),"",IF(AND(M238&gt;=R238,OR(NOT(ISNUMBER(S238)),M238&lt;=S238)),"持仓跨财报",""))</f>
        <v/>
      </c>
      <c r="AC238" s="20">
        <f>IF(AND(E238="空",ISNUMBER(O238),ISNUMBER(S238)),ROUND(O238*(S238-R238)/360*V238*U238,2),0)</f>
        <v>0</v>
      </c>
      <c r="AD238" s="43" t="str">
        <f>IF(N(U238)=0,"",SUMIFS('成交明细'!$L$5:$L$804,'成交明细'!$A$5:$A$804,A238)+AC238)</f>
        <v/>
      </c>
      <c r="AE238" s="44" t="str">
        <f>IF(Y238&lt;&gt;"已平仓","",(SUMIFS('成交明细'!$H$5:$H$804,'成交明细'!$A$5:$A$804,A238,'成交明细'!$D$5:$D$804,"卖")-SUMIFS('成交明细'!$H$5:$H$804,'成交明细'!$A$5:$A$804,A238,'成交明细'!$D$5:$D$804,"买"))*1-AD238)</f>
        <v/>
      </c>
      <c r="AF238" s="45" t="str">
        <f>IF(AND(Y238="已平仓",ISNUMBER(L238)),(SUMIFS('成交明细'!$H$5:$H$804,'成交明细'!$A$5:$A$804,A238,'成交明细'!$D$5:$D$804,"卖")-SUMIFS('成交明细'!$H$5:$H$804,'成交明细'!$A$5:$A$804,A238,'成交明细'!$D$5:$D$804,"买"))*1/L238,"")</f>
        <v/>
      </c>
      <c r="AG238" s="45" t="str">
        <f>IF(AND(Y238="已平仓",ISNUMBER(L238)),AE238/L238,"")</f>
        <v/>
      </c>
      <c r="AH238" s="46" t="str">
        <f>IF(AND(ISNUMBER(V238),ISNUMBER(F238)),IF(E238="空",F238-V238,V238-F238),"")</f>
        <v/>
      </c>
      <c r="AI238" s="46" t="str">
        <f>IF(OR(NOT(ISNUMBER(AE238)),NOT(ISNUMBER(X238))),"",IF(AE238&lt;0,IF(E238="空",X238-G238,G238-X238),IF(NOT(ISNUMBER(H238)),"",IF(E238="空",X238-H238,H238-X238))))</f>
        <v/>
      </c>
      <c r="AJ238" s="32" t="n"/>
      <c r="AK238" s="32" t="n"/>
      <c r="AL238" s="31" t="n"/>
      <c r="AM238" s="45" t="str">
        <f>IF(A238="","",SUM(AG$5:AG238))</f>
        <v/>
      </c>
      <c r="AN238" s="37" t="str">
        <f>IF(A238="","",MAX(0,MAX(AM$5:AM238))-AM238)</f>
        <v/>
      </c>
    </row>
    <row r="239">
      <c r="A239" s="29" t="n"/>
      <c r="B239" s="30" t="n"/>
      <c r="C239" s="31" t="n"/>
      <c r="D239" s="32" t="n"/>
      <c r="E239" s="32" t="n"/>
      <c r="F239" s="33" t="n"/>
      <c r="G239" s="33" t="n"/>
      <c r="H239" s="33" t="n"/>
      <c r="I239" s="34" t="str">
        <f>IF(AND(ISNUMBER(F239),ISNUMBER(G239),ISNUMBER(H239)),IF(OR(AND(E239="多",F239&gt;G239),AND(E239="空",F239&lt;G239)),ABS(H239-F239)/ABS(F239-G239),"止损方向不对"),"")</f>
        <v/>
      </c>
      <c r="J239" s="35" t="str">
        <f>IF(AND(ISNUMBER(F239),ISNUMBER(G239)),IF(F239=G239,"",IF(INT(ROUND('参数'!$C$7/(ABS(F239-G239)*1+2*'参数'!$C$11+N('参数'!$C$14)*F239+N('参数'!$C$15))/1,6))*1&gt;0,INT(ROUND('参数'!$C$7/(ABS(F239-G239)*1+2*'参数'!$C$11+N('参数'!$C$14)*F239+N('参数'!$C$15))/1,6))*1,"预算不足，这笔不做")),"")</f>
        <v/>
      </c>
      <c r="K239" s="36" t="n"/>
      <c r="L239" s="20" t="str">
        <f>IF(AND(ISNUMBER(F239),ISNUMBER(G239),ISNUMBER(K239)),IF(AND(F239&lt;&gt;G239,K239&gt;0),ABS(F239-G239)*K239*1,""),"")</f>
        <v/>
      </c>
      <c r="M239" s="30" t="n"/>
      <c r="N239" s="37" t="str">
        <f>IF(AND(ISNUMBER(L239),ISNUMBER(M239)),IF(E239="空",(G239*(1+'参数'!$C$17)-F239),(F239-G239*(1-'参数'!$C$17)))*K239/L239,"")</f>
        <v/>
      </c>
      <c r="O239" s="38" t="n"/>
      <c r="P239" s="31" t="n"/>
      <c r="Q239" s="32" t="n"/>
      <c r="R239" s="39" t="str">
        <f>IF(N(U239)&gt;0,SUMPRODUCT(LARGE(('成交明细'!$A$5:$A$804=A239)*('成交明细'!$D$5:$D$804=IF(E239="空","卖","买"))*'成交明细'!$B$5:$B$804,COUNTIFS('成交明细'!$A$5:$A$804,A239,'成交明细'!$D$5:$D$804,IF(E239="空","卖","买")))),"")</f>
        <v/>
      </c>
      <c r="S239" s="39" t="str">
        <f>IF(AND(N(U239)&gt;0,N(W239)&gt;=N(U239)),SUMPRODUCT(MAX(('成交明细'!$A$5:$A$804=A239)*('成交明细'!$D$5:$D$804=IF(E239="空","买","卖"))*'成交明细'!$B$5:$B$804)),"")</f>
        <v/>
      </c>
      <c r="T239" s="32" t="n"/>
      <c r="U239" s="35" t="str">
        <f>IF(A239="","",SUMIFS('成交明细'!$F$5:$F$804,'成交明细'!$A$5:$A$804,A239,'成交明细'!$D$5:$D$804,IF(E239="空","卖","买")))</f>
        <v/>
      </c>
      <c r="V239" s="40" t="str">
        <f>IF(N(U239)&gt;0,SUMIFS('成交明细'!$H$5:$H$804,'成交明细'!$A$5:$A$804,A239,'成交明细'!$D$5:$D$804,IF(E239="空","卖","买"))/U239,"")</f>
        <v/>
      </c>
      <c r="W239" s="35" t="str">
        <f>IF(A239="","",SUMIFS('成交明细'!$F$5:$F$804,'成交明细'!$A$5:$A$804,A239,'成交明细'!$D$5:$D$804,IF(E239="空","买","卖")))</f>
        <v/>
      </c>
      <c r="X239" s="40" t="str">
        <f>IF(N(W239)&gt;0,SUMIFS('成交明细'!$H$5:$H$804,'成交明细'!$A$5:$A$804,A239,'成交明细'!$D$5:$D$804,IF(E239="空","买","卖"))/W239,"")</f>
        <v/>
      </c>
      <c r="Y239" s="41" t="str">
        <f>IF(A239="","",IF(Q239&lt;&gt;"已执行",IF(Q239="","未填执行情况",Q239),IF(N(U239)=0,"待录成交",IF(N(W239)&gt;N(U239),"平仓多于开仓",IF(N(W239)&lt;N(U239),"持仓中","已平仓")))))</f>
        <v/>
      </c>
      <c r="Z239" s="41" t="str">
        <f>IF(AND(ISNUMBER(R239),ISNUMBER(S239)),IF(R239=S239,"日内",""),"")</f>
        <v/>
      </c>
      <c r="AA239" s="42" t="str">
        <f>IF(Z239&lt;&gt;"日内","",COUNTIFS($Z$5:$Z$304,"日内",$S$5:$S$304,"&gt;"&amp;WORKDAY(S239,-5),$S$5:$S$304,"&lt;="&amp;S239))</f>
        <v/>
      </c>
      <c r="AB239" s="41" t="str">
        <f>IF(OR(NOT(ISNUMBER(M239)),NOT(ISNUMBER(R239))),"",IF(AND(M239&gt;=R239,OR(NOT(ISNUMBER(S239)),M239&lt;=S239)),"持仓跨财报",""))</f>
        <v/>
      </c>
      <c r="AC239" s="20">
        <f>IF(AND(E239="空",ISNUMBER(O239),ISNUMBER(S239)),ROUND(O239*(S239-R239)/360*V239*U239,2),0)</f>
        <v>0</v>
      </c>
      <c r="AD239" s="43" t="str">
        <f>IF(N(U239)=0,"",SUMIFS('成交明细'!$L$5:$L$804,'成交明细'!$A$5:$A$804,A239)+AC239)</f>
        <v/>
      </c>
      <c r="AE239" s="44" t="str">
        <f>IF(Y239&lt;&gt;"已平仓","",(SUMIFS('成交明细'!$H$5:$H$804,'成交明细'!$A$5:$A$804,A239,'成交明细'!$D$5:$D$804,"卖")-SUMIFS('成交明细'!$H$5:$H$804,'成交明细'!$A$5:$A$804,A239,'成交明细'!$D$5:$D$804,"买"))*1-AD239)</f>
        <v/>
      </c>
      <c r="AF239" s="45" t="str">
        <f>IF(AND(Y239="已平仓",ISNUMBER(L239)),(SUMIFS('成交明细'!$H$5:$H$804,'成交明细'!$A$5:$A$804,A239,'成交明细'!$D$5:$D$804,"卖")-SUMIFS('成交明细'!$H$5:$H$804,'成交明细'!$A$5:$A$804,A239,'成交明细'!$D$5:$D$804,"买"))*1/L239,"")</f>
        <v/>
      </c>
      <c r="AG239" s="45" t="str">
        <f>IF(AND(Y239="已平仓",ISNUMBER(L239)),AE239/L239,"")</f>
        <v/>
      </c>
      <c r="AH239" s="46" t="str">
        <f>IF(AND(ISNUMBER(V239),ISNUMBER(F239)),IF(E239="空",F239-V239,V239-F239),"")</f>
        <v/>
      </c>
      <c r="AI239" s="46" t="str">
        <f>IF(OR(NOT(ISNUMBER(AE239)),NOT(ISNUMBER(X239))),"",IF(AE239&lt;0,IF(E239="空",X239-G239,G239-X239),IF(NOT(ISNUMBER(H239)),"",IF(E239="空",X239-H239,H239-X239))))</f>
        <v/>
      </c>
      <c r="AJ239" s="32" t="n"/>
      <c r="AK239" s="32" t="n"/>
      <c r="AL239" s="31" t="n"/>
      <c r="AM239" s="45" t="str">
        <f>IF(A239="","",SUM(AG$5:AG239))</f>
        <v/>
      </c>
      <c r="AN239" s="37" t="str">
        <f>IF(A239="","",MAX(0,MAX(AM$5:AM239))-AM239)</f>
        <v/>
      </c>
    </row>
    <row r="240">
      <c r="A240" s="29" t="n"/>
      <c r="B240" s="30" t="n"/>
      <c r="C240" s="31" t="n"/>
      <c r="D240" s="32" t="n"/>
      <c r="E240" s="32" t="n"/>
      <c r="F240" s="33" t="n"/>
      <c r="G240" s="33" t="n"/>
      <c r="H240" s="33" t="n"/>
      <c r="I240" s="34" t="str">
        <f>IF(AND(ISNUMBER(F240),ISNUMBER(G240),ISNUMBER(H240)),IF(OR(AND(E240="多",F240&gt;G240),AND(E240="空",F240&lt;G240)),ABS(H240-F240)/ABS(F240-G240),"止损方向不对"),"")</f>
        <v/>
      </c>
      <c r="J240" s="35" t="str">
        <f>IF(AND(ISNUMBER(F240),ISNUMBER(G240)),IF(F240=G240,"",IF(INT(ROUND('参数'!$C$7/(ABS(F240-G240)*1+2*'参数'!$C$11+N('参数'!$C$14)*F240+N('参数'!$C$15))/1,6))*1&gt;0,INT(ROUND('参数'!$C$7/(ABS(F240-G240)*1+2*'参数'!$C$11+N('参数'!$C$14)*F240+N('参数'!$C$15))/1,6))*1,"预算不足，这笔不做")),"")</f>
        <v/>
      </c>
      <c r="K240" s="36" t="n"/>
      <c r="L240" s="20" t="str">
        <f>IF(AND(ISNUMBER(F240),ISNUMBER(G240),ISNUMBER(K240)),IF(AND(F240&lt;&gt;G240,K240&gt;0),ABS(F240-G240)*K240*1,""),"")</f>
        <v/>
      </c>
      <c r="M240" s="30" t="n"/>
      <c r="N240" s="37" t="str">
        <f>IF(AND(ISNUMBER(L240),ISNUMBER(M240)),IF(E240="空",(G240*(1+'参数'!$C$17)-F240),(F240-G240*(1-'参数'!$C$17)))*K240/L240,"")</f>
        <v/>
      </c>
      <c r="O240" s="38" t="n"/>
      <c r="P240" s="31" t="n"/>
      <c r="Q240" s="32" t="n"/>
      <c r="R240" s="39" t="str">
        <f>IF(N(U240)&gt;0,SUMPRODUCT(LARGE(('成交明细'!$A$5:$A$804=A240)*('成交明细'!$D$5:$D$804=IF(E240="空","卖","买"))*'成交明细'!$B$5:$B$804,COUNTIFS('成交明细'!$A$5:$A$804,A240,'成交明细'!$D$5:$D$804,IF(E240="空","卖","买")))),"")</f>
        <v/>
      </c>
      <c r="S240" s="39" t="str">
        <f>IF(AND(N(U240)&gt;0,N(W240)&gt;=N(U240)),SUMPRODUCT(MAX(('成交明细'!$A$5:$A$804=A240)*('成交明细'!$D$5:$D$804=IF(E240="空","买","卖"))*'成交明细'!$B$5:$B$804)),"")</f>
        <v/>
      </c>
      <c r="T240" s="32" t="n"/>
      <c r="U240" s="35" t="str">
        <f>IF(A240="","",SUMIFS('成交明细'!$F$5:$F$804,'成交明细'!$A$5:$A$804,A240,'成交明细'!$D$5:$D$804,IF(E240="空","卖","买")))</f>
        <v/>
      </c>
      <c r="V240" s="40" t="str">
        <f>IF(N(U240)&gt;0,SUMIFS('成交明细'!$H$5:$H$804,'成交明细'!$A$5:$A$804,A240,'成交明细'!$D$5:$D$804,IF(E240="空","卖","买"))/U240,"")</f>
        <v/>
      </c>
      <c r="W240" s="35" t="str">
        <f>IF(A240="","",SUMIFS('成交明细'!$F$5:$F$804,'成交明细'!$A$5:$A$804,A240,'成交明细'!$D$5:$D$804,IF(E240="空","买","卖")))</f>
        <v/>
      </c>
      <c r="X240" s="40" t="str">
        <f>IF(N(W240)&gt;0,SUMIFS('成交明细'!$H$5:$H$804,'成交明细'!$A$5:$A$804,A240,'成交明细'!$D$5:$D$804,IF(E240="空","买","卖"))/W240,"")</f>
        <v/>
      </c>
      <c r="Y240" s="41" t="str">
        <f>IF(A240="","",IF(Q240&lt;&gt;"已执行",IF(Q240="","未填执行情况",Q240),IF(N(U240)=0,"待录成交",IF(N(W240)&gt;N(U240),"平仓多于开仓",IF(N(W240)&lt;N(U240),"持仓中","已平仓")))))</f>
        <v/>
      </c>
      <c r="Z240" s="41" t="str">
        <f>IF(AND(ISNUMBER(R240),ISNUMBER(S240)),IF(R240=S240,"日内",""),"")</f>
        <v/>
      </c>
      <c r="AA240" s="42" t="str">
        <f>IF(Z240&lt;&gt;"日内","",COUNTIFS($Z$5:$Z$304,"日内",$S$5:$S$304,"&gt;"&amp;WORKDAY(S240,-5),$S$5:$S$304,"&lt;="&amp;S240))</f>
        <v/>
      </c>
      <c r="AB240" s="41" t="str">
        <f>IF(OR(NOT(ISNUMBER(M240)),NOT(ISNUMBER(R240))),"",IF(AND(M240&gt;=R240,OR(NOT(ISNUMBER(S240)),M240&lt;=S240)),"持仓跨财报",""))</f>
        <v/>
      </c>
      <c r="AC240" s="20">
        <f>IF(AND(E240="空",ISNUMBER(O240),ISNUMBER(S240)),ROUND(O240*(S240-R240)/360*V240*U240,2),0)</f>
        <v>0</v>
      </c>
      <c r="AD240" s="43" t="str">
        <f>IF(N(U240)=0,"",SUMIFS('成交明细'!$L$5:$L$804,'成交明细'!$A$5:$A$804,A240)+AC240)</f>
        <v/>
      </c>
      <c r="AE240" s="44" t="str">
        <f>IF(Y240&lt;&gt;"已平仓","",(SUMIFS('成交明细'!$H$5:$H$804,'成交明细'!$A$5:$A$804,A240,'成交明细'!$D$5:$D$804,"卖")-SUMIFS('成交明细'!$H$5:$H$804,'成交明细'!$A$5:$A$804,A240,'成交明细'!$D$5:$D$804,"买"))*1-AD240)</f>
        <v/>
      </c>
      <c r="AF240" s="45" t="str">
        <f>IF(AND(Y240="已平仓",ISNUMBER(L240)),(SUMIFS('成交明细'!$H$5:$H$804,'成交明细'!$A$5:$A$804,A240,'成交明细'!$D$5:$D$804,"卖")-SUMIFS('成交明细'!$H$5:$H$804,'成交明细'!$A$5:$A$804,A240,'成交明细'!$D$5:$D$804,"买"))*1/L240,"")</f>
        <v/>
      </c>
      <c r="AG240" s="45" t="str">
        <f>IF(AND(Y240="已平仓",ISNUMBER(L240)),AE240/L240,"")</f>
        <v/>
      </c>
      <c r="AH240" s="46" t="str">
        <f>IF(AND(ISNUMBER(V240),ISNUMBER(F240)),IF(E240="空",F240-V240,V240-F240),"")</f>
        <v/>
      </c>
      <c r="AI240" s="46" t="str">
        <f>IF(OR(NOT(ISNUMBER(AE240)),NOT(ISNUMBER(X240))),"",IF(AE240&lt;0,IF(E240="空",X240-G240,G240-X240),IF(NOT(ISNUMBER(H240)),"",IF(E240="空",X240-H240,H240-X240))))</f>
        <v/>
      </c>
      <c r="AJ240" s="32" t="n"/>
      <c r="AK240" s="32" t="n"/>
      <c r="AL240" s="31" t="n"/>
      <c r="AM240" s="45" t="str">
        <f>IF(A240="","",SUM(AG$5:AG240))</f>
        <v/>
      </c>
      <c r="AN240" s="37" t="str">
        <f>IF(A240="","",MAX(0,MAX(AM$5:AM240))-AM240)</f>
        <v/>
      </c>
    </row>
    <row r="241">
      <c r="A241" s="29" t="n"/>
      <c r="B241" s="30" t="n"/>
      <c r="C241" s="31" t="n"/>
      <c r="D241" s="32" t="n"/>
      <c r="E241" s="32" t="n"/>
      <c r="F241" s="33" t="n"/>
      <c r="G241" s="33" t="n"/>
      <c r="H241" s="33" t="n"/>
      <c r="I241" s="34" t="str">
        <f>IF(AND(ISNUMBER(F241),ISNUMBER(G241),ISNUMBER(H241)),IF(OR(AND(E241="多",F241&gt;G241),AND(E241="空",F241&lt;G241)),ABS(H241-F241)/ABS(F241-G241),"止损方向不对"),"")</f>
        <v/>
      </c>
      <c r="J241" s="35" t="str">
        <f>IF(AND(ISNUMBER(F241),ISNUMBER(G241)),IF(F241=G241,"",IF(INT(ROUND('参数'!$C$7/(ABS(F241-G241)*1+2*'参数'!$C$11+N('参数'!$C$14)*F241+N('参数'!$C$15))/1,6))*1&gt;0,INT(ROUND('参数'!$C$7/(ABS(F241-G241)*1+2*'参数'!$C$11+N('参数'!$C$14)*F241+N('参数'!$C$15))/1,6))*1,"预算不足，这笔不做")),"")</f>
        <v/>
      </c>
      <c r="K241" s="36" t="n"/>
      <c r="L241" s="20" t="str">
        <f>IF(AND(ISNUMBER(F241),ISNUMBER(G241),ISNUMBER(K241)),IF(AND(F241&lt;&gt;G241,K241&gt;0),ABS(F241-G241)*K241*1,""),"")</f>
        <v/>
      </c>
      <c r="M241" s="30" t="n"/>
      <c r="N241" s="37" t="str">
        <f>IF(AND(ISNUMBER(L241),ISNUMBER(M241)),IF(E241="空",(G241*(1+'参数'!$C$17)-F241),(F241-G241*(1-'参数'!$C$17)))*K241/L241,"")</f>
        <v/>
      </c>
      <c r="O241" s="38" t="n"/>
      <c r="P241" s="31" t="n"/>
      <c r="Q241" s="32" t="n"/>
      <c r="R241" s="39" t="str">
        <f>IF(N(U241)&gt;0,SUMPRODUCT(LARGE(('成交明细'!$A$5:$A$804=A241)*('成交明细'!$D$5:$D$804=IF(E241="空","卖","买"))*'成交明细'!$B$5:$B$804,COUNTIFS('成交明细'!$A$5:$A$804,A241,'成交明细'!$D$5:$D$804,IF(E241="空","卖","买")))),"")</f>
        <v/>
      </c>
      <c r="S241" s="39" t="str">
        <f>IF(AND(N(U241)&gt;0,N(W241)&gt;=N(U241)),SUMPRODUCT(MAX(('成交明细'!$A$5:$A$804=A241)*('成交明细'!$D$5:$D$804=IF(E241="空","买","卖"))*'成交明细'!$B$5:$B$804)),"")</f>
        <v/>
      </c>
      <c r="T241" s="32" t="n"/>
      <c r="U241" s="35" t="str">
        <f>IF(A241="","",SUMIFS('成交明细'!$F$5:$F$804,'成交明细'!$A$5:$A$804,A241,'成交明细'!$D$5:$D$804,IF(E241="空","卖","买")))</f>
        <v/>
      </c>
      <c r="V241" s="40" t="str">
        <f>IF(N(U241)&gt;0,SUMIFS('成交明细'!$H$5:$H$804,'成交明细'!$A$5:$A$804,A241,'成交明细'!$D$5:$D$804,IF(E241="空","卖","买"))/U241,"")</f>
        <v/>
      </c>
      <c r="W241" s="35" t="str">
        <f>IF(A241="","",SUMIFS('成交明细'!$F$5:$F$804,'成交明细'!$A$5:$A$804,A241,'成交明细'!$D$5:$D$804,IF(E241="空","买","卖")))</f>
        <v/>
      </c>
      <c r="X241" s="40" t="str">
        <f>IF(N(W241)&gt;0,SUMIFS('成交明细'!$H$5:$H$804,'成交明细'!$A$5:$A$804,A241,'成交明细'!$D$5:$D$804,IF(E241="空","买","卖"))/W241,"")</f>
        <v/>
      </c>
      <c r="Y241" s="41" t="str">
        <f>IF(A241="","",IF(Q241&lt;&gt;"已执行",IF(Q241="","未填执行情况",Q241),IF(N(U241)=0,"待录成交",IF(N(W241)&gt;N(U241),"平仓多于开仓",IF(N(W241)&lt;N(U241),"持仓中","已平仓")))))</f>
        <v/>
      </c>
      <c r="Z241" s="41" t="str">
        <f>IF(AND(ISNUMBER(R241),ISNUMBER(S241)),IF(R241=S241,"日内",""),"")</f>
        <v/>
      </c>
      <c r="AA241" s="42" t="str">
        <f>IF(Z241&lt;&gt;"日内","",COUNTIFS($Z$5:$Z$304,"日内",$S$5:$S$304,"&gt;"&amp;WORKDAY(S241,-5),$S$5:$S$304,"&lt;="&amp;S241))</f>
        <v/>
      </c>
      <c r="AB241" s="41" t="str">
        <f>IF(OR(NOT(ISNUMBER(M241)),NOT(ISNUMBER(R241))),"",IF(AND(M241&gt;=R241,OR(NOT(ISNUMBER(S241)),M241&lt;=S241)),"持仓跨财报",""))</f>
        <v/>
      </c>
      <c r="AC241" s="20">
        <f>IF(AND(E241="空",ISNUMBER(O241),ISNUMBER(S241)),ROUND(O241*(S241-R241)/360*V241*U241,2),0)</f>
        <v>0</v>
      </c>
      <c r="AD241" s="43" t="str">
        <f>IF(N(U241)=0,"",SUMIFS('成交明细'!$L$5:$L$804,'成交明细'!$A$5:$A$804,A241)+AC241)</f>
        <v/>
      </c>
      <c r="AE241" s="44" t="str">
        <f>IF(Y241&lt;&gt;"已平仓","",(SUMIFS('成交明细'!$H$5:$H$804,'成交明细'!$A$5:$A$804,A241,'成交明细'!$D$5:$D$804,"卖")-SUMIFS('成交明细'!$H$5:$H$804,'成交明细'!$A$5:$A$804,A241,'成交明细'!$D$5:$D$804,"买"))*1-AD241)</f>
        <v/>
      </c>
      <c r="AF241" s="45" t="str">
        <f>IF(AND(Y241="已平仓",ISNUMBER(L241)),(SUMIFS('成交明细'!$H$5:$H$804,'成交明细'!$A$5:$A$804,A241,'成交明细'!$D$5:$D$804,"卖")-SUMIFS('成交明细'!$H$5:$H$804,'成交明细'!$A$5:$A$804,A241,'成交明细'!$D$5:$D$804,"买"))*1/L241,"")</f>
        <v/>
      </c>
      <c r="AG241" s="45" t="str">
        <f>IF(AND(Y241="已平仓",ISNUMBER(L241)),AE241/L241,"")</f>
        <v/>
      </c>
      <c r="AH241" s="46" t="str">
        <f>IF(AND(ISNUMBER(V241),ISNUMBER(F241)),IF(E241="空",F241-V241,V241-F241),"")</f>
        <v/>
      </c>
      <c r="AI241" s="46" t="str">
        <f>IF(OR(NOT(ISNUMBER(AE241)),NOT(ISNUMBER(X241))),"",IF(AE241&lt;0,IF(E241="空",X241-G241,G241-X241),IF(NOT(ISNUMBER(H241)),"",IF(E241="空",X241-H241,H241-X241))))</f>
        <v/>
      </c>
      <c r="AJ241" s="32" t="n"/>
      <c r="AK241" s="32" t="n"/>
      <c r="AL241" s="31" t="n"/>
      <c r="AM241" s="45" t="str">
        <f>IF(A241="","",SUM(AG$5:AG241))</f>
        <v/>
      </c>
      <c r="AN241" s="37" t="str">
        <f>IF(A241="","",MAX(0,MAX(AM$5:AM241))-AM241)</f>
        <v/>
      </c>
    </row>
    <row r="242">
      <c r="A242" s="29" t="n"/>
      <c r="B242" s="30" t="n"/>
      <c r="C242" s="31" t="n"/>
      <c r="D242" s="32" t="n"/>
      <c r="E242" s="32" t="n"/>
      <c r="F242" s="33" t="n"/>
      <c r="G242" s="33" t="n"/>
      <c r="H242" s="33" t="n"/>
      <c r="I242" s="34" t="str">
        <f>IF(AND(ISNUMBER(F242),ISNUMBER(G242),ISNUMBER(H242)),IF(OR(AND(E242="多",F242&gt;G242),AND(E242="空",F242&lt;G242)),ABS(H242-F242)/ABS(F242-G242),"止损方向不对"),"")</f>
        <v/>
      </c>
      <c r="J242" s="35" t="str">
        <f>IF(AND(ISNUMBER(F242),ISNUMBER(G242)),IF(F242=G242,"",IF(INT(ROUND('参数'!$C$7/(ABS(F242-G242)*1+2*'参数'!$C$11+N('参数'!$C$14)*F242+N('参数'!$C$15))/1,6))*1&gt;0,INT(ROUND('参数'!$C$7/(ABS(F242-G242)*1+2*'参数'!$C$11+N('参数'!$C$14)*F242+N('参数'!$C$15))/1,6))*1,"预算不足，这笔不做")),"")</f>
        <v/>
      </c>
      <c r="K242" s="36" t="n"/>
      <c r="L242" s="20" t="str">
        <f>IF(AND(ISNUMBER(F242),ISNUMBER(G242),ISNUMBER(K242)),IF(AND(F242&lt;&gt;G242,K242&gt;0),ABS(F242-G242)*K242*1,""),"")</f>
        <v/>
      </c>
      <c r="M242" s="30" t="n"/>
      <c r="N242" s="37" t="str">
        <f>IF(AND(ISNUMBER(L242),ISNUMBER(M242)),IF(E242="空",(G242*(1+'参数'!$C$17)-F242),(F242-G242*(1-'参数'!$C$17)))*K242/L242,"")</f>
        <v/>
      </c>
      <c r="O242" s="38" t="n"/>
      <c r="P242" s="31" t="n"/>
      <c r="Q242" s="32" t="n"/>
      <c r="R242" s="39" t="str">
        <f>IF(N(U242)&gt;0,SUMPRODUCT(LARGE(('成交明细'!$A$5:$A$804=A242)*('成交明细'!$D$5:$D$804=IF(E242="空","卖","买"))*'成交明细'!$B$5:$B$804,COUNTIFS('成交明细'!$A$5:$A$804,A242,'成交明细'!$D$5:$D$804,IF(E242="空","卖","买")))),"")</f>
        <v/>
      </c>
      <c r="S242" s="39" t="str">
        <f>IF(AND(N(U242)&gt;0,N(W242)&gt;=N(U242)),SUMPRODUCT(MAX(('成交明细'!$A$5:$A$804=A242)*('成交明细'!$D$5:$D$804=IF(E242="空","买","卖"))*'成交明细'!$B$5:$B$804)),"")</f>
        <v/>
      </c>
      <c r="T242" s="32" t="n"/>
      <c r="U242" s="35" t="str">
        <f>IF(A242="","",SUMIFS('成交明细'!$F$5:$F$804,'成交明细'!$A$5:$A$804,A242,'成交明细'!$D$5:$D$804,IF(E242="空","卖","买")))</f>
        <v/>
      </c>
      <c r="V242" s="40" t="str">
        <f>IF(N(U242)&gt;0,SUMIFS('成交明细'!$H$5:$H$804,'成交明细'!$A$5:$A$804,A242,'成交明细'!$D$5:$D$804,IF(E242="空","卖","买"))/U242,"")</f>
        <v/>
      </c>
      <c r="W242" s="35" t="str">
        <f>IF(A242="","",SUMIFS('成交明细'!$F$5:$F$804,'成交明细'!$A$5:$A$804,A242,'成交明细'!$D$5:$D$804,IF(E242="空","买","卖")))</f>
        <v/>
      </c>
      <c r="X242" s="40" t="str">
        <f>IF(N(W242)&gt;0,SUMIFS('成交明细'!$H$5:$H$804,'成交明细'!$A$5:$A$804,A242,'成交明细'!$D$5:$D$804,IF(E242="空","买","卖"))/W242,"")</f>
        <v/>
      </c>
      <c r="Y242" s="41" t="str">
        <f>IF(A242="","",IF(Q242&lt;&gt;"已执行",IF(Q242="","未填执行情况",Q242),IF(N(U242)=0,"待录成交",IF(N(W242)&gt;N(U242),"平仓多于开仓",IF(N(W242)&lt;N(U242),"持仓中","已平仓")))))</f>
        <v/>
      </c>
      <c r="Z242" s="41" t="str">
        <f>IF(AND(ISNUMBER(R242),ISNUMBER(S242)),IF(R242=S242,"日内",""),"")</f>
        <v/>
      </c>
      <c r="AA242" s="42" t="str">
        <f>IF(Z242&lt;&gt;"日内","",COUNTIFS($Z$5:$Z$304,"日内",$S$5:$S$304,"&gt;"&amp;WORKDAY(S242,-5),$S$5:$S$304,"&lt;="&amp;S242))</f>
        <v/>
      </c>
      <c r="AB242" s="41" t="str">
        <f>IF(OR(NOT(ISNUMBER(M242)),NOT(ISNUMBER(R242))),"",IF(AND(M242&gt;=R242,OR(NOT(ISNUMBER(S242)),M242&lt;=S242)),"持仓跨财报",""))</f>
        <v/>
      </c>
      <c r="AC242" s="20">
        <f>IF(AND(E242="空",ISNUMBER(O242),ISNUMBER(S242)),ROUND(O242*(S242-R242)/360*V242*U242,2),0)</f>
        <v>0</v>
      </c>
      <c r="AD242" s="43" t="str">
        <f>IF(N(U242)=0,"",SUMIFS('成交明细'!$L$5:$L$804,'成交明细'!$A$5:$A$804,A242)+AC242)</f>
        <v/>
      </c>
      <c r="AE242" s="44" t="str">
        <f>IF(Y242&lt;&gt;"已平仓","",(SUMIFS('成交明细'!$H$5:$H$804,'成交明细'!$A$5:$A$804,A242,'成交明细'!$D$5:$D$804,"卖")-SUMIFS('成交明细'!$H$5:$H$804,'成交明细'!$A$5:$A$804,A242,'成交明细'!$D$5:$D$804,"买"))*1-AD242)</f>
        <v/>
      </c>
      <c r="AF242" s="45" t="str">
        <f>IF(AND(Y242="已平仓",ISNUMBER(L242)),(SUMIFS('成交明细'!$H$5:$H$804,'成交明细'!$A$5:$A$804,A242,'成交明细'!$D$5:$D$804,"卖")-SUMIFS('成交明细'!$H$5:$H$804,'成交明细'!$A$5:$A$804,A242,'成交明细'!$D$5:$D$804,"买"))*1/L242,"")</f>
        <v/>
      </c>
      <c r="AG242" s="45" t="str">
        <f>IF(AND(Y242="已平仓",ISNUMBER(L242)),AE242/L242,"")</f>
        <v/>
      </c>
      <c r="AH242" s="46" t="str">
        <f>IF(AND(ISNUMBER(V242),ISNUMBER(F242)),IF(E242="空",F242-V242,V242-F242),"")</f>
        <v/>
      </c>
      <c r="AI242" s="46" t="str">
        <f>IF(OR(NOT(ISNUMBER(AE242)),NOT(ISNUMBER(X242))),"",IF(AE242&lt;0,IF(E242="空",X242-G242,G242-X242),IF(NOT(ISNUMBER(H242)),"",IF(E242="空",X242-H242,H242-X242))))</f>
        <v/>
      </c>
      <c r="AJ242" s="32" t="n"/>
      <c r="AK242" s="32" t="n"/>
      <c r="AL242" s="31" t="n"/>
      <c r="AM242" s="45" t="str">
        <f>IF(A242="","",SUM(AG$5:AG242))</f>
        <v/>
      </c>
      <c r="AN242" s="37" t="str">
        <f>IF(A242="","",MAX(0,MAX(AM$5:AM242))-AM242)</f>
        <v/>
      </c>
    </row>
    <row r="243">
      <c r="A243" s="29" t="n"/>
      <c r="B243" s="30" t="n"/>
      <c r="C243" s="31" t="n"/>
      <c r="D243" s="32" t="n"/>
      <c r="E243" s="32" t="n"/>
      <c r="F243" s="33" t="n"/>
      <c r="G243" s="33" t="n"/>
      <c r="H243" s="33" t="n"/>
      <c r="I243" s="34" t="str">
        <f>IF(AND(ISNUMBER(F243),ISNUMBER(G243),ISNUMBER(H243)),IF(OR(AND(E243="多",F243&gt;G243),AND(E243="空",F243&lt;G243)),ABS(H243-F243)/ABS(F243-G243),"止损方向不对"),"")</f>
        <v/>
      </c>
      <c r="J243" s="35" t="str">
        <f>IF(AND(ISNUMBER(F243),ISNUMBER(G243)),IF(F243=G243,"",IF(INT(ROUND('参数'!$C$7/(ABS(F243-G243)*1+2*'参数'!$C$11+N('参数'!$C$14)*F243+N('参数'!$C$15))/1,6))*1&gt;0,INT(ROUND('参数'!$C$7/(ABS(F243-G243)*1+2*'参数'!$C$11+N('参数'!$C$14)*F243+N('参数'!$C$15))/1,6))*1,"预算不足，这笔不做")),"")</f>
        <v/>
      </c>
      <c r="K243" s="36" t="n"/>
      <c r="L243" s="20" t="str">
        <f>IF(AND(ISNUMBER(F243),ISNUMBER(G243),ISNUMBER(K243)),IF(AND(F243&lt;&gt;G243,K243&gt;0),ABS(F243-G243)*K243*1,""),"")</f>
        <v/>
      </c>
      <c r="M243" s="30" t="n"/>
      <c r="N243" s="37" t="str">
        <f>IF(AND(ISNUMBER(L243),ISNUMBER(M243)),IF(E243="空",(G243*(1+'参数'!$C$17)-F243),(F243-G243*(1-'参数'!$C$17)))*K243/L243,"")</f>
        <v/>
      </c>
      <c r="O243" s="38" t="n"/>
      <c r="P243" s="31" t="n"/>
      <c r="Q243" s="32" t="n"/>
      <c r="R243" s="39" t="str">
        <f>IF(N(U243)&gt;0,SUMPRODUCT(LARGE(('成交明细'!$A$5:$A$804=A243)*('成交明细'!$D$5:$D$804=IF(E243="空","卖","买"))*'成交明细'!$B$5:$B$804,COUNTIFS('成交明细'!$A$5:$A$804,A243,'成交明细'!$D$5:$D$804,IF(E243="空","卖","买")))),"")</f>
        <v/>
      </c>
      <c r="S243" s="39" t="str">
        <f>IF(AND(N(U243)&gt;0,N(W243)&gt;=N(U243)),SUMPRODUCT(MAX(('成交明细'!$A$5:$A$804=A243)*('成交明细'!$D$5:$D$804=IF(E243="空","买","卖"))*'成交明细'!$B$5:$B$804)),"")</f>
        <v/>
      </c>
      <c r="T243" s="32" t="n"/>
      <c r="U243" s="35" t="str">
        <f>IF(A243="","",SUMIFS('成交明细'!$F$5:$F$804,'成交明细'!$A$5:$A$804,A243,'成交明细'!$D$5:$D$804,IF(E243="空","卖","买")))</f>
        <v/>
      </c>
      <c r="V243" s="40" t="str">
        <f>IF(N(U243)&gt;0,SUMIFS('成交明细'!$H$5:$H$804,'成交明细'!$A$5:$A$804,A243,'成交明细'!$D$5:$D$804,IF(E243="空","卖","买"))/U243,"")</f>
        <v/>
      </c>
      <c r="W243" s="35" t="str">
        <f>IF(A243="","",SUMIFS('成交明细'!$F$5:$F$804,'成交明细'!$A$5:$A$804,A243,'成交明细'!$D$5:$D$804,IF(E243="空","买","卖")))</f>
        <v/>
      </c>
      <c r="X243" s="40" t="str">
        <f>IF(N(W243)&gt;0,SUMIFS('成交明细'!$H$5:$H$804,'成交明细'!$A$5:$A$804,A243,'成交明细'!$D$5:$D$804,IF(E243="空","买","卖"))/W243,"")</f>
        <v/>
      </c>
      <c r="Y243" s="41" t="str">
        <f>IF(A243="","",IF(Q243&lt;&gt;"已执行",IF(Q243="","未填执行情况",Q243),IF(N(U243)=0,"待录成交",IF(N(W243)&gt;N(U243),"平仓多于开仓",IF(N(W243)&lt;N(U243),"持仓中","已平仓")))))</f>
        <v/>
      </c>
      <c r="Z243" s="41" t="str">
        <f>IF(AND(ISNUMBER(R243),ISNUMBER(S243)),IF(R243=S243,"日内",""),"")</f>
        <v/>
      </c>
      <c r="AA243" s="42" t="str">
        <f>IF(Z243&lt;&gt;"日内","",COUNTIFS($Z$5:$Z$304,"日内",$S$5:$S$304,"&gt;"&amp;WORKDAY(S243,-5),$S$5:$S$304,"&lt;="&amp;S243))</f>
        <v/>
      </c>
      <c r="AB243" s="41" t="str">
        <f>IF(OR(NOT(ISNUMBER(M243)),NOT(ISNUMBER(R243))),"",IF(AND(M243&gt;=R243,OR(NOT(ISNUMBER(S243)),M243&lt;=S243)),"持仓跨财报",""))</f>
        <v/>
      </c>
      <c r="AC243" s="20">
        <f>IF(AND(E243="空",ISNUMBER(O243),ISNUMBER(S243)),ROUND(O243*(S243-R243)/360*V243*U243,2),0)</f>
        <v>0</v>
      </c>
      <c r="AD243" s="43" t="str">
        <f>IF(N(U243)=0,"",SUMIFS('成交明细'!$L$5:$L$804,'成交明细'!$A$5:$A$804,A243)+AC243)</f>
        <v/>
      </c>
      <c r="AE243" s="44" t="str">
        <f>IF(Y243&lt;&gt;"已平仓","",(SUMIFS('成交明细'!$H$5:$H$804,'成交明细'!$A$5:$A$804,A243,'成交明细'!$D$5:$D$804,"卖")-SUMIFS('成交明细'!$H$5:$H$804,'成交明细'!$A$5:$A$804,A243,'成交明细'!$D$5:$D$804,"买"))*1-AD243)</f>
        <v/>
      </c>
      <c r="AF243" s="45" t="str">
        <f>IF(AND(Y243="已平仓",ISNUMBER(L243)),(SUMIFS('成交明细'!$H$5:$H$804,'成交明细'!$A$5:$A$804,A243,'成交明细'!$D$5:$D$804,"卖")-SUMIFS('成交明细'!$H$5:$H$804,'成交明细'!$A$5:$A$804,A243,'成交明细'!$D$5:$D$804,"买"))*1/L243,"")</f>
        <v/>
      </c>
      <c r="AG243" s="45" t="str">
        <f>IF(AND(Y243="已平仓",ISNUMBER(L243)),AE243/L243,"")</f>
        <v/>
      </c>
      <c r="AH243" s="46" t="str">
        <f>IF(AND(ISNUMBER(V243),ISNUMBER(F243)),IF(E243="空",F243-V243,V243-F243),"")</f>
        <v/>
      </c>
      <c r="AI243" s="46" t="str">
        <f>IF(OR(NOT(ISNUMBER(AE243)),NOT(ISNUMBER(X243))),"",IF(AE243&lt;0,IF(E243="空",X243-G243,G243-X243),IF(NOT(ISNUMBER(H243)),"",IF(E243="空",X243-H243,H243-X243))))</f>
        <v/>
      </c>
      <c r="AJ243" s="32" t="n"/>
      <c r="AK243" s="32" t="n"/>
      <c r="AL243" s="31" t="n"/>
      <c r="AM243" s="45" t="str">
        <f>IF(A243="","",SUM(AG$5:AG243))</f>
        <v/>
      </c>
      <c r="AN243" s="37" t="str">
        <f>IF(A243="","",MAX(0,MAX(AM$5:AM243))-AM243)</f>
        <v/>
      </c>
    </row>
    <row r="244">
      <c r="A244" s="29" t="n"/>
      <c r="B244" s="30" t="n"/>
      <c r="C244" s="31" t="n"/>
      <c r="D244" s="32" t="n"/>
      <c r="E244" s="32" t="n"/>
      <c r="F244" s="33" t="n"/>
      <c r="G244" s="33" t="n"/>
      <c r="H244" s="33" t="n"/>
      <c r="I244" s="34" t="str">
        <f>IF(AND(ISNUMBER(F244),ISNUMBER(G244),ISNUMBER(H244)),IF(OR(AND(E244="多",F244&gt;G244),AND(E244="空",F244&lt;G244)),ABS(H244-F244)/ABS(F244-G244),"止损方向不对"),"")</f>
        <v/>
      </c>
      <c r="J244" s="35" t="str">
        <f>IF(AND(ISNUMBER(F244),ISNUMBER(G244)),IF(F244=G244,"",IF(INT(ROUND('参数'!$C$7/(ABS(F244-G244)*1+2*'参数'!$C$11+N('参数'!$C$14)*F244+N('参数'!$C$15))/1,6))*1&gt;0,INT(ROUND('参数'!$C$7/(ABS(F244-G244)*1+2*'参数'!$C$11+N('参数'!$C$14)*F244+N('参数'!$C$15))/1,6))*1,"预算不足，这笔不做")),"")</f>
        <v/>
      </c>
      <c r="K244" s="36" t="n"/>
      <c r="L244" s="20" t="str">
        <f>IF(AND(ISNUMBER(F244),ISNUMBER(G244),ISNUMBER(K244)),IF(AND(F244&lt;&gt;G244,K244&gt;0),ABS(F244-G244)*K244*1,""),"")</f>
        <v/>
      </c>
      <c r="M244" s="30" t="n"/>
      <c r="N244" s="37" t="str">
        <f>IF(AND(ISNUMBER(L244),ISNUMBER(M244)),IF(E244="空",(G244*(1+'参数'!$C$17)-F244),(F244-G244*(1-'参数'!$C$17)))*K244/L244,"")</f>
        <v/>
      </c>
      <c r="O244" s="38" t="n"/>
      <c r="P244" s="31" t="n"/>
      <c r="Q244" s="32" t="n"/>
      <c r="R244" s="39" t="str">
        <f>IF(N(U244)&gt;0,SUMPRODUCT(LARGE(('成交明细'!$A$5:$A$804=A244)*('成交明细'!$D$5:$D$804=IF(E244="空","卖","买"))*'成交明细'!$B$5:$B$804,COUNTIFS('成交明细'!$A$5:$A$804,A244,'成交明细'!$D$5:$D$804,IF(E244="空","卖","买")))),"")</f>
        <v/>
      </c>
      <c r="S244" s="39" t="str">
        <f>IF(AND(N(U244)&gt;0,N(W244)&gt;=N(U244)),SUMPRODUCT(MAX(('成交明细'!$A$5:$A$804=A244)*('成交明细'!$D$5:$D$804=IF(E244="空","买","卖"))*'成交明细'!$B$5:$B$804)),"")</f>
        <v/>
      </c>
      <c r="T244" s="32" t="n"/>
      <c r="U244" s="35" t="str">
        <f>IF(A244="","",SUMIFS('成交明细'!$F$5:$F$804,'成交明细'!$A$5:$A$804,A244,'成交明细'!$D$5:$D$804,IF(E244="空","卖","买")))</f>
        <v/>
      </c>
      <c r="V244" s="40" t="str">
        <f>IF(N(U244)&gt;0,SUMIFS('成交明细'!$H$5:$H$804,'成交明细'!$A$5:$A$804,A244,'成交明细'!$D$5:$D$804,IF(E244="空","卖","买"))/U244,"")</f>
        <v/>
      </c>
      <c r="W244" s="35" t="str">
        <f>IF(A244="","",SUMIFS('成交明细'!$F$5:$F$804,'成交明细'!$A$5:$A$804,A244,'成交明细'!$D$5:$D$804,IF(E244="空","买","卖")))</f>
        <v/>
      </c>
      <c r="X244" s="40" t="str">
        <f>IF(N(W244)&gt;0,SUMIFS('成交明细'!$H$5:$H$804,'成交明细'!$A$5:$A$804,A244,'成交明细'!$D$5:$D$804,IF(E244="空","买","卖"))/W244,"")</f>
        <v/>
      </c>
      <c r="Y244" s="41" t="str">
        <f>IF(A244="","",IF(Q244&lt;&gt;"已执行",IF(Q244="","未填执行情况",Q244),IF(N(U244)=0,"待录成交",IF(N(W244)&gt;N(U244),"平仓多于开仓",IF(N(W244)&lt;N(U244),"持仓中","已平仓")))))</f>
        <v/>
      </c>
      <c r="Z244" s="41" t="str">
        <f>IF(AND(ISNUMBER(R244),ISNUMBER(S244)),IF(R244=S244,"日内",""),"")</f>
        <v/>
      </c>
      <c r="AA244" s="42" t="str">
        <f>IF(Z244&lt;&gt;"日内","",COUNTIFS($Z$5:$Z$304,"日内",$S$5:$S$304,"&gt;"&amp;WORKDAY(S244,-5),$S$5:$S$304,"&lt;="&amp;S244))</f>
        <v/>
      </c>
      <c r="AB244" s="41" t="str">
        <f>IF(OR(NOT(ISNUMBER(M244)),NOT(ISNUMBER(R244))),"",IF(AND(M244&gt;=R244,OR(NOT(ISNUMBER(S244)),M244&lt;=S244)),"持仓跨财报",""))</f>
        <v/>
      </c>
      <c r="AC244" s="20">
        <f>IF(AND(E244="空",ISNUMBER(O244),ISNUMBER(S244)),ROUND(O244*(S244-R244)/360*V244*U244,2),0)</f>
        <v>0</v>
      </c>
      <c r="AD244" s="43" t="str">
        <f>IF(N(U244)=0,"",SUMIFS('成交明细'!$L$5:$L$804,'成交明细'!$A$5:$A$804,A244)+AC244)</f>
        <v/>
      </c>
      <c r="AE244" s="44" t="str">
        <f>IF(Y244&lt;&gt;"已平仓","",(SUMIFS('成交明细'!$H$5:$H$804,'成交明细'!$A$5:$A$804,A244,'成交明细'!$D$5:$D$804,"卖")-SUMIFS('成交明细'!$H$5:$H$804,'成交明细'!$A$5:$A$804,A244,'成交明细'!$D$5:$D$804,"买"))*1-AD244)</f>
        <v/>
      </c>
      <c r="AF244" s="45" t="str">
        <f>IF(AND(Y244="已平仓",ISNUMBER(L244)),(SUMIFS('成交明细'!$H$5:$H$804,'成交明细'!$A$5:$A$804,A244,'成交明细'!$D$5:$D$804,"卖")-SUMIFS('成交明细'!$H$5:$H$804,'成交明细'!$A$5:$A$804,A244,'成交明细'!$D$5:$D$804,"买"))*1/L244,"")</f>
        <v/>
      </c>
      <c r="AG244" s="45" t="str">
        <f>IF(AND(Y244="已平仓",ISNUMBER(L244)),AE244/L244,"")</f>
        <v/>
      </c>
      <c r="AH244" s="46" t="str">
        <f>IF(AND(ISNUMBER(V244),ISNUMBER(F244)),IF(E244="空",F244-V244,V244-F244),"")</f>
        <v/>
      </c>
      <c r="AI244" s="46" t="str">
        <f>IF(OR(NOT(ISNUMBER(AE244)),NOT(ISNUMBER(X244))),"",IF(AE244&lt;0,IF(E244="空",X244-G244,G244-X244),IF(NOT(ISNUMBER(H244)),"",IF(E244="空",X244-H244,H244-X244))))</f>
        <v/>
      </c>
      <c r="AJ244" s="32" t="n"/>
      <c r="AK244" s="32" t="n"/>
      <c r="AL244" s="31" t="n"/>
      <c r="AM244" s="45" t="str">
        <f>IF(A244="","",SUM(AG$5:AG244))</f>
        <v/>
      </c>
      <c r="AN244" s="37" t="str">
        <f>IF(A244="","",MAX(0,MAX(AM$5:AM244))-AM244)</f>
        <v/>
      </c>
    </row>
    <row r="245">
      <c r="A245" s="29" t="n"/>
      <c r="B245" s="30" t="n"/>
      <c r="C245" s="31" t="n"/>
      <c r="D245" s="32" t="n"/>
      <c r="E245" s="32" t="n"/>
      <c r="F245" s="33" t="n"/>
      <c r="G245" s="33" t="n"/>
      <c r="H245" s="33" t="n"/>
      <c r="I245" s="34" t="str">
        <f>IF(AND(ISNUMBER(F245),ISNUMBER(G245),ISNUMBER(H245)),IF(OR(AND(E245="多",F245&gt;G245),AND(E245="空",F245&lt;G245)),ABS(H245-F245)/ABS(F245-G245),"止损方向不对"),"")</f>
        <v/>
      </c>
      <c r="J245" s="35" t="str">
        <f>IF(AND(ISNUMBER(F245),ISNUMBER(G245)),IF(F245=G245,"",IF(INT(ROUND('参数'!$C$7/(ABS(F245-G245)*1+2*'参数'!$C$11+N('参数'!$C$14)*F245+N('参数'!$C$15))/1,6))*1&gt;0,INT(ROUND('参数'!$C$7/(ABS(F245-G245)*1+2*'参数'!$C$11+N('参数'!$C$14)*F245+N('参数'!$C$15))/1,6))*1,"预算不足，这笔不做")),"")</f>
        <v/>
      </c>
      <c r="K245" s="36" t="n"/>
      <c r="L245" s="20" t="str">
        <f>IF(AND(ISNUMBER(F245),ISNUMBER(G245),ISNUMBER(K245)),IF(AND(F245&lt;&gt;G245,K245&gt;0),ABS(F245-G245)*K245*1,""),"")</f>
        <v/>
      </c>
      <c r="M245" s="30" t="n"/>
      <c r="N245" s="37" t="str">
        <f>IF(AND(ISNUMBER(L245),ISNUMBER(M245)),IF(E245="空",(G245*(1+'参数'!$C$17)-F245),(F245-G245*(1-'参数'!$C$17)))*K245/L245,"")</f>
        <v/>
      </c>
      <c r="O245" s="38" t="n"/>
      <c r="P245" s="31" t="n"/>
      <c r="Q245" s="32" t="n"/>
      <c r="R245" s="39" t="str">
        <f>IF(N(U245)&gt;0,SUMPRODUCT(LARGE(('成交明细'!$A$5:$A$804=A245)*('成交明细'!$D$5:$D$804=IF(E245="空","卖","买"))*'成交明细'!$B$5:$B$804,COUNTIFS('成交明细'!$A$5:$A$804,A245,'成交明细'!$D$5:$D$804,IF(E245="空","卖","买")))),"")</f>
        <v/>
      </c>
      <c r="S245" s="39" t="str">
        <f>IF(AND(N(U245)&gt;0,N(W245)&gt;=N(U245)),SUMPRODUCT(MAX(('成交明细'!$A$5:$A$804=A245)*('成交明细'!$D$5:$D$804=IF(E245="空","买","卖"))*'成交明细'!$B$5:$B$804)),"")</f>
        <v/>
      </c>
      <c r="T245" s="32" t="n"/>
      <c r="U245" s="35" t="str">
        <f>IF(A245="","",SUMIFS('成交明细'!$F$5:$F$804,'成交明细'!$A$5:$A$804,A245,'成交明细'!$D$5:$D$804,IF(E245="空","卖","买")))</f>
        <v/>
      </c>
      <c r="V245" s="40" t="str">
        <f>IF(N(U245)&gt;0,SUMIFS('成交明细'!$H$5:$H$804,'成交明细'!$A$5:$A$804,A245,'成交明细'!$D$5:$D$804,IF(E245="空","卖","买"))/U245,"")</f>
        <v/>
      </c>
      <c r="W245" s="35" t="str">
        <f>IF(A245="","",SUMIFS('成交明细'!$F$5:$F$804,'成交明细'!$A$5:$A$804,A245,'成交明细'!$D$5:$D$804,IF(E245="空","买","卖")))</f>
        <v/>
      </c>
      <c r="X245" s="40" t="str">
        <f>IF(N(W245)&gt;0,SUMIFS('成交明细'!$H$5:$H$804,'成交明细'!$A$5:$A$804,A245,'成交明细'!$D$5:$D$804,IF(E245="空","买","卖"))/W245,"")</f>
        <v/>
      </c>
      <c r="Y245" s="41" t="str">
        <f>IF(A245="","",IF(Q245&lt;&gt;"已执行",IF(Q245="","未填执行情况",Q245),IF(N(U245)=0,"待录成交",IF(N(W245)&gt;N(U245),"平仓多于开仓",IF(N(W245)&lt;N(U245),"持仓中","已平仓")))))</f>
        <v/>
      </c>
      <c r="Z245" s="41" t="str">
        <f>IF(AND(ISNUMBER(R245),ISNUMBER(S245)),IF(R245=S245,"日内",""),"")</f>
        <v/>
      </c>
      <c r="AA245" s="42" t="str">
        <f>IF(Z245&lt;&gt;"日内","",COUNTIFS($Z$5:$Z$304,"日内",$S$5:$S$304,"&gt;"&amp;WORKDAY(S245,-5),$S$5:$S$304,"&lt;="&amp;S245))</f>
        <v/>
      </c>
      <c r="AB245" s="41" t="str">
        <f>IF(OR(NOT(ISNUMBER(M245)),NOT(ISNUMBER(R245))),"",IF(AND(M245&gt;=R245,OR(NOT(ISNUMBER(S245)),M245&lt;=S245)),"持仓跨财报",""))</f>
        <v/>
      </c>
      <c r="AC245" s="20">
        <f>IF(AND(E245="空",ISNUMBER(O245),ISNUMBER(S245)),ROUND(O245*(S245-R245)/360*V245*U245,2),0)</f>
        <v>0</v>
      </c>
      <c r="AD245" s="43" t="str">
        <f>IF(N(U245)=0,"",SUMIFS('成交明细'!$L$5:$L$804,'成交明细'!$A$5:$A$804,A245)+AC245)</f>
        <v/>
      </c>
      <c r="AE245" s="44" t="str">
        <f>IF(Y245&lt;&gt;"已平仓","",(SUMIFS('成交明细'!$H$5:$H$804,'成交明细'!$A$5:$A$804,A245,'成交明细'!$D$5:$D$804,"卖")-SUMIFS('成交明细'!$H$5:$H$804,'成交明细'!$A$5:$A$804,A245,'成交明细'!$D$5:$D$804,"买"))*1-AD245)</f>
        <v/>
      </c>
      <c r="AF245" s="45" t="str">
        <f>IF(AND(Y245="已平仓",ISNUMBER(L245)),(SUMIFS('成交明细'!$H$5:$H$804,'成交明细'!$A$5:$A$804,A245,'成交明细'!$D$5:$D$804,"卖")-SUMIFS('成交明细'!$H$5:$H$804,'成交明细'!$A$5:$A$804,A245,'成交明细'!$D$5:$D$804,"买"))*1/L245,"")</f>
        <v/>
      </c>
      <c r="AG245" s="45" t="str">
        <f>IF(AND(Y245="已平仓",ISNUMBER(L245)),AE245/L245,"")</f>
        <v/>
      </c>
      <c r="AH245" s="46" t="str">
        <f>IF(AND(ISNUMBER(V245),ISNUMBER(F245)),IF(E245="空",F245-V245,V245-F245),"")</f>
        <v/>
      </c>
      <c r="AI245" s="46" t="str">
        <f>IF(OR(NOT(ISNUMBER(AE245)),NOT(ISNUMBER(X245))),"",IF(AE245&lt;0,IF(E245="空",X245-G245,G245-X245),IF(NOT(ISNUMBER(H245)),"",IF(E245="空",X245-H245,H245-X245))))</f>
        <v/>
      </c>
      <c r="AJ245" s="32" t="n"/>
      <c r="AK245" s="32" t="n"/>
      <c r="AL245" s="31" t="n"/>
      <c r="AM245" s="45" t="str">
        <f>IF(A245="","",SUM(AG$5:AG245))</f>
        <v/>
      </c>
      <c r="AN245" s="37" t="str">
        <f>IF(A245="","",MAX(0,MAX(AM$5:AM245))-AM245)</f>
        <v/>
      </c>
    </row>
    <row r="246">
      <c r="A246" s="29" t="n"/>
      <c r="B246" s="30" t="n"/>
      <c r="C246" s="31" t="n"/>
      <c r="D246" s="32" t="n"/>
      <c r="E246" s="32" t="n"/>
      <c r="F246" s="33" t="n"/>
      <c r="G246" s="33" t="n"/>
      <c r="H246" s="33" t="n"/>
      <c r="I246" s="34" t="str">
        <f>IF(AND(ISNUMBER(F246),ISNUMBER(G246),ISNUMBER(H246)),IF(OR(AND(E246="多",F246&gt;G246),AND(E246="空",F246&lt;G246)),ABS(H246-F246)/ABS(F246-G246),"止损方向不对"),"")</f>
        <v/>
      </c>
      <c r="J246" s="35" t="str">
        <f>IF(AND(ISNUMBER(F246),ISNUMBER(G246)),IF(F246=G246,"",IF(INT(ROUND('参数'!$C$7/(ABS(F246-G246)*1+2*'参数'!$C$11+N('参数'!$C$14)*F246+N('参数'!$C$15))/1,6))*1&gt;0,INT(ROUND('参数'!$C$7/(ABS(F246-G246)*1+2*'参数'!$C$11+N('参数'!$C$14)*F246+N('参数'!$C$15))/1,6))*1,"预算不足，这笔不做")),"")</f>
        <v/>
      </c>
      <c r="K246" s="36" t="n"/>
      <c r="L246" s="20" t="str">
        <f>IF(AND(ISNUMBER(F246),ISNUMBER(G246),ISNUMBER(K246)),IF(AND(F246&lt;&gt;G246,K246&gt;0),ABS(F246-G246)*K246*1,""),"")</f>
        <v/>
      </c>
      <c r="M246" s="30" t="n"/>
      <c r="N246" s="37" t="str">
        <f>IF(AND(ISNUMBER(L246),ISNUMBER(M246)),IF(E246="空",(G246*(1+'参数'!$C$17)-F246),(F246-G246*(1-'参数'!$C$17)))*K246/L246,"")</f>
        <v/>
      </c>
      <c r="O246" s="38" t="n"/>
      <c r="P246" s="31" t="n"/>
      <c r="Q246" s="32" t="n"/>
      <c r="R246" s="39" t="str">
        <f>IF(N(U246)&gt;0,SUMPRODUCT(LARGE(('成交明细'!$A$5:$A$804=A246)*('成交明细'!$D$5:$D$804=IF(E246="空","卖","买"))*'成交明细'!$B$5:$B$804,COUNTIFS('成交明细'!$A$5:$A$804,A246,'成交明细'!$D$5:$D$804,IF(E246="空","卖","买")))),"")</f>
        <v/>
      </c>
      <c r="S246" s="39" t="str">
        <f>IF(AND(N(U246)&gt;0,N(W246)&gt;=N(U246)),SUMPRODUCT(MAX(('成交明细'!$A$5:$A$804=A246)*('成交明细'!$D$5:$D$804=IF(E246="空","买","卖"))*'成交明细'!$B$5:$B$804)),"")</f>
        <v/>
      </c>
      <c r="T246" s="32" t="n"/>
      <c r="U246" s="35" t="str">
        <f>IF(A246="","",SUMIFS('成交明细'!$F$5:$F$804,'成交明细'!$A$5:$A$804,A246,'成交明细'!$D$5:$D$804,IF(E246="空","卖","买")))</f>
        <v/>
      </c>
      <c r="V246" s="40" t="str">
        <f>IF(N(U246)&gt;0,SUMIFS('成交明细'!$H$5:$H$804,'成交明细'!$A$5:$A$804,A246,'成交明细'!$D$5:$D$804,IF(E246="空","卖","买"))/U246,"")</f>
        <v/>
      </c>
      <c r="W246" s="35" t="str">
        <f>IF(A246="","",SUMIFS('成交明细'!$F$5:$F$804,'成交明细'!$A$5:$A$804,A246,'成交明细'!$D$5:$D$804,IF(E246="空","买","卖")))</f>
        <v/>
      </c>
      <c r="X246" s="40" t="str">
        <f>IF(N(W246)&gt;0,SUMIFS('成交明细'!$H$5:$H$804,'成交明细'!$A$5:$A$804,A246,'成交明细'!$D$5:$D$804,IF(E246="空","买","卖"))/W246,"")</f>
        <v/>
      </c>
      <c r="Y246" s="41" t="str">
        <f>IF(A246="","",IF(Q246&lt;&gt;"已执行",IF(Q246="","未填执行情况",Q246),IF(N(U246)=0,"待录成交",IF(N(W246)&gt;N(U246),"平仓多于开仓",IF(N(W246)&lt;N(U246),"持仓中","已平仓")))))</f>
        <v/>
      </c>
      <c r="Z246" s="41" t="str">
        <f>IF(AND(ISNUMBER(R246),ISNUMBER(S246)),IF(R246=S246,"日内",""),"")</f>
        <v/>
      </c>
      <c r="AA246" s="42" t="str">
        <f>IF(Z246&lt;&gt;"日内","",COUNTIFS($Z$5:$Z$304,"日内",$S$5:$S$304,"&gt;"&amp;WORKDAY(S246,-5),$S$5:$S$304,"&lt;="&amp;S246))</f>
        <v/>
      </c>
      <c r="AB246" s="41" t="str">
        <f>IF(OR(NOT(ISNUMBER(M246)),NOT(ISNUMBER(R246))),"",IF(AND(M246&gt;=R246,OR(NOT(ISNUMBER(S246)),M246&lt;=S246)),"持仓跨财报",""))</f>
        <v/>
      </c>
      <c r="AC246" s="20">
        <f>IF(AND(E246="空",ISNUMBER(O246),ISNUMBER(S246)),ROUND(O246*(S246-R246)/360*V246*U246,2),0)</f>
        <v>0</v>
      </c>
      <c r="AD246" s="43" t="str">
        <f>IF(N(U246)=0,"",SUMIFS('成交明细'!$L$5:$L$804,'成交明细'!$A$5:$A$804,A246)+AC246)</f>
        <v/>
      </c>
      <c r="AE246" s="44" t="str">
        <f>IF(Y246&lt;&gt;"已平仓","",(SUMIFS('成交明细'!$H$5:$H$804,'成交明细'!$A$5:$A$804,A246,'成交明细'!$D$5:$D$804,"卖")-SUMIFS('成交明细'!$H$5:$H$804,'成交明细'!$A$5:$A$804,A246,'成交明细'!$D$5:$D$804,"买"))*1-AD246)</f>
        <v/>
      </c>
      <c r="AF246" s="45" t="str">
        <f>IF(AND(Y246="已平仓",ISNUMBER(L246)),(SUMIFS('成交明细'!$H$5:$H$804,'成交明细'!$A$5:$A$804,A246,'成交明细'!$D$5:$D$804,"卖")-SUMIFS('成交明细'!$H$5:$H$804,'成交明细'!$A$5:$A$804,A246,'成交明细'!$D$5:$D$804,"买"))*1/L246,"")</f>
        <v/>
      </c>
      <c r="AG246" s="45" t="str">
        <f>IF(AND(Y246="已平仓",ISNUMBER(L246)),AE246/L246,"")</f>
        <v/>
      </c>
      <c r="AH246" s="46" t="str">
        <f>IF(AND(ISNUMBER(V246),ISNUMBER(F246)),IF(E246="空",F246-V246,V246-F246),"")</f>
        <v/>
      </c>
      <c r="AI246" s="46" t="str">
        <f>IF(OR(NOT(ISNUMBER(AE246)),NOT(ISNUMBER(X246))),"",IF(AE246&lt;0,IF(E246="空",X246-G246,G246-X246),IF(NOT(ISNUMBER(H246)),"",IF(E246="空",X246-H246,H246-X246))))</f>
        <v/>
      </c>
      <c r="AJ246" s="32" t="n"/>
      <c r="AK246" s="32" t="n"/>
      <c r="AL246" s="31" t="n"/>
      <c r="AM246" s="45" t="str">
        <f>IF(A246="","",SUM(AG$5:AG246))</f>
        <v/>
      </c>
      <c r="AN246" s="37" t="str">
        <f>IF(A246="","",MAX(0,MAX(AM$5:AM246))-AM246)</f>
        <v/>
      </c>
    </row>
    <row r="247">
      <c r="A247" s="29" t="n"/>
      <c r="B247" s="30" t="n"/>
      <c r="C247" s="31" t="n"/>
      <c r="D247" s="32" t="n"/>
      <c r="E247" s="32" t="n"/>
      <c r="F247" s="33" t="n"/>
      <c r="G247" s="33" t="n"/>
      <c r="H247" s="33" t="n"/>
      <c r="I247" s="34" t="str">
        <f>IF(AND(ISNUMBER(F247),ISNUMBER(G247),ISNUMBER(H247)),IF(OR(AND(E247="多",F247&gt;G247),AND(E247="空",F247&lt;G247)),ABS(H247-F247)/ABS(F247-G247),"止损方向不对"),"")</f>
        <v/>
      </c>
      <c r="J247" s="35" t="str">
        <f>IF(AND(ISNUMBER(F247),ISNUMBER(G247)),IF(F247=G247,"",IF(INT(ROUND('参数'!$C$7/(ABS(F247-G247)*1+2*'参数'!$C$11+N('参数'!$C$14)*F247+N('参数'!$C$15))/1,6))*1&gt;0,INT(ROUND('参数'!$C$7/(ABS(F247-G247)*1+2*'参数'!$C$11+N('参数'!$C$14)*F247+N('参数'!$C$15))/1,6))*1,"预算不足，这笔不做")),"")</f>
        <v/>
      </c>
      <c r="K247" s="36" t="n"/>
      <c r="L247" s="20" t="str">
        <f>IF(AND(ISNUMBER(F247),ISNUMBER(G247),ISNUMBER(K247)),IF(AND(F247&lt;&gt;G247,K247&gt;0),ABS(F247-G247)*K247*1,""),"")</f>
        <v/>
      </c>
      <c r="M247" s="30" t="n"/>
      <c r="N247" s="37" t="str">
        <f>IF(AND(ISNUMBER(L247),ISNUMBER(M247)),IF(E247="空",(G247*(1+'参数'!$C$17)-F247),(F247-G247*(1-'参数'!$C$17)))*K247/L247,"")</f>
        <v/>
      </c>
      <c r="O247" s="38" t="n"/>
      <c r="P247" s="31" t="n"/>
      <c r="Q247" s="32" t="n"/>
      <c r="R247" s="39" t="str">
        <f>IF(N(U247)&gt;0,SUMPRODUCT(LARGE(('成交明细'!$A$5:$A$804=A247)*('成交明细'!$D$5:$D$804=IF(E247="空","卖","买"))*'成交明细'!$B$5:$B$804,COUNTIFS('成交明细'!$A$5:$A$804,A247,'成交明细'!$D$5:$D$804,IF(E247="空","卖","买")))),"")</f>
        <v/>
      </c>
      <c r="S247" s="39" t="str">
        <f>IF(AND(N(U247)&gt;0,N(W247)&gt;=N(U247)),SUMPRODUCT(MAX(('成交明细'!$A$5:$A$804=A247)*('成交明细'!$D$5:$D$804=IF(E247="空","买","卖"))*'成交明细'!$B$5:$B$804)),"")</f>
        <v/>
      </c>
      <c r="T247" s="32" t="n"/>
      <c r="U247" s="35" t="str">
        <f>IF(A247="","",SUMIFS('成交明细'!$F$5:$F$804,'成交明细'!$A$5:$A$804,A247,'成交明细'!$D$5:$D$804,IF(E247="空","卖","买")))</f>
        <v/>
      </c>
      <c r="V247" s="40" t="str">
        <f>IF(N(U247)&gt;0,SUMIFS('成交明细'!$H$5:$H$804,'成交明细'!$A$5:$A$804,A247,'成交明细'!$D$5:$D$804,IF(E247="空","卖","买"))/U247,"")</f>
        <v/>
      </c>
      <c r="W247" s="35" t="str">
        <f>IF(A247="","",SUMIFS('成交明细'!$F$5:$F$804,'成交明细'!$A$5:$A$804,A247,'成交明细'!$D$5:$D$804,IF(E247="空","买","卖")))</f>
        <v/>
      </c>
      <c r="X247" s="40" t="str">
        <f>IF(N(W247)&gt;0,SUMIFS('成交明细'!$H$5:$H$804,'成交明细'!$A$5:$A$804,A247,'成交明细'!$D$5:$D$804,IF(E247="空","买","卖"))/W247,"")</f>
        <v/>
      </c>
      <c r="Y247" s="41" t="str">
        <f>IF(A247="","",IF(Q247&lt;&gt;"已执行",IF(Q247="","未填执行情况",Q247),IF(N(U247)=0,"待录成交",IF(N(W247)&gt;N(U247),"平仓多于开仓",IF(N(W247)&lt;N(U247),"持仓中","已平仓")))))</f>
        <v/>
      </c>
      <c r="Z247" s="41" t="str">
        <f>IF(AND(ISNUMBER(R247),ISNUMBER(S247)),IF(R247=S247,"日内",""),"")</f>
        <v/>
      </c>
      <c r="AA247" s="42" t="str">
        <f>IF(Z247&lt;&gt;"日内","",COUNTIFS($Z$5:$Z$304,"日内",$S$5:$S$304,"&gt;"&amp;WORKDAY(S247,-5),$S$5:$S$304,"&lt;="&amp;S247))</f>
        <v/>
      </c>
      <c r="AB247" s="41" t="str">
        <f>IF(OR(NOT(ISNUMBER(M247)),NOT(ISNUMBER(R247))),"",IF(AND(M247&gt;=R247,OR(NOT(ISNUMBER(S247)),M247&lt;=S247)),"持仓跨财报",""))</f>
        <v/>
      </c>
      <c r="AC247" s="20">
        <f>IF(AND(E247="空",ISNUMBER(O247),ISNUMBER(S247)),ROUND(O247*(S247-R247)/360*V247*U247,2),0)</f>
        <v>0</v>
      </c>
      <c r="AD247" s="43" t="str">
        <f>IF(N(U247)=0,"",SUMIFS('成交明细'!$L$5:$L$804,'成交明细'!$A$5:$A$804,A247)+AC247)</f>
        <v/>
      </c>
      <c r="AE247" s="44" t="str">
        <f>IF(Y247&lt;&gt;"已平仓","",(SUMIFS('成交明细'!$H$5:$H$804,'成交明细'!$A$5:$A$804,A247,'成交明细'!$D$5:$D$804,"卖")-SUMIFS('成交明细'!$H$5:$H$804,'成交明细'!$A$5:$A$804,A247,'成交明细'!$D$5:$D$804,"买"))*1-AD247)</f>
        <v/>
      </c>
      <c r="AF247" s="45" t="str">
        <f>IF(AND(Y247="已平仓",ISNUMBER(L247)),(SUMIFS('成交明细'!$H$5:$H$804,'成交明细'!$A$5:$A$804,A247,'成交明细'!$D$5:$D$804,"卖")-SUMIFS('成交明细'!$H$5:$H$804,'成交明细'!$A$5:$A$804,A247,'成交明细'!$D$5:$D$804,"买"))*1/L247,"")</f>
        <v/>
      </c>
      <c r="AG247" s="45" t="str">
        <f>IF(AND(Y247="已平仓",ISNUMBER(L247)),AE247/L247,"")</f>
        <v/>
      </c>
      <c r="AH247" s="46" t="str">
        <f>IF(AND(ISNUMBER(V247),ISNUMBER(F247)),IF(E247="空",F247-V247,V247-F247),"")</f>
        <v/>
      </c>
      <c r="AI247" s="46" t="str">
        <f>IF(OR(NOT(ISNUMBER(AE247)),NOT(ISNUMBER(X247))),"",IF(AE247&lt;0,IF(E247="空",X247-G247,G247-X247),IF(NOT(ISNUMBER(H247)),"",IF(E247="空",X247-H247,H247-X247))))</f>
        <v/>
      </c>
      <c r="AJ247" s="32" t="n"/>
      <c r="AK247" s="32" t="n"/>
      <c r="AL247" s="31" t="n"/>
      <c r="AM247" s="45" t="str">
        <f>IF(A247="","",SUM(AG$5:AG247))</f>
        <v/>
      </c>
      <c r="AN247" s="37" t="str">
        <f>IF(A247="","",MAX(0,MAX(AM$5:AM247))-AM247)</f>
        <v/>
      </c>
    </row>
    <row r="248">
      <c r="A248" s="29" t="n"/>
      <c r="B248" s="30" t="n"/>
      <c r="C248" s="31" t="n"/>
      <c r="D248" s="32" t="n"/>
      <c r="E248" s="32" t="n"/>
      <c r="F248" s="33" t="n"/>
      <c r="G248" s="33" t="n"/>
      <c r="H248" s="33" t="n"/>
      <c r="I248" s="34" t="str">
        <f>IF(AND(ISNUMBER(F248),ISNUMBER(G248),ISNUMBER(H248)),IF(OR(AND(E248="多",F248&gt;G248),AND(E248="空",F248&lt;G248)),ABS(H248-F248)/ABS(F248-G248),"止损方向不对"),"")</f>
        <v/>
      </c>
      <c r="J248" s="35" t="str">
        <f>IF(AND(ISNUMBER(F248),ISNUMBER(G248)),IF(F248=G248,"",IF(INT(ROUND('参数'!$C$7/(ABS(F248-G248)*1+2*'参数'!$C$11+N('参数'!$C$14)*F248+N('参数'!$C$15))/1,6))*1&gt;0,INT(ROUND('参数'!$C$7/(ABS(F248-G248)*1+2*'参数'!$C$11+N('参数'!$C$14)*F248+N('参数'!$C$15))/1,6))*1,"预算不足，这笔不做")),"")</f>
        <v/>
      </c>
      <c r="K248" s="36" t="n"/>
      <c r="L248" s="20" t="str">
        <f>IF(AND(ISNUMBER(F248),ISNUMBER(G248),ISNUMBER(K248)),IF(AND(F248&lt;&gt;G248,K248&gt;0),ABS(F248-G248)*K248*1,""),"")</f>
        <v/>
      </c>
      <c r="M248" s="30" t="n"/>
      <c r="N248" s="37" t="str">
        <f>IF(AND(ISNUMBER(L248),ISNUMBER(M248)),IF(E248="空",(G248*(1+'参数'!$C$17)-F248),(F248-G248*(1-'参数'!$C$17)))*K248/L248,"")</f>
        <v/>
      </c>
      <c r="O248" s="38" t="n"/>
      <c r="P248" s="31" t="n"/>
      <c r="Q248" s="32" t="n"/>
      <c r="R248" s="39" t="str">
        <f>IF(N(U248)&gt;0,SUMPRODUCT(LARGE(('成交明细'!$A$5:$A$804=A248)*('成交明细'!$D$5:$D$804=IF(E248="空","卖","买"))*'成交明细'!$B$5:$B$804,COUNTIFS('成交明细'!$A$5:$A$804,A248,'成交明细'!$D$5:$D$804,IF(E248="空","卖","买")))),"")</f>
        <v/>
      </c>
      <c r="S248" s="39" t="str">
        <f>IF(AND(N(U248)&gt;0,N(W248)&gt;=N(U248)),SUMPRODUCT(MAX(('成交明细'!$A$5:$A$804=A248)*('成交明细'!$D$5:$D$804=IF(E248="空","买","卖"))*'成交明细'!$B$5:$B$804)),"")</f>
        <v/>
      </c>
      <c r="T248" s="32" t="n"/>
      <c r="U248" s="35" t="str">
        <f>IF(A248="","",SUMIFS('成交明细'!$F$5:$F$804,'成交明细'!$A$5:$A$804,A248,'成交明细'!$D$5:$D$804,IF(E248="空","卖","买")))</f>
        <v/>
      </c>
      <c r="V248" s="40" t="str">
        <f>IF(N(U248)&gt;0,SUMIFS('成交明细'!$H$5:$H$804,'成交明细'!$A$5:$A$804,A248,'成交明细'!$D$5:$D$804,IF(E248="空","卖","买"))/U248,"")</f>
        <v/>
      </c>
      <c r="W248" s="35" t="str">
        <f>IF(A248="","",SUMIFS('成交明细'!$F$5:$F$804,'成交明细'!$A$5:$A$804,A248,'成交明细'!$D$5:$D$804,IF(E248="空","买","卖")))</f>
        <v/>
      </c>
      <c r="X248" s="40" t="str">
        <f>IF(N(W248)&gt;0,SUMIFS('成交明细'!$H$5:$H$804,'成交明细'!$A$5:$A$804,A248,'成交明细'!$D$5:$D$804,IF(E248="空","买","卖"))/W248,"")</f>
        <v/>
      </c>
      <c r="Y248" s="41" t="str">
        <f>IF(A248="","",IF(Q248&lt;&gt;"已执行",IF(Q248="","未填执行情况",Q248),IF(N(U248)=0,"待录成交",IF(N(W248)&gt;N(U248),"平仓多于开仓",IF(N(W248)&lt;N(U248),"持仓中","已平仓")))))</f>
        <v/>
      </c>
      <c r="Z248" s="41" t="str">
        <f>IF(AND(ISNUMBER(R248),ISNUMBER(S248)),IF(R248=S248,"日内",""),"")</f>
        <v/>
      </c>
      <c r="AA248" s="42" t="str">
        <f>IF(Z248&lt;&gt;"日内","",COUNTIFS($Z$5:$Z$304,"日内",$S$5:$S$304,"&gt;"&amp;WORKDAY(S248,-5),$S$5:$S$304,"&lt;="&amp;S248))</f>
        <v/>
      </c>
      <c r="AB248" s="41" t="str">
        <f>IF(OR(NOT(ISNUMBER(M248)),NOT(ISNUMBER(R248))),"",IF(AND(M248&gt;=R248,OR(NOT(ISNUMBER(S248)),M248&lt;=S248)),"持仓跨财报",""))</f>
        <v/>
      </c>
      <c r="AC248" s="20">
        <f>IF(AND(E248="空",ISNUMBER(O248),ISNUMBER(S248)),ROUND(O248*(S248-R248)/360*V248*U248,2),0)</f>
        <v>0</v>
      </c>
      <c r="AD248" s="43" t="str">
        <f>IF(N(U248)=0,"",SUMIFS('成交明细'!$L$5:$L$804,'成交明细'!$A$5:$A$804,A248)+AC248)</f>
        <v/>
      </c>
      <c r="AE248" s="44" t="str">
        <f>IF(Y248&lt;&gt;"已平仓","",(SUMIFS('成交明细'!$H$5:$H$804,'成交明细'!$A$5:$A$804,A248,'成交明细'!$D$5:$D$804,"卖")-SUMIFS('成交明细'!$H$5:$H$804,'成交明细'!$A$5:$A$804,A248,'成交明细'!$D$5:$D$804,"买"))*1-AD248)</f>
        <v/>
      </c>
      <c r="AF248" s="45" t="str">
        <f>IF(AND(Y248="已平仓",ISNUMBER(L248)),(SUMIFS('成交明细'!$H$5:$H$804,'成交明细'!$A$5:$A$804,A248,'成交明细'!$D$5:$D$804,"卖")-SUMIFS('成交明细'!$H$5:$H$804,'成交明细'!$A$5:$A$804,A248,'成交明细'!$D$5:$D$804,"买"))*1/L248,"")</f>
        <v/>
      </c>
      <c r="AG248" s="45" t="str">
        <f>IF(AND(Y248="已平仓",ISNUMBER(L248)),AE248/L248,"")</f>
        <v/>
      </c>
      <c r="AH248" s="46" t="str">
        <f>IF(AND(ISNUMBER(V248),ISNUMBER(F248)),IF(E248="空",F248-V248,V248-F248),"")</f>
        <v/>
      </c>
      <c r="AI248" s="46" t="str">
        <f>IF(OR(NOT(ISNUMBER(AE248)),NOT(ISNUMBER(X248))),"",IF(AE248&lt;0,IF(E248="空",X248-G248,G248-X248),IF(NOT(ISNUMBER(H248)),"",IF(E248="空",X248-H248,H248-X248))))</f>
        <v/>
      </c>
      <c r="AJ248" s="32" t="n"/>
      <c r="AK248" s="32" t="n"/>
      <c r="AL248" s="31" t="n"/>
      <c r="AM248" s="45" t="str">
        <f>IF(A248="","",SUM(AG$5:AG248))</f>
        <v/>
      </c>
      <c r="AN248" s="37" t="str">
        <f>IF(A248="","",MAX(0,MAX(AM$5:AM248))-AM248)</f>
        <v/>
      </c>
    </row>
    <row r="249">
      <c r="A249" s="29" t="n"/>
      <c r="B249" s="30" t="n"/>
      <c r="C249" s="31" t="n"/>
      <c r="D249" s="32" t="n"/>
      <c r="E249" s="32" t="n"/>
      <c r="F249" s="33" t="n"/>
      <c r="G249" s="33" t="n"/>
      <c r="H249" s="33" t="n"/>
      <c r="I249" s="34" t="str">
        <f>IF(AND(ISNUMBER(F249),ISNUMBER(G249),ISNUMBER(H249)),IF(OR(AND(E249="多",F249&gt;G249),AND(E249="空",F249&lt;G249)),ABS(H249-F249)/ABS(F249-G249),"止损方向不对"),"")</f>
        <v/>
      </c>
      <c r="J249" s="35" t="str">
        <f>IF(AND(ISNUMBER(F249),ISNUMBER(G249)),IF(F249=G249,"",IF(INT(ROUND('参数'!$C$7/(ABS(F249-G249)*1+2*'参数'!$C$11+N('参数'!$C$14)*F249+N('参数'!$C$15))/1,6))*1&gt;0,INT(ROUND('参数'!$C$7/(ABS(F249-G249)*1+2*'参数'!$C$11+N('参数'!$C$14)*F249+N('参数'!$C$15))/1,6))*1,"预算不足，这笔不做")),"")</f>
        <v/>
      </c>
      <c r="K249" s="36" t="n"/>
      <c r="L249" s="20" t="str">
        <f>IF(AND(ISNUMBER(F249),ISNUMBER(G249),ISNUMBER(K249)),IF(AND(F249&lt;&gt;G249,K249&gt;0),ABS(F249-G249)*K249*1,""),"")</f>
        <v/>
      </c>
      <c r="M249" s="30" t="n"/>
      <c r="N249" s="37" t="str">
        <f>IF(AND(ISNUMBER(L249),ISNUMBER(M249)),IF(E249="空",(G249*(1+'参数'!$C$17)-F249),(F249-G249*(1-'参数'!$C$17)))*K249/L249,"")</f>
        <v/>
      </c>
      <c r="O249" s="38" t="n"/>
      <c r="P249" s="31" t="n"/>
      <c r="Q249" s="32" t="n"/>
      <c r="R249" s="39" t="str">
        <f>IF(N(U249)&gt;0,SUMPRODUCT(LARGE(('成交明细'!$A$5:$A$804=A249)*('成交明细'!$D$5:$D$804=IF(E249="空","卖","买"))*'成交明细'!$B$5:$B$804,COUNTIFS('成交明细'!$A$5:$A$804,A249,'成交明细'!$D$5:$D$804,IF(E249="空","卖","买")))),"")</f>
        <v/>
      </c>
      <c r="S249" s="39" t="str">
        <f>IF(AND(N(U249)&gt;0,N(W249)&gt;=N(U249)),SUMPRODUCT(MAX(('成交明细'!$A$5:$A$804=A249)*('成交明细'!$D$5:$D$804=IF(E249="空","买","卖"))*'成交明细'!$B$5:$B$804)),"")</f>
        <v/>
      </c>
      <c r="T249" s="32" t="n"/>
      <c r="U249" s="35" t="str">
        <f>IF(A249="","",SUMIFS('成交明细'!$F$5:$F$804,'成交明细'!$A$5:$A$804,A249,'成交明细'!$D$5:$D$804,IF(E249="空","卖","买")))</f>
        <v/>
      </c>
      <c r="V249" s="40" t="str">
        <f>IF(N(U249)&gt;0,SUMIFS('成交明细'!$H$5:$H$804,'成交明细'!$A$5:$A$804,A249,'成交明细'!$D$5:$D$804,IF(E249="空","卖","买"))/U249,"")</f>
        <v/>
      </c>
      <c r="W249" s="35" t="str">
        <f>IF(A249="","",SUMIFS('成交明细'!$F$5:$F$804,'成交明细'!$A$5:$A$804,A249,'成交明细'!$D$5:$D$804,IF(E249="空","买","卖")))</f>
        <v/>
      </c>
      <c r="X249" s="40" t="str">
        <f>IF(N(W249)&gt;0,SUMIFS('成交明细'!$H$5:$H$804,'成交明细'!$A$5:$A$804,A249,'成交明细'!$D$5:$D$804,IF(E249="空","买","卖"))/W249,"")</f>
        <v/>
      </c>
      <c r="Y249" s="41" t="str">
        <f>IF(A249="","",IF(Q249&lt;&gt;"已执行",IF(Q249="","未填执行情况",Q249),IF(N(U249)=0,"待录成交",IF(N(W249)&gt;N(U249),"平仓多于开仓",IF(N(W249)&lt;N(U249),"持仓中","已平仓")))))</f>
        <v/>
      </c>
      <c r="Z249" s="41" t="str">
        <f>IF(AND(ISNUMBER(R249),ISNUMBER(S249)),IF(R249=S249,"日内",""),"")</f>
        <v/>
      </c>
      <c r="AA249" s="42" t="str">
        <f>IF(Z249&lt;&gt;"日内","",COUNTIFS($Z$5:$Z$304,"日内",$S$5:$S$304,"&gt;"&amp;WORKDAY(S249,-5),$S$5:$S$304,"&lt;="&amp;S249))</f>
        <v/>
      </c>
      <c r="AB249" s="41" t="str">
        <f>IF(OR(NOT(ISNUMBER(M249)),NOT(ISNUMBER(R249))),"",IF(AND(M249&gt;=R249,OR(NOT(ISNUMBER(S249)),M249&lt;=S249)),"持仓跨财报",""))</f>
        <v/>
      </c>
      <c r="AC249" s="20">
        <f>IF(AND(E249="空",ISNUMBER(O249),ISNUMBER(S249)),ROUND(O249*(S249-R249)/360*V249*U249,2),0)</f>
        <v>0</v>
      </c>
      <c r="AD249" s="43" t="str">
        <f>IF(N(U249)=0,"",SUMIFS('成交明细'!$L$5:$L$804,'成交明细'!$A$5:$A$804,A249)+AC249)</f>
        <v/>
      </c>
      <c r="AE249" s="44" t="str">
        <f>IF(Y249&lt;&gt;"已平仓","",(SUMIFS('成交明细'!$H$5:$H$804,'成交明细'!$A$5:$A$804,A249,'成交明细'!$D$5:$D$804,"卖")-SUMIFS('成交明细'!$H$5:$H$804,'成交明细'!$A$5:$A$804,A249,'成交明细'!$D$5:$D$804,"买"))*1-AD249)</f>
        <v/>
      </c>
      <c r="AF249" s="45" t="str">
        <f>IF(AND(Y249="已平仓",ISNUMBER(L249)),(SUMIFS('成交明细'!$H$5:$H$804,'成交明细'!$A$5:$A$804,A249,'成交明细'!$D$5:$D$804,"卖")-SUMIFS('成交明细'!$H$5:$H$804,'成交明细'!$A$5:$A$804,A249,'成交明细'!$D$5:$D$804,"买"))*1/L249,"")</f>
        <v/>
      </c>
      <c r="AG249" s="45" t="str">
        <f>IF(AND(Y249="已平仓",ISNUMBER(L249)),AE249/L249,"")</f>
        <v/>
      </c>
      <c r="AH249" s="46" t="str">
        <f>IF(AND(ISNUMBER(V249),ISNUMBER(F249)),IF(E249="空",F249-V249,V249-F249),"")</f>
        <v/>
      </c>
      <c r="AI249" s="46" t="str">
        <f>IF(OR(NOT(ISNUMBER(AE249)),NOT(ISNUMBER(X249))),"",IF(AE249&lt;0,IF(E249="空",X249-G249,G249-X249),IF(NOT(ISNUMBER(H249)),"",IF(E249="空",X249-H249,H249-X249))))</f>
        <v/>
      </c>
      <c r="AJ249" s="32" t="n"/>
      <c r="AK249" s="32" t="n"/>
      <c r="AL249" s="31" t="n"/>
      <c r="AM249" s="45" t="str">
        <f>IF(A249="","",SUM(AG$5:AG249))</f>
        <v/>
      </c>
      <c r="AN249" s="37" t="str">
        <f>IF(A249="","",MAX(0,MAX(AM$5:AM249))-AM249)</f>
        <v/>
      </c>
    </row>
    <row r="250">
      <c r="A250" s="29" t="n"/>
      <c r="B250" s="30" t="n"/>
      <c r="C250" s="31" t="n"/>
      <c r="D250" s="32" t="n"/>
      <c r="E250" s="32" t="n"/>
      <c r="F250" s="33" t="n"/>
      <c r="G250" s="33" t="n"/>
      <c r="H250" s="33" t="n"/>
      <c r="I250" s="34" t="str">
        <f>IF(AND(ISNUMBER(F250),ISNUMBER(G250),ISNUMBER(H250)),IF(OR(AND(E250="多",F250&gt;G250),AND(E250="空",F250&lt;G250)),ABS(H250-F250)/ABS(F250-G250),"止损方向不对"),"")</f>
        <v/>
      </c>
      <c r="J250" s="35" t="str">
        <f>IF(AND(ISNUMBER(F250),ISNUMBER(G250)),IF(F250=G250,"",IF(INT(ROUND('参数'!$C$7/(ABS(F250-G250)*1+2*'参数'!$C$11+N('参数'!$C$14)*F250+N('参数'!$C$15))/1,6))*1&gt;0,INT(ROUND('参数'!$C$7/(ABS(F250-G250)*1+2*'参数'!$C$11+N('参数'!$C$14)*F250+N('参数'!$C$15))/1,6))*1,"预算不足，这笔不做")),"")</f>
        <v/>
      </c>
      <c r="K250" s="36" t="n"/>
      <c r="L250" s="20" t="str">
        <f>IF(AND(ISNUMBER(F250),ISNUMBER(G250),ISNUMBER(K250)),IF(AND(F250&lt;&gt;G250,K250&gt;0),ABS(F250-G250)*K250*1,""),"")</f>
        <v/>
      </c>
      <c r="M250" s="30" t="n"/>
      <c r="N250" s="37" t="str">
        <f>IF(AND(ISNUMBER(L250),ISNUMBER(M250)),IF(E250="空",(G250*(1+'参数'!$C$17)-F250),(F250-G250*(1-'参数'!$C$17)))*K250/L250,"")</f>
        <v/>
      </c>
      <c r="O250" s="38" t="n"/>
      <c r="P250" s="31" t="n"/>
      <c r="Q250" s="32" t="n"/>
      <c r="R250" s="39" t="str">
        <f>IF(N(U250)&gt;0,SUMPRODUCT(LARGE(('成交明细'!$A$5:$A$804=A250)*('成交明细'!$D$5:$D$804=IF(E250="空","卖","买"))*'成交明细'!$B$5:$B$804,COUNTIFS('成交明细'!$A$5:$A$804,A250,'成交明细'!$D$5:$D$804,IF(E250="空","卖","买")))),"")</f>
        <v/>
      </c>
      <c r="S250" s="39" t="str">
        <f>IF(AND(N(U250)&gt;0,N(W250)&gt;=N(U250)),SUMPRODUCT(MAX(('成交明细'!$A$5:$A$804=A250)*('成交明细'!$D$5:$D$804=IF(E250="空","买","卖"))*'成交明细'!$B$5:$B$804)),"")</f>
        <v/>
      </c>
      <c r="T250" s="32" t="n"/>
      <c r="U250" s="35" t="str">
        <f>IF(A250="","",SUMIFS('成交明细'!$F$5:$F$804,'成交明细'!$A$5:$A$804,A250,'成交明细'!$D$5:$D$804,IF(E250="空","卖","买")))</f>
        <v/>
      </c>
      <c r="V250" s="40" t="str">
        <f>IF(N(U250)&gt;0,SUMIFS('成交明细'!$H$5:$H$804,'成交明细'!$A$5:$A$804,A250,'成交明细'!$D$5:$D$804,IF(E250="空","卖","买"))/U250,"")</f>
        <v/>
      </c>
      <c r="W250" s="35" t="str">
        <f>IF(A250="","",SUMIFS('成交明细'!$F$5:$F$804,'成交明细'!$A$5:$A$804,A250,'成交明细'!$D$5:$D$804,IF(E250="空","买","卖")))</f>
        <v/>
      </c>
      <c r="X250" s="40" t="str">
        <f>IF(N(W250)&gt;0,SUMIFS('成交明细'!$H$5:$H$804,'成交明细'!$A$5:$A$804,A250,'成交明细'!$D$5:$D$804,IF(E250="空","买","卖"))/W250,"")</f>
        <v/>
      </c>
      <c r="Y250" s="41" t="str">
        <f>IF(A250="","",IF(Q250&lt;&gt;"已执行",IF(Q250="","未填执行情况",Q250),IF(N(U250)=0,"待录成交",IF(N(W250)&gt;N(U250),"平仓多于开仓",IF(N(W250)&lt;N(U250),"持仓中","已平仓")))))</f>
        <v/>
      </c>
      <c r="Z250" s="41" t="str">
        <f>IF(AND(ISNUMBER(R250),ISNUMBER(S250)),IF(R250=S250,"日内",""),"")</f>
        <v/>
      </c>
      <c r="AA250" s="42" t="str">
        <f>IF(Z250&lt;&gt;"日内","",COUNTIFS($Z$5:$Z$304,"日内",$S$5:$S$304,"&gt;"&amp;WORKDAY(S250,-5),$S$5:$S$304,"&lt;="&amp;S250))</f>
        <v/>
      </c>
      <c r="AB250" s="41" t="str">
        <f>IF(OR(NOT(ISNUMBER(M250)),NOT(ISNUMBER(R250))),"",IF(AND(M250&gt;=R250,OR(NOT(ISNUMBER(S250)),M250&lt;=S250)),"持仓跨财报",""))</f>
        <v/>
      </c>
      <c r="AC250" s="20">
        <f>IF(AND(E250="空",ISNUMBER(O250),ISNUMBER(S250)),ROUND(O250*(S250-R250)/360*V250*U250,2),0)</f>
        <v>0</v>
      </c>
      <c r="AD250" s="43" t="str">
        <f>IF(N(U250)=0,"",SUMIFS('成交明细'!$L$5:$L$804,'成交明细'!$A$5:$A$804,A250)+AC250)</f>
        <v/>
      </c>
      <c r="AE250" s="44" t="str">
        <f>IF(Y250&lt;&gt;"已平仓","",(SUMIFS('成交明细'!$H$5:$H$804,'成交明细'!$A$5:$A$804,A250,'成交明细'!$D$5:$D$804,"卖")-SUMIFS('成交明细'!$H$5:$H$804,'成交明细'!$A$5:$A$804,A250,'成交明细'!$D$5:$D$804,"买"))*1-AD250)</f>
        <v/>
      </c>
      <c r="AF250" s="45" t="str">
        <f>IF(AND(Y250="已平仓",ISNUMBER(L250)),(SUMIFS('成交明细'!$H$5:$H$804,'成交明细'!$A$5:$A$804,A250,'成交明细'!$D$5:$D$804,"卖")-SUMIFS('成交明细'!$H$5:$H$804,'成交明细'!$A$5:$A$804,A250,'成交明细'!$D$5:$D$804,"买"))*1/L250,"")</f>
        <v/>
      </c>
      <c r="AG250" s="45" t="str">
        <f>IF(AND(Y250="已平仓",ISNUMBER(L250)),AE250/L250,"")</f>
        <v/>
      </c>
      <c r="AH250" s="46" t="str">
        <f>IF(AND(ISNUMBER(V250),ISNUMBER(F250)),IF(E250="空",F250-V250,V250-F250),"")</f>
        <v/>
      </c>
      <c r="AI250" s="46" t="str">
        <f>IF(OR(NOT(ISNUMBER(AE250)),NOT(ISNUMBER(X250))),"",IF(AE250&lt;0,IF(E250="空",X250-G250,G250-X250),IF(NOT(ISNUMBER(H250)),"",IF(E250="空",X250-H250,H250-X250))))</f>
        <v/>
      </c>
      <c r="AJ250" s="32" t="n"/>
      <c r="AK250" s="32" t="n"/>
      <c r="AL250" s="31" t="n"/>
      <c r="AM250" s="45" t="str">
        <f>IF(A250="","",SUM(AG$5:AG250))</f>
        <v/>
      </c>
      <c r="AN250" s="37" t="str">
        <f>IF(A250="","",MAX(0,MAX(AM$5:AM250))-AM250)</f>
        <v/>
      </c>
    </row>
    <row r="251">
      <c r="A251" s="29" t="n"/>
      <c r="B251" s="30" t="n"/>
      <c r="C251" s="31" t="n"/>
      <c r="D251" s="32" t="n"/>
      <c r="E251" s="32" t="n"/>
      <c r="F251" s="33" t="n"/>
      <c r="G251" s="33" t="n"/>
      <c r="H251" s="33" t="n"/>
      <c r="I251" s="34" t="str">
        <f>IF(AND(ISNUMBER(F251),ISNUMBER(G251),ISNUMBER(H251)),IF(OR(AND(E251="多",F251&gt;G251),AND(E251="空",F251&lt;G251)),ABS(H251-F251)/ABS(F251-G251),"止损方向不对"),"")</f>
        <v/>
      </c>
      <c r="J251" s="35" t="str">
        <f>IF(AND(ISNUMBER(F251),ISNUMBER(G251)),IF(F251=G251,"",IF(INT(ROUND('参数'!$C$7/(ABS(F251-G251)*1+2*'参数'!$C$11+N('参数'!$C$14)*F251+N('参数'!$C$15))/1,6))*1&gt;0,INT(ROUND('参数'!$C$7/(ABS(F251-G251)*1+2*'参数'!$C$11+N('参数'!$C$14)*F251+N('参数'!$C$15))/1,6))*1,"预算不足，这笔不做")),"")</f>
        <v/>
      </c>
      <c r="K251" s="36" t="n"/>
      <c r="L251" s="20" t="str">
        <f>IF(AND(ISNUMBER(F251),ISNUMBER(G251),ISNUMBER(K251)),IF(AND(F251&lt;&gt;G251,K251&gt;0),ABS(F251-G251)*K251*1,""),"")</f>
        <v/>
      </c>
      <c r="M251" s="30" t="n"/>
      <c r="N251" s="37" t="str">
        <f>IF(AND(ISNUMBER(L251),ISNUMBER(M251)),IF(E251="空",(G251*(1+'参数'!$C$17)-F251),(F251-G251*(1-'参数'!$C$17)))*K251/L251,"")</f>
        <v/>
      </c>
      <c r="O251" s="38" t="n"/>
      <c r="P251" s="31" t="n"/>
      <c r="Q251" s="32" t="n"/>
      <c r="R251" s="39" t="str">
        <f>IF(N(U251)&gt;0,SUMPRODUCT(LARGE(('成交明细'!$A$5:$A$804=A251)*('成交明细'!$D$5:$D$804=IF(E251="空","卖","买"))*'成交明细'!$B$5:$B$804,COUNTIFS('成交明细'!$A$5:$A$804,A251,'成交明细'!$D$5:$D$804,IF(E251="空","卖","买")))),"")</f>
        <v/>
      </c>
      <c r="S251" s="39" t="str">
        <f>IF(AND(N(U251)&gt;0,N(W251)&gt;=N(U251)),SUMPRODUCT(MAX(('成交明细'!$A$5:$A$804=A251)*('成交明细'!$D$5:$D$804=IF(E251="空","买","卖"))*'成交明细'!$B$5:$B$804)),"")</f>
        <v/>
      </c>
      <c r="T251" s="32" t="n"/>
      <c r="U251" s="35" t="str">
        <f>IF(A251="","",SUMIFS('成交明细'!$F$5:$F$804,'成交明细'!$A$5:$A$804,A251,'成交明细'!$D$5:$D$804,IF(E251="空","卖","买")))</f>
        <v/>
      </c>
      <c r="V251" s="40" t="str">
        <f>IF(N(U251)&gt;0,SUMIFS('成交明细'!$H$5:$H$804,'成交明细'!$A$5:$A$804,A251,'成交明细'!$D$5:$D$804,IF(E251="空","卖","买"))/U251,"")</f>
        <v/>
      </c>
      <c r="W251" s="35" t="str">
        <f>IF(A251="","",SUMIFS('成交明细'!$F$5:$F$804,'成交明细'!$A$5:$A$804,A251,'成交明细'!$D$5:$D$804,IF(E251="空","买","卖")))</f>
        <v/>
      </c>
      <c r="X251" s="40" t="str">
        <f>IF(N(W251)&gt;0,SUMIFS('成交明细'!$H$5:$H$804,'成交明细'!$A$5:$A$804,A251,'成交明细'!$D$5:$D$804,IF(E251="空","买","卖"))/W251,"")</f>
        <v/>
      </c>
      <c r="Y251" s="41" t="str">
        <f>IF(A251="","",IF(Q251&lt;&gt;"已执行",IF(Q251="","未填执行情况",Q251),IF(N(U251)=0,"待录成交",IF(N(W251)&gt;N(U251),"平仓多于开仓",IF(N(W251)&lt;N(U251),"持仓中","已平仓")))))</f>
        <v/>
      </c>
      <c r="Z251" s="41" t="str">
        <f>IF(AND(ISNUMBER(R251),ISNUMBER(S251)),IF(R251=S251,"日内",""),"")</f>
        <v/>
      </c>
      <c r="AA251" s="42" t="str">
        <f>IF(Z251&lt;&gt;"日内","",COUNTIFS($Z$5:$Z$304,"日内",$S$5:$S$304,"&gt;"&amp;WORKDAY(S251,-5),$S$5:$S$304,"&lt;="&amp;S251))</f>
        <v/>
      </c>
      <c r="AB251" s="41" t="str">
        <f>IF(OR(NOT(ISNUMBER(M251)),NOT(ISNUMBER(R251))),"",IF(AND(M251&gt;=R251,OR(NOT(ISNUMBER(S251)),M251&lt;=S251)),"持仓跨财报",""))</f>
        <v/>
      </c>
      <c r="AC251" s="20">
        <f>IF(AND(E251="空",ISNUMBER(O251),ISNUMBER(S251)),ROUND(O251*(S251-R251)/360*V251*U251,2),0)</f>
        <v>0</v>
      </c>
      <c r="AD251" s="43" t="str">
        <f>IF(N(U251)=0,"",SUMIFS('成交明细'!$L$5:$L$804,'成交明细'!$A$5:$A$804,A251)+AC251)</f>
        <v/>
      </c>
      <c r="AE251" s="44" t="str">
        <f>IF(Y251&lt;&gt;"已平仓","",(SUMIFS('成交明细'!$H$5:$H$804,'成交明细'!$A$5:$A$804,A251,'成交明细'!$D$5:$D$804,"卖")-SUMIFS('成交明细'!$H$5:$H$804,'成交明细'!$A$5:$A$804,A251,'成交明细'!$D$5:$D$804,"买"))*1-AD251)</f>
        <v/>
      </c>
      <c r="AF251" s="45" t="str">
        <f>IF(AND(Y251="已平仓",ISNUMBER(L251)),(SUMIFS('成交明细'!$H$5:$H$804,'成交明细'!$A$5:$A$804,A251,'成交明细'!$D$5:$D$804,"卖")-SUMIFS('成交明细'!$H$5:$H$804,'成交明细'!$A$5:$A$804,A251,'成交明细'!$D$5:$D$804,"买"))*1/L251,"")</f>
        <v/>
      </c>
      <c r="AG251" s="45" t="str">
        <f>IF(AND(Y251="已平仓",ISNUMBER(L251)),AE251/L251,"")</f>
        <v/>
      </c>
      <c r="AH251" s="46" t="str">
        <f>IF(AND(ISNUMBER(V251),ISNUMBER(F251)),IF(E251="空",F251-V251,V251-F251),"")</f>
        <v/>
      </c>
      <c r="AI251" s="46" t="str">
        <f>IF(OR(NOT(ISNUMBER(AE251)),NOT(ISNUMBER(X251))),"",IF(AE251&lt;0,IF(E251="空",X251-G251,G251-X251),IF(NOT(ISNUMBER(H251)),"",IF(E251="空",X251-H251,H251-X251))))</f>
        <v/>
      </c>
      <c r="AJ251" s="32" t="n"/>
      <c r="AK251" s="32" t="n"/>
      <c r="AL251" s="31" t="n"/>
      <c r="AM251" s="45" t="str">
        <f>IF(A251="","",SUM(AG$5:AG251))</f>
        <v/>
      </c>
      <c r="AN251" s="37" t="str">
        <f>IF(A251="","",MAX(0,MAX(AM$5:AM251))-AM251)</f>
        <v/>
      </c>
    </row>
    <row r="252">
      <c r="A252" s="29" t="n"/>
      <c r="B252" s="30" t="n"/>
      <c r="C252" s="31" t="n"/>
      <c r="D252" s="32" t="n"/>
      <c r="E252" s="32" t="n"/>
      <c r="F252" s="33" t="n"/>
      <c r="G252" s="33" t="n"/>
      <c r="H252" s="33" t="n"/>
      <c r="I252" s="34" t="str">
        <f>IF(AND(ISNUMBER(F252),ISNUMBER(G252),ISNUMBER(H252)),IF(OR(AND(E252="多",F252&gt;G252),AND(E252="空",F252&lt;G252)),ABS(H252-F252)/ABS(F252-G252),"止损方向不对"),"")</f>
        <v/>
      </c>
      <c r="J252" s="35" t="str">
        <f>IF(AND(ISNUMBER(F252),ISNUMBER(G252)),IF(F252=G252,"",IF(INT(ROUND('参数'!$C$7/(ABS(F252-G252)*1+2*'参数'!$C$11+N('参数'!$C$14)*F252+N('参数'!$C$15))/1,6))*1&gt;0,INT(ROUND('参数'!$C$7/(ABS(F252-G252)*1+2*'参数'!$C$11+N('参数'!$C$14)*F252+N('参数'!$C$15))/1,6))*1,"预算不足，这笔不做")),"")</f>
        <v/>
      </c>
      <c r="K252" s="36" t="n"/>
      <c r="L252" s="20" t="str">
        <f>IF(AND(ISNUMBER(F252),ISNUMBER(G252),ISNUMBER(K252)),IF(AND(F252&lt;&gt;G252,K252&gt;0),ABS(F252-G252)*K252*1,""),"")</f>
        <v/>
      </c>
      <c r="M252" s="30" t="n"/>
      <c r="N252" s="37" t="str">
        <f>IF(AND(ISNUMBER(L252),ISNUMBER(M252)),IF(E252="空",(G252*(1+'参数'!$C$17)-F252),(F252-G252*(1-'参数'!$C$17)))*K252/L252,"")</f>
        <v/>
      </c>
      <c r="O252" s="38" t="n"/>
      <c r="P252" s="31" t="n"/>
      <c r="Q252" s="32" t="n"/>
      <c r="R252" s="39" t="str">
        <f>IF(N(U252)&gt;0,SUMPRODUCT(LARGE(('成交明细'!$A$5:$A$804=A252)*('成交明细'!$D$5:$D$804=IF(E252="空","卖","买"))*'成交明细'!$B$5:$B$804,COUNTIFS('成交明细'!$A$5:$A$804,A252,'成交明细'!$D$5:$D$804,IF(E252="空","卖","买")))),"")</f>
        <v/>
      </c>
      <c r="S252" s="39" t="str">
        <f>IF(AND(N(U252)&gt;0,N(W252)&gt;=N(U252)),SUMPRODUCT(MAX(('成交明细'!$A$5:$A$804=A252)*('成交明细'!$D$5:$D$804=IF(E252="空","买","卖"))*'成交明细'!$B$5:$B$804)),"")</f>
        <v/>
      </c>
      <c r="T252" s="32" t="n"/>
      <c r="U252" s="35" t="str">
        <f>IF(A252="","",SUMIFS('成交明细'!$F$5:$F$804,'成交明细'!$A$5:$A$804,A252,'成交明细'!$D$5:$D$804,IF(E252="空","卖","买")))</f>
        <v/>
      </c>
      <c r="V252" s="40" t="str">
        <f>IF(N(U252)&gt;0,SUMIFS('成交明细'!$H$5:$H$804,'成交明细'!$A$5:$A$804,A252,'成交明细'!$D$5:$D$804,IF(E252="空","卖","买"))/U252,"")</f>
        <v/>
      </c>
      <c r="W252" s="35" t="str">
        <f>IF(A252="","",SUMIFS('成交明细'!$F$5:$F$804,'成交明细'!$A$5:$A$804,A252,'成交明细'!$D$5:$D$804,IF(E252="空","买","卖")))</f>
        <v/>
      </c>
      <c r="X252" s="40" t="str">
        <f>IF(N(W252)&gt;0,SUMIFS('成交明细'!$H$5:$H$804,'成交明细'!$A$5:$A$804,A252,'成交明细'!$D$5:$D$804,IF(E252="空","买","卖"))/W252,"")</f>
        <v/>
      </c>
      <c r="Y252" s="41" t="str">
        <f>IF(A252="","",IF(Q252&lt;&gt;"已执行",IF(Q252="","未填执行情况",Q252),IF(N(U252)=0,"待录成交",IF(N(W252)&gt;N(U252),"平仓多于开仓",IF(N(W252)&lt;N(U252),"持仓中","已平仓")))))</f>
        <v/>
      </c>
      <c r="Z252" s="41" t="str">
        <f>IF(AND(ISNUMBER(R252),ISNUMBER(S252)),IF(R252=S252,"日内",""),"")</f>
        <v/>
      </c>
      <c r="AA252" s="42" t="str">
        <f>IF(Z252&lt;&gt;"日内","",COUNTIFS($Z$5:$Z$304,"日内",$S$5:$S$304,"&gt;"&amp;WORKDAY(S252,-5),$S$5:$S$304,"&lt;="&amp;S252))</f>
        <v/>
      </c>
      <c r="AB252" s="41" t="str">
        <f>IF(OR(NOT(ISNUMBER(M252)),NOT(ISNUMBER(R252))),"",IF(AND(M252&gt;=R252,OR(NOT(ISNUMBER(S252)),M252&lt;=S252)),"持仓跨财报",""))</f>
        <v/>
      </c>
      <c r="AC252" s="20">
        <f>IF(AND(E252="空",ISNUMBER(O252),ISNUMBER(S252)),ROUND(O252*(S252-R252)/360*V252*U252,2),0)</f>
        <v>0</v>
      </c>
      <c r="AD252" s="43" t="str">
        <f>IF(N(U252)=0,"",SUMIFS('成交明细'!$L$5:$L$804,'成交明细'!$A$5:$A$804,A252)+AC252)</f>
        <v/>
      </c>
      <c r="AE252" s="44" t="str">
        <f>IF(Y252&lt;&gt;"已平仓","",(SUMIFS('成交明细'!$H$5:$H$804,'成交明细'!$A$5:$A$804,A252,'成交明细'!$D$5:$D$804,"卖")-SUMIFS('成交明细'!$H$5:$H$804,'成交明细'!$A$5:$A$804,A252,'成交明细'!$D$5:$D$804,"买"))*1-AD252)</f>
        <v/>
      </c>
      <c r="AF252" s="45" t="str">
        <f>IF(AND(Y252="已平仓",ISNUMBER(L252)),(SUMIFS('成交明细'!$H$5:$H$804,'成交明细'!$A$5:$A$804,A252,'成交明细'!$D$5:$D$804,"卖")-SUMIFS('成交明细'!$H$5:$H$804,'成交明细'!$A$5:$A$804,A252,'成交明细'!$D$5:$D$804,"买"))*1/L252,"")</f>
        <v/>
      </c>
      <c r="AG252" s="45" t="str">
        <f>IF(AND(Y252="已平仓",ISNUMBER(L252)),AE252/L252,"")</f>
        <v/>
      </c>
      <c r="AH252" s="46" t="str">
        <f>IF(AND(ISNUMBER(V252),ISNUMBER(F252)),IF(E252="空",F252-V252,V252-F252),"")</f>
        <v/>
      </c>
      <c r="AI252" s="46" t="str">
        <f>IF(OR(NOT(ISNUMBER(AE252)),NOT(ISNUMBER(X252))),"",IF(AE252&lt;0,IF(E252="空",X252-G252,G252-X252),IF(NOT(ISNUMBER(H252)),"",IF(E252="空",X252-H252,H252-X252))))</f>
        <v/>
      </c>
      <c r="AJ252" s="32" t="n"/>
      <c r="AK252" s="32" t="n"/>
      <c r="AL252" s="31" t="n"/>
      <c r="AM252" s="45" t="str">
        <f>IF(A252="","",SUM(AG$5:AG252))</f>
        <v/>
      </c>
      <c r="AN252" s="37" t="str">
        <f>IF(A252="","",MAX(0,MAX(AM$5:AM252))-AM252)</f>
        <v/>
      </c>
    </row>
    <row r="253">
      <c r="A253" s="29" t="n"/>
      <c r="B253" s="30" t="n"/>
      <c r="C253" s="31" t="n"/>
      <c r="D253" s="32" t="n"/>
      <c r="E253" s="32" t="n"/>
      <c r="F253" s="33" t="n"/>
      <c r="G253" s="33" t="n"/>
      <c r="H253" s="33" t="n"/>
      <c r="I253" s="34" t="str">
        <f>IF(AND(ISNUMBER(F253),ISNUMBER(G253),ISNUMBER(H253)),IF(OR(AND(E253="多",F253&gt;G253),AND(E253="空",F253&lt;G253)),ABS(H253-F253)/ABS(F253-G253),"止损方向不对"),"")</f>
        <v/>
      </c>
      <c r="J253" s="35" t="str">
        <f>IF(AND(ISNUMBER(F253),ISNUMBER(G253)),IF(F253=G253,"",IF(INT(ROUND('参数'!$C$7/(ABS(F253-G253)*1+2*'参数'!$C$11+N('参数'!$C$14)*F253+N('参数'!$C$15))/1,6))*1&gt;0,INT(ROUND('参数'!$C$7/(ABS(F253-G253)*1+2*'参数'!$C$11+N('参数'!$C$14)*F253+N('参数'!$C$15))/1,6))*1,"预算不足，这笔不做")),"")</f>
        <v/>
      </c>
      <c r="K253" s="36" t="n"/>
      <c r="L253" s="20" t="str">
        <f>IF(AND(ISNUMBER(F253),ISNUMBER(G253),ISNUMBER(K253)),IF(AND(F253&lt;&gt;G253,K253&gt;0),ABS(F253-G253)*K253*1,""),"")</f>
        <v/>
      </c>
      <c r="M253" s="30" t="n"/>
      <c r="N253" s="37" t="str">
        <f>IF(AND(ISNUMBER(L253),ISNUMBER(M253)),IF(E253="空",(G253*(1+'参数'!$C$17)-F253),(F253-G253*(1-'参数'!$C$17)))*K253/L253,"")</f>
        <v/>
      </c>
      <c r="O253" s="38" t="n"/>
      <c r="P253" s="31" t="n"/>
      <c r="Q253" s="32" t="n"/>
      <c r="R253" s="39" t="str">
        <f>IF(N(U253)&gt;0,SUMPRODUCT(LARGE(('成交明细'!$A$5:$A$804=A253)*('成交明细'!$D$5:$D$804=IF(E253="空","卖","买"))*'成交明细'!$B$5:$B$804,COUNTIFS('成交明细'!$A$5:$A$804,A253,'成交明细'!$D$5:$D$804,IF(E253="空","卖","买")))),"")</f>
        <v/>
      </c>
      <c r="S253" s="39" t="str">
        <f>IF(AND(N(U253)&gt;0,N(W253)&gt;=N(U253)),SUMPRODUCT(MAX(('成交明细'!$A$5:$A$804=A253)*('成交明细'!$D$5:$D$804=IF(E253="空","买","卖"))*'成交明细'!$B$5:$B$804)),"")</f>
        <v/>
      </c>
      <c r="T253" s="32" t="n"/>
      <c r="U253" s="35" t="str">
        <f>IF(A253="","",SUMIFS('成交明细'!$F$5:$F$804,'成交明细'!$A$5:$A$804,A253,'成交明细'!$D$5:$D$804,IF(E253="空","卖","买")))</f>
        <v/>
      </c>
      <c r="V253" s="40" t="str">
        <f>IF(N(U253)&gt;0,SUMIFS('成交明细'!$H$5:$H$804,'成交明细'!$A$5:$A$804,A253,'成交明细'!$D$5:$D$804,IF(E253="空","卖","买"))/U253,"")</f>
        <v/>
      </c>
      <c r="W253" s="35" t="str">
        <f>IF(A253="","",SUMIFS('成交明细'!$F$5:$F$804,'成交明细'!$A$5:$A$804,A253,'成交明细'!$D$5:$D$804,IF(E253="空","买","卖")))</f>
        <v/>
      </c>
      <c r="X253" s="40" t="str">
        <f>IF(N(W253)&gt;0,SUMIFS('成交明细'!$H$5:$H$804,'成交明细'!$A$5:$A$804,A253,'成交明细'!$D$5:$D$804,IF(E253="空","买","卖"))/W253,"")</f>
        <v/>
      </c>
      <c r="Y253" s="41" t="str">
        <f>IF(A253="","",IF(Q253&lt;&gt;"已执行",IF(Q253="","未填执行情况",Q253),IF(N(U253)=0,"待录成交",IF(N(W253)&gt;N(U253),"平仓多于开仓",IF(N(W253)&lt;N(U253),"持仓中","已平仓")))))</f>
        <v/>
      </c>
      <c r="Z253" s="41" t="str">
        <f>IF(AND(ISNUMBER(R253),ISNUMBER(S253)),IF(R253=S253,"日内",""),"")</f>
        <v/>
      </c>
      <c r="AA253" s="42" t="str">
        <f>IF(Z253&lt;&gt;"日内","",COUNTIFS($Z$5:$Z$304,"日内",$S$5:$S$304,"&gt;"&amp;WORKDAY(S253,-5),$S$5:$S$304,"&lt;="&amp;S253))</f>
        <v/>
      </c>
      <c r="AB253" s="41" t="str">
        <f>IF(OR(NOT(ISNUMBER(M253)),NOT(ISNUMBER(R253))),"",IF(AND(M253&gt;=R253,OR(NOT(ISNUMBER(S253)),M253&lt;=S253)),"持仓跨财报",""))</f>
        <v/>
      </c>
      <c r="AC253" s="20">
        <f>IF(AND(E253="空",ISNUMBER(O253),ISNUMBER(S253)),ROUND(O253*(S253-R253)/360*V253*U253,2),0)</f>
        <v>0</v>
      </c>
      <c r="AD253" s="43" t="str">
        <f>IF(N(U253)=0,"",SUMIFS('成交明细'!$L$5:$L$804,'成交明细'!$A$5:$A$804,A253)+AC253)</f>
        <v/>
      </c>
      <c r="AE253" s="44" t="str">
        <f>IF(Y253&lt;&gt;"已平仓","",(SUMIFS('成交明细'!$H$5:$H$804,'成交明细'!$A$5:$A$804,A253,'成交明细'!$D$5:$D$804,"卖")-SUMIFS('成交明细'!$H$5:$H$804,'成交明细'!$A$5:$A$804,A253,'成交明细'!$D$5:$D$804,"买"))*1-AD253)</f>
        <v/>
      </c>
      <c r="AF253" s="45" t="str">
        <f>IF(AND(Y253="已平仓",ISNUMBER(L253)),(SUMIFS('成交明细'!$H$5:$H$804,'成交明细'!$A$5:$A$804,A253,'成交明细'!$D$5:$D$804,"卖")-SUMIFS('成交明细'!$H$5:$H$804,'成交明细'!$A$5:$A$804,A253,'成交明细'!$D$5:$D$804,"买"))*1/L253,"")</f>
        <v/>
      </c>
      <c r="AG253" s="45" t="str">
        <f>IF(AND(Y253="已平仓",ISNUMBER(L253)),AE253/L253,"")</f>
        <v/>
      </c>
      <c r="AH253" s="46" t="str">
        <f>IF(AND(ISNUMBER(V253),ISNUMBER(F253)),IF(E253="空",F253-V253,V253-F253),"")</f>
        <v/>
      </c>
      <c r="AI253" s="46" t="str">
        <f>IF(OR(NOT(ISNUMBER(AE253)),NOT(ISNUMBER(X253))),"",IF(AE253&lt;0,IF(E253="空",X253-G253,G253-X253),IF(NOT(ISNUMBER(H253)),"",IF(E253="空",X253-H253,H253-X253))))</f>
        <v/>
      </c>
      <c r="AJ253" s="32" t="n"/>
      <c r="AK253" s="32" t="n"/>
      <c r="AL253" s="31" t="n"/>
      <c r="AM253" s="45" t="str">
        <f>IF(A253="","",SUM(AG$5:AG253))</f>
        <v/>
      </c>
      <c r="AN253" s="37" t="str">
        <f>IF(A253="","",MAX(0,MAX(AM$5:AM253))-AM253)</f>
        <v/>
      </c>
    </row>
    <row r="254">
      <c r="A254" s="29" t="n"/>
      <c r="B254" s="30" t="n"/>
      <c r="C254" s="31" t="n"/>
      <c r="D254" s="32" t="n"/>
      <c r="E254" s="32" t="n"/>
      <c r="F254" s="33" t="n"/>
      <c r="G254" s="33" t="n"/>
      <c r="H254" s="33" t="n"/>
      <c r="I254" s="34" t="str">
        <f>IF(AND(ISNUMBER(F254),ISNUMBER(G254),ISNUMBER(H254)),IF(OR(AND(E254="多",F254&gt;G254),AND(E254="空",F254&lt;G254)),ABS(H254-F254)/ABS(F254-G254),"止损方向不对"),"")</f>
        <v/>
      </c>
      <c r="J254" s="35" t="str">
        <f>IF(AND(ISNUMBER(F254),ISNUMBER(G254)),IF(F254=G254,"",IF(INT(ROUND('参数'!$C$7/(ABS(F254-G254)*1+2*'参数'!$C$11+N('参数'!$C$14)*F254+N('参数'!$C$15))/1,6))*1&gt;0,INT(ROUND('参数'!$C$7/(ABS(F254-G254)*1+2*'参数'!$C$11+N('参数'!$C$14)*F254+N('参数'!$C$15))/1,6))*1,"预算不足，这笔不做")),"")</f>
        <v/>
      </c>
      <c r="K254" s="36" t="n"/>
      <c r="L254" s="20" t="str">
        <f>IF(AND(ISNUMBER(F254),ISNUMBER(G254),ISNUMBER(K254)),IF(AND(F254&lt;&gt;G254,K254&gt;0),ABS(F254-G254)*K254*1,""),"")</f>
        <v/>
      </c>
      <c r="M254" s="30" t="n"/>
      <c r="N254" s="37" t="str">
        <f>IF(AND(ISNUMBER(L254),ISNUMBER(M254)),IF(E254="空",(G254*(1+'参数'!$C$17)-F254),(F254-G254*(1-'参数'!$C$17)))*K254/L254,"")</f>
        <v/>
      </c>
      <c r="O254" s="38" t="n"/>
      <c r="P254" s="31" t="n"/>
      <c r="Q254" s="32" t="n"/>
      <c r="R254" s="39" t="str">
        <f>IF(N(U254)&gt;0,SUMPRODUCT(LARGE(('成交明细'!$A$5:$A$804=A254)*('成交明细'!$D$5:$D$804=IF(E254="空","卖","买"))*'成交明细'!$B$5:$B$804,COUNTIFS('成交明细'!$A$5:$A$804,A254,'成交明细'!$D$5:$D$804,IF(E254="空","卖","买")))),"")</f>
        <v/>
      </c>
      <c r="S254" s="39" t="str">
        <f>IF(AND(N(U254)&gt;0,N(W254)&gt;=N(U254)),SUMPRODUCT(MAX(('成交明细'!$A$5:$A$804=A254)*('成交明细'!$D$5:$D$804=IF(E254="空","买","卖"))*'成交明细'!$B$5:$B$804)),"")</f>
        <v/>
      </c>
      <c r="T254" s="32" t="n"/>
      <c r="U254" s="35" t="str">
        <f>IF(A254="","",SUMIFS('成交明细'!$F$5:$F$804,'成交明细'!$A$5:$A$804,A254,'成交明细'!$D$5:$D$804,IF(E254="空","卖","买")))</f>
        <v/>
      </c>
      <c r="V254" s="40" t="str">
        <f>IF(N(U254)&gt;0,SUMIFS('成交明细'!$H$5:$H$804,'成交明细'!$A$5:$A$804,A254,'成交明细'!$D$5:$D$804,IF(E254="空","卖","买"))/U254,"")</f>
        <v/>
      </c>
      <c r="W254" s="35" t="str">
        <f>IF(A254="","",SUMIFS('成交明细'!$F$5:$F$804,'成交明细'!$A$5:$A$804,A254,'成交明细'!$D$5:$D$804,IF(E254="空","买","卖")))</f>
        <v/>
      </c>
      <c r="X254" s="40" t="str">
        <f>IF(N(W254)&gt;0,SUMIFS('成交明细'!$H$5:$H$804,'成交明细'!$A$5:$A$804,A254,'成交明细'!$D$5:$D$804,IF(E254="空","买","卖"))/W254,"")</f>
        <v/>
      </c>
      <c r="Y254" s="41" t="str">
        <f>IF(A254="","",IF(Q254&lt;&gt;"已执行",IF(Q254="","未填执行情况",Q254),IF(N(U254)=0,"待录成交",IF(N(W254)&gt;N(U254),"平仓多于开仓",IF(N(W254)&lt;N(U254),"持仓中","已平仓")))))</f>
        <v/>
      </c>
      <c r="Z254" s="41" t="str">
        <f>IF(AND(ISNUMBER(R254),ISNUMBER(S254)),IF(R254=S254,"日内",""),"")</f>
        <v/>
      </c>
      <c r="AA254" s="42" t="str">
        <f>IF(Z254&lt;&gt;"日内","",COUNTIFS($Z$5:$Z$304,"日内",$S$5:$S$304,"&gt;"&amp;WORKDAY(S254,-5),$S$5:$S$304,"&lt;="&amp;S254))</f>
        <v/>
      </c>
      <c r="AB254" s="41" t="str">
        <f>IF(OR(NOT(ISNUMBER(M254)),NOT(ISNUMBER(R254))),"",IF(AND(M254&gt;=R254,OR(NOT(ISNUMBER(S254)),M254&lt;=S254)),"持仓跨财报",""))</f>
        <v/>
      </c>
      <c r="AC254" s="20">
        <f>IF(AND(E254="空",ISNUMBER(O254),ISNUMBER(S254)),ROUND(O254*(S254-R254)/360*V254*U254,2),0)</f>
        <v>0</v>
      </c>
      <c r="AD254" s="43" t="str">
        <f>IF(N(U254)=0,"",SUMIFS('成交明细'!$L$5:$L$804,'成交明细'!$A$5:$A$804,A254)+AC254)</f>
        <v/>
      </c>
      <c r="AE254" s="44" t="str">
        <f>IF(Y254&lt;&gt;"已平仓","",(SUMIFS('成交明细'!$H$5:$H$804,'成交明细'!$A$5:$A$804,A254,'成交明细'!$D$5:$D$804,"卖")-SUMIFS('成交明细'!$H$5:$H$804,'成交明细'!$A$5:$A$804,A254,'成交明细'!$D$5:$D$804,"买"))*1-AD254)</f>
        <v/>
      </c>
      <c r="AF254" s="45" t="str">
        <f>IF(AND(Y254="已平仓",ISNUMBER(L254)),(SUMIFS('成交明细'!$H$5:$H$804,'成交明细'!$A$5:$A$804,A254,'成交明细'!$D$5:$D$804,"卖")-SUMIFS('成交明细'!$H$5:$H$804,'成交明细'!$A$5:$A$804,A254,'成交明细'!$D$5:$D$804,"买"))*1/L254,"")</f>
        <v/>
      </c>
      <c r="AG254" s="45" t="str">
        <f>IF(AND(Y254="已平仓",ISNUMBER(L254)),AE254/L254,"")</f>
        <v/>
      </c>
      <c r="AH254" s="46" t="str">
        <f>IF(AND(ISNUMBER(V254),ISNUMBER(F254)),IF(E254="空",F254-V254,V254-F254),"")</f>
        <v/>
      </c>
      <c r="AI254" s="46" t="str">
        <f>IF(OR(NOT(ISNUMBER(AE254)),NOT(ISNUMBER(X254))),"",IF(AE254&lt;0,IF(E254="空",X254-G254,G254-X254),IF(NOT(ISNUMBER(H254)),"",IF(E254="空",X254-H254,H254-X254))))</f>
        <v/>
      </c>
      <c r="AJ254" s="32" t="n"/>
      <c r="AK254" s="32" t="n"/>
      <c r="AL254" s="31" t="n"/>
      <c r="AM254" s="45" t="str">
        <f>IF(A254="","",SUM(AG$5:AG254))</f>
        <v/>
      </c>
      <c r="AN254" s="37" t="str">
        <f>IF(A254="","",MAX(0,MAX(AM$5:AM254))-AM254)</f>
        <v/>
      </c>
    </row>
    <row r="255">
      <c r="A255" s="29" t="n"/>
      <c r="B255" s="30" t="n"/>
      <c r="C255" s="31" t="n"/>
      <c r="D255" s="32" t="n"/>
      <c r="E255" s="32" t="n"/>
      <c r="F255" s="33" t="n"/>
      <c r="G255" s="33" t="n"/>
      <c r="H255" s="33" t="n"/>
      <c r="I255" s="34" t="str">
        <f>IF(AND(ISNUMBER(F255),ISNUMBER(G255),ISNUMBER(H255)),IF(OR(AND(E255="多",F255&gt;G255),AND(E255="空",F255&lt;G255)),ABS(H255-F255)/ABS(F255-G255),"止损方向不对"),"")</f>
        <v/>
      </c>
      <c r="J255" s="35" t="str">
        <f>IF(AND(ISNUMBER(F255),ISNUMBER(G255)),IF(F255=G255,"",IF(INT(ROUND('参数'!$C$7/(ABS(F255-G255)*1+2*'参数'!$C$11+N('参数'!$C$14)*F255+N('参数'!$C$15))/1,6))*1&gt;0,INT(ROUND('参数'!$C$7/(ABS(F255-G255)*1+2*'参数'!$C$11+N('参数'!$C$14)*F255+N('参数'!$C$15))/1,6))*1,"预算不足，这笔不做")),"")</f>
        <v/>
      </c>
      <c r="K255" s="36" t="n"/>
      <c r="L255" s="20" t="str">
        <f>IF(AND(ISNUMBER(F255),ISNUMBER(G255),ISNUMBER(K255)),IF(AND(F255&lt;&gt;G255,K255&gt;0),ABS(F255-G255)*K255*1,""),"")</f>
        <v/>
      </c>
      <c r="M255" s="30" t="n"/>
      <c r="N255" s="37" t="str">
        <f>IF(AND(ISNUMBER(L255),ISNUMBER(M255)),IF(E255="空",(G255*(1+'参数'!$C$17)-F255),(F255-G255*(1-'参数'!$C$17)))*K255/L255,"")</f>
        <v/>
      </c>
      <c r="O255" s="38" t="n"/>
      <c r="P255" s="31" t="n"/>
      <c r="Q255" s="32" t="n"/>
      <c r="R255" s="39" t="str">
        <f>IF(N(U255)&gt;0,SUMPRODUCT(LARGE(('成交明细'!$A$5:$A$804=A255)*('成交明细'!$D$5:$D$804=IF(E255="空","卖","买"))*'成交明细'!$B$5:$B$804,COUNTIFS('成交明细'!$A$5:$A$804,A255,'成交明细'!$D$5:$D$804,IF(E255="空","卖","买")))),"")</f>
        <v/>
      </c>
      <c r="S255" s="39" t="str">
        <f>IF(AND(N(U255)&gt;0,N(W255)&gt;=N(U255)),SUMPRODUCT(MAX(('成交明细'!$A$5:$A$804=A255)*('成交明细'!$D$5:$D$804=IF(E255="空","买","卖"))*'成交明细'!$B$5:$B$804)),"")</f>
        <v/>
      </c>
      <c r="T255" s="32" t="n"/>
      <c r="U255" s="35" t="str">
        <f>IF(A255="","",SUMIFS('成交明细'!$F$5:$F$804,'成交明细'!$A$5:$A$804,A255,'成交明细'!$D$5:$D$804,IF(E255="空","卖","买")))</f>
        <v/>
      </c>
      <c r="V255" s="40" t="str">
        <f>IF(N(U255)&gt;0,SUMIFS('成交明细'!$H$5:$H$804,'成交明细'!$A$5:$A$804,A255,'成交明细'!$D$5:$D$804,IF(E255="空","卖","买"))/U255,"")</f>
        <v/>
      </c>
      <c r="W255" s="35" t="str">
        <f>IF(A255="","",SUMIFS('成交明细'!$F$5:$F$804,'成交明细'!$A$5:$A$804,A255,'成交明细'!$D$5:$D$804,IF(E255="空","买","卖")))</f>
        <v/>
      </c>
      <c r="X255" s="40" t="str">
        <f>IF(N(W255)&gt;0,SUMIFS('成交明细'!$H$5:$H$804,'成交明细'!$A$5:$A$804,A255,'成交明细'!$D$5:$D$804,IF(E255="空","买","卖"))/W255,"")</f>
        <v/>
      </c>
      <c r="Y255" s="41" t="str">
        <f>IF(A255="","",IF(Q255&lt;&gt;"已执行",IF(Q255="","未填执行情况",Q255),IF(N(U255)=0,"待录成交",IF(N(W255)&gt;N(U255),"平仓多于开仓",IF(N(W255)&lt;N(U255),"持仓中","已平仓")))))</f>
        <v/>
      </c>
      <c r="Z255" s="41" t="str">
        <f>IF(AND(ISNUMBER(R255),ISNUMBER(S255)),IF(R255=S255,"日内",""),"")</f>
        <v/>
      </c>
      <c r="AA255" s="42" t="str">
        <f>IF(Z255&lt;&gt;"日内","",COUNTIFS($Z$5:$Z$304,"日内",$S$5:$S$304,"&gt;"&amp;WORKDAY(S255,-5),$S$5:$S$304,"&lt;="&amp;S255))</f>
        <v/>
      </c>
      <c r="AB255" s="41" t="str">
        <f>IF(OR(NOT(ISNUMBER(M255)),NOT(ISNUMBER(R255))),"",IF(AND(M255&gt;=R255,OR(NOT(ISNUMBER(S255)),M255&lt;=S255)),"持仓跨财报",""))</f>
        <v/>
      </c>
      <c r="AC255" s="20">
        <f>IF(AND(E255="空",ISNUMBER(O255),ISNUMBER(S255)),ROUND(O255*(S255-R255)/360*V255*U255,2),0)</f>
        <v>0</v>
      </c>
      <c r="AD255" s="43" t="str">
        <f>IF(N(U255)=0,"",SUMIFS('成交明细'!$L$5:$L$804,'成交明细'!$A$5:$A$804,A255)+AC255)</f>
        <v/>
      </c>
      <c r="AE255" s="44" t="str">
        <f>IF(Y255&lt;&gt;"已平仓","",(SUMIFS('成交明细'!$H$5:$H$804,'成交明细'!$A$5:$A$804,A255,'成交明细'!$D$5:$D$804,"卖")-SUMIFS('成交明细'!$H$5:$H$804,'成交明细'!$A$5:$A$804,A255,'成交明细'!$D$5:$D$804,"买"))*1-AD255)</f>
        <v/>
      </c>
      <c r="AF255" s="45" t="str">
        <f>IF(AND(Y255="已平仓",ISNUMBER(L255)),(SUMIFS('成交明细'!$H$5:$H$804,'成交明细'!$A$5:$A$804,A255,'成交明细'!$D$5:$D$804,"卖")-SUMIFS('成交明细'!$H$5:$H$804,'成交明细'!$A$5:$A$804,A255,'成交明细'!$D$5:$D$804,"买"))*1/L255,"")</f>
        <v/>
      </c>
      <c r="AG255" s="45" t="str">
        <f>IF(AND(Y255="已平仓",ISNUMBER(L255)),AE255/L255,"")</f>
        <v/>
      </c>
      <c r="AH255" s="46" t="str">
        <f>IF(AND(ISNUMBER(V255),ISNUMBER(F255)),IF(E255="空",F255-V255,V255-F255),"")</f>
        <v/>
      </c>
      <c r="AI255" s="46" t="str">
        <f>IF(OR(NOT(ISNUMBER(AE255)),NOT(ISNUMBER(X255))),"",IF(AE255&lt;0,IF(E255="空",X255-G255,G255-X255),IF(NOT(ISNUMBER(H255)),"",IF(E255="空",X255-H255,H255-X255))))</f>
        <v/>
      </c>
      <c r="AJ255" s="32" t="n"/>
      <c r="AK255" s="32" t="n"/>
      <c r="AL255" s="31" t="n"/>
      <c r="AM255" s="45" t="str">
        <f>IF(A255="","",SUM(AG$5:AG255))</f>
        <v/>
      </c>
      <c r="AN255" s="37" t="str">
        <f>IF(A255="","",MAX(0,MAX(AM$5:AM255))-AM255)</f>
        <v/>
      </c>
    </row>
    <row r="256">
      <c r="A256" s="29" t="n"/>
      <c r="B256" s="30" t="n"/>
      <c r="C256" s="31" t="n"/>
      <c r="D256" s="32" t="n"/>
      <c r="E256" s="32" t="n"/>
      <c r="F256" s="33" t="n"/>
      <c r="G256" s="33" t="n"/>
      <c r="H256" s="33" t="n"/>
      <c r="I256" s="34" t="str">
        <f>IF(AND(ISNUMBER(F256),ISNUMBER(G256),ISNUMBER(H256)),IF(OR(AND(E256="多",F256&gt;G256),AND(E256="空",F256&lt;G256)),ABS(H256-F256)/ABS(F256-G256),"止损方向不对"),"")</f>
        <v/>
      </c>
      <c r="J256" s="35" t="str">
        <f>IF(AND(ISNUMBER(F256),ISNUMBER(G256)),IF(F256=G256,"",IF(INT(ROUND('参数'!$C$7/(ABS(F256-G256)*1+2*'参数'!$C$11+N('参数'!$C$14)*F256+N('参数'!$C$15))/1,6))*1&gt;0,INT(ROUND('参数'!$C$7/(ABS(F256-G256)*1+2*'参数'!$C$11+N('参数'!$C$14)*F256+N('参数'!$C$15))/1,6))*1,"预算不足，这笔不做")),"")</f>
        <v/>
      </c>
      <c r="K256" s="36" t="n"/>
      <c r="L256" s="20" t="str">
        <f>IF(AND(ISNUMBER(F256),ISNUMBER(G256),ISNUMBER(K256)),IF(AND(F256&lt;&gt;G256,K256&gt;0),ABS(F256-G256)*K256*1,""),"")</f>
        <v/>
      </c>
      <c r="M256" s="30" t="n"/>
      <c r="N256" s="37" t="str">
        <f>IF(AND(ISNUMBER(L256),ISNUMBER(M256)),IF(E256="空",(G256*(1+'参数'!$C$17)-F256),(F256-G256*(1-'参数'!$C$17)))*K256/L256,"")</f>
        <v/>
      </c>
      <c r="O256" s="38" t="n"/>
      <c r="P256" s="31" t="n"/>
      <c r="Q256" s="32" t="n"/>
      <c r="R256" s="39" t="str">
        <f>IF(N(U256)&gt;0,SUMPRODUCT(LARGE(('成交明细'!$A$5:$A$804=A256)*('成交明细'!$D$5:$D$804=IF(E256="空","卖","买"))*'成交明细'!$B$5:$B$804,COUNTIFS('成交明细'!$A$5:$A$804,A256,'成交明细'!$D$5:$D$804,IF(E256="空","卖","买")))),"")</f>
        <v/>
      </c>
      <c r="S256" s="39" t="str">
        <f>IF(AND(N(U256)&gt;0,N(W256)&gt;=N(U256)),SUMPRODUCT(MAX(('成交明细'!$A$5:$A$804=A256)*('成交明细'!$D$5:$D$804=IF(E256="空","买","卖"))*'成交明细'!$B$5:$B$804)),"")</f>
        <v/>
      </c>
      <c r="T256" s="32" t="n"/>
      <c r="U256" s="35" t="str">
        <f>IF(A256="","",SUMIFS('成交明细'!$F$5:$F$804,'成交明细'!$A$5:$A$804,A256,'成交明细'!$D$5:$D$804,IF(E256="空","卖","买")))</f>
        <v/>
      </c>
      <c r="V256" s="40" t="str">
        <f>IF(N(U256)&gt;0,SUMIFS('成交明细'!$H$5:$H$804,'成交明细'!$A$5:$A$804,A256,'成交明细'!$D$5:$D$804,IF(E256="空","卖","买"))/U256,"")</f>
        <v/>
      </c>
      <c r="W256" s="35" t="str">
        <f>IF(A256="","",SUMIFS('成交明细'!$F$5:$F$804,'成交明细'!$A$5:$A$804,A256,'成交明细'!$D$5:$D$804,IF(E256="空","买","卖")))</f>
        <v/>
      </c>
      <c r="X256" s="40" t="str">
        <f>IF(N(W256)&gt;0,SUMIFS('成交明细'!$H$5:$H$804,'成交明细'!$A$5:$A$804,A256,'成交明细'!$D$5:$D$804,IF(E256="空","买","卖"))/W256,"")</f>
        <v/>
      </c>
      <c r="Y256" s="41" t="str">
        <f>IF(A256="","",IF(Q256&lt;&gt;"已执行",IF(Q256="","未填执行情况",Q256),IF(N(U256)=0,"待录成交",IF(N(W256)&gt;N(U256),"平仓多于开仓",IF(N(W256)&lt;N(U256),"持仓中","已平仓")))))</f>
        <v/>
      </c>
      <c r="Z256" s="41" t="str">
        <f>IF(AND(ISNUMBER(R256),ISNUMBER(S256)),IF(R256=S256,"日内",""),"")</f>
        <v/>
      </c>
      <c r="AA256" s="42" t="str">
        <f>IF(Z256&lt;&gt;"日内","",COUNTIFS($Z$5:$Z$304,"日内",$S$5:$S$304,"&gt;"&amp;WORKDAY(S256,-5),$S$5:$S$304,"&lt;="&amp;S256))</f>
        <v/>
      </c>
      <c r="AB256" s="41" t="str">
        <f>IF(OR(NOT(ISNUMBER(M256)),NOT(ISNUMBER(R256))),"",IF(AND(M256&gt;=R256,OR(NOT(ISNUMBER(S256)),M256&lt;=S256)),"持仓跨财报",""))</f>
        <v/>
      </c>
      <c r="AC256" s="20">
        <f>IF(AND(E256="空",ISNUMBER(O256),ISNUMBER(S256)),ROUND(O256*(S256-R256)/360*V256*U256,2),0)</f>
        <v>0</v>
      </c>
      <c r="AD256" s="43" t="str">
        <f>IF(N(U256)=0,"",SUMIFS('成交明细'!$L$5:$L$804,'成交明细'!$A$5:$A$804,A256)+AC256)</f>
        <v/>
      </c>
      <c r="AE256" s="44" t="str">
        <f>IF(Y256&lt;&gt;"已平仓","",(SUMIFS('成交明细'!$H$5:$H$804,'成交明细'!$A$5:$A$804,A256,'成交明细'!$D$5:$D$804,"卖")-SUMIFS('成交明细'!$H$5:$H$804,'成交明细'!$A$5:$A$804,A256,'成交明细'!$D$5:$D$804,"买"))*1-AD256)</f>
        <v/>
      </c>
      <c r="AF256" s="45" t="str">
        <f>IF(AND(Y256="已平仓",ISNUMBER(L256)),(SUMIFS('成交明细'!$H$5:$H$804,'成交明细'!$A$5:$A$804,A256,'成交明细'!$D$5:$D$804,"卖")-SUMIFS('成交明细'!$H$5:$H$804,'成交明细'!$A$5:$A$804,A256,'成交明细'!$D$5:$D$804,"买"))*1/L256,"")</f>
        <v/>
      </c>
      <c r="AG256" s="45" t="str">
        <f>IF(AND(Y256="已平仓",ISNUMBER(L256)),AE256/L256,"")</f>
        <v/>
      </c>
      <c r="AH256" s="46" t="str">
        <f>IF(AND(ISNUMBER(V256),ISNUMBER(F256)),IF(E256="空",F256-V256,V256-F256),"")</f>
        <v/>
      </c>
      <c r="AI256" s="46" t="str">
        <f>IF(OR(NOT(ISNUMBER(AE256)),NOT(ISNUMBER(X256))),"",IF(AE256&lt;0,IF(E256="空",X256-G256,G256-X256),IF(NOT(ISNUMBER(H256)),"",IF(E256="空",X256-H256,H256-X256))))</f>
        <v/>
      </c>
      <c r="AJ256" s="32" t="n"/>
      <c r="AK256" s="32" t="n"/>
      <c r="AL256" s="31" t="n"/>
      <c r="AM256" s="45" t="str">
        <f>IF(A256="","",SUM(AG$5:AG256))</f>
        <v/>
      </c>
      <c r="AN256" s="37" t="str">
        <f>IF(A256="","",MAX(0,MAX(AM$5:AM256))-AM256)</f>
        <v/>
      </c>
    </row>
    <row r="257">
      <c r="A257" s="29" t="n"/>
      <c r="B257" s="30" t="n"/>
      <c r="C257" s="31" t="n"/>
      <c r="D257" s="32" t="n"/>
      <c r="E257" s="32" t="n"/>
      <c r="F257" s="33" t="n"/>
      <c r="G257" s="33" t="n"/>
      <c r="H257" s="33" t="n"/>
      <c r="I257" s="34" t="str">
        <f>IF(AND(ISNUMBER(F257),ISNUMBER(G257),ISNUMBER(H257)),IF(OR(AND(E257="多",F257&gt;G257),AND(E257="空",F257&lt;G257)),ABS(H257-F257)/ABS(F257-G257),"止损方向不对"),"")</f>
        <v/>
      </c>
      <c r="J257" s="35" t="str">
        <f>IF(AND(ISNUMBER(F257),ISNUMBER(G257)),IF(F257=G257,"",IF(INT(ROUND('参数'!$C$7/(ABS(F257-G257)*1+2*'参数'!$C$11+N('参数'!$C$14)*F257+N('参数'!$C$15))/1,6))*1&gt;0,INT(ROUND('参数'!$C$7/(ABS(F257-G257)*1+2*'参数'!$C$11+N('参数'!$C$14)*F257+N('参数'!$C$15))/1,6))*1,"预算不足，这笔不做")),"")</f>
        <v/>
      </c>
      <c r="K257" s="36" t="n"/>
      <c r="L257" s="20" t="str">
        <f>IF(AND(ISNUMBER(F257),ISNUMBER(G257),ISNUMBER(K257)),IF(AND(F257&lt;&gt;G257,K257&gt;0),ABS(F257-G257)*K257*1,""),"")</f>
        <v/>
      </c>
      <c r="M257" s="30" t="n"/>
      <c r="N257" s="37" t="str">
        <f>IF(AND(ISNUMBER(L257),ISNUMBER(M257)),IF(E257="空",(G257*(1+'参数'!$C$17)-F257),(F257-G257*(1-'参数'!$C$17)))*K257/L257,"")</f>
        <v/>
      </c>
      <c r="O257" s="38" t="n"/>
      <c r="P257" s="31" t="n"/>
      <c r="Q257" s="32" t="n"/>
      <c r="R257" s="39" t="str">
        <f>IF(N(U257)&gt;0,SUMPRODUCT(LARGE(('成交明细'!$A$5:$A$804=A257)*('成交明细'!$D$5:$D$804=IF(E257="空","卖","买"))*'成交明细'!$B$5:$B$804,COUNTIFS('成交明细'!$A$5:$A$804,A257,'成交明细'!$D$5:$D$804,IF(E257="空","卖","买")))),"")</f>
        <v/>
      </c>
      <c r="S257" s="39" t="str">
        <f>IF(AND(N(U257)&gt;0,N(W257)&gt;=N(U257)),SUMPRODUCT(MAX(('成交明细'!$A$5:$A$804=A257)*('成交明细'!$D$5:$D$804=IF(E257="空","买","卖"))*'成交明细'!$B$5:$B$804)),"")</f>
        <v/>
      </c>
      <c r="T257" s="32" t="n"/>
      <c r="U257" s="35" t="str">
        <f>IF(A257="","",SUMIFS('成交明细'!$F$5:$F$804,'成交明细'!$A$5:$A$804,A257,'成交明细'!$D$5:$D$804,IF(E257="空","卖","买")))</f>
        <v/>
      </c>
      <c r="V257" s="40" t="str">
        <f>IF(N(U257)&gt;0,SUMIFS('成交明细'!$H$5:$H$804,'成交明细'!$A$5:$A$804,A257,'成交明细'!$D$5:$D$804,IF(E257="空","卖","买"))/U257,"")</f>
        <v/>
      </c>
      <c r="W257" s="35" t="str">
        <f>IF(A257="","",SUMIFS('成交明细'!$F$5:$F$804,'成交明细'!$A$5:$A$804,A257,'成交明细'!$D$5:$D$804,IF(E257="空","买","卖")))</f>
        <v/>
      </c>
      <c r="X257" s="40" t="str">
        <f>IF(N(W257)&gt;0,SUMIFS('成交明细'!$H$5:$H$804,'成交明细'!$A$5:$A$804,A257,'成交明细'!$D$5:$D$804,IF(E257="空","买","卖"))/W257,"")</f>
        <v/>
      </c>
      <c r="Y257" s="41" t="str">
        <f>IF(A257="","",IF(Q257&lt;&gt;"已执行",IF(Q257="","未填执行情况",Q257),IF(N(U257)=0,"待录成交",IF(N(W257)&gt;N(U257),"平仓多于开仓",IF(N(W257)&lt;N(U257),"持仓中","已平仓")))))</f>
        <v/>
      </c>
      <c r="Z257" s="41" t="str">
        <f>IF(AND(ISNUMBER(R257),ISNUMBER(S257)),IF(R257=S257,"日内",""),"")</f>
        <v/>
      </c>
      <c r="AA257" s="42" t="str">
        <f>IF(Z257&lt;&gt;"日内","",COUNTIFS($Z$5:$Z$304,"日内",$S$5:$S$304,"&gt;"&amp;WORKDAY(S257,-5),$S$5:$S$304,"&lt;="&amp;S257))</f>
        <v/>
      </c>
      <c r="AB257" s="41" t="str">
        <f>IF(OR(NOT(ISNUMBER(M257)),NOT(ISNUMBER(R257))),"",IF(AND(M257&gt;=R257,OR(NOT(ISNUMBER(S257)),M257&lt;=S257)),"持仓跨财报",""))</f>
        <v/>
      </c>
      <c r="AC257" s="20">
        <f>IF(AND(E257="空",ISNUMBER(O257),ISNUMBER(S257)),ROUND(O257*(S257-R257)/360*V257*U257,2),0)</f>
        <v>0</v>
      </c>
      <c r="AD257" s="43" t="str">
        <f>IF(N(U257)=0,"",SUMIFS('成交明细'!$L$5:$L$804,'成交明细'!$A$5:$A$804,A257)+AC257)</f>
        <v/>
      </c>
      <c r="AE257" s="44" t="str">
        <f>IF(Y257&lt;&gt;"已平仓","",(SUMIFS('成交明细'!$H$5:$H$804,'成交明细'!$A$5:$A$804,A257,'成交明细'!$D$5:$D$804,"卖")-SUMIFS('成交明细'!$H$5:$H$804,'成交明细'!$A$5:$A$804,A257,'成交明细'!$D$5:$D$804,"买"))*1-AD257)</f>
        <v/>
      </c>
      <c r="AF257" s="45" t="str">
        <f>IF(AND(Y257="已平仓",ISNUMBER(L257)),(SUMIFS('成交明细'!$H$5:$H$804,'成交明细'!$A$5:$A$804,A257,'成交明细'!$D$5:$D$804,"卖")-SUMIFS('成交明细'!$H$5:$H$804,'成交明细'!$A$5:$A$804,A257,'成交明细'!$D$5:$D$804,"买"))*1/L257,"")</f>
        <v/>
      </c>
      <c r="AG257" s="45" t="str">
        <f>IF(AND(Y257="已平仓",ISNUMBER(L257)),AE257/L257,"")</f>
        <v/>
      </c>
      <c r="AH257" s="46" t="str">
        <f>IF(AND(ISNUMBER(V257),ISNUMBER(F257)),IF(E257="空",F257-V257,V257-F257),"")</f>
        <v/>
      </c>
      <c r="AI257" s="46" t="str">
        <f>IF(OR(NOT(ISNUMBER(AE257)),NOT(ISNUMBER(X257))),"",IF(AE257&lt;0,IF(E257="空",X257-G257,G257-X257),IF(NOT(ISNUMBER(H257)),"",IF(E257="空",X257-H257,H257-X257))))</f>
        <v/>
      </c>
      <c r="AJ257" s="32" t="n"/>
      <c r="AK257" s="32" t="n"/>
      <c r="AL257" s="31" t="n"/>
      <c r="AM257" s="45" t="str">
        <f>IF(A257="","",SUM(AG$5:AG257))</f>
        <v/>
      </c>
      <c r="AN257" s="37" t="str">
        <f>IF(A257="","",MAX(0,MAX(AM$5:AM257))-AM257)</f>
        <v/>
      </c>
    </row>
    <row r="258">
      <c r="A258" s="29" t="n"/>
      <c r="B258" s="30" t="n"/>
      <c r="C258" s="31" t="n"/>
      <c r="D258" s="32" t="n"/>
      <c r="E258" s="32" t="n"/>
      <c r="F258" s="33" t="n"/>
      <c r="G258" s="33" t="n"/>
      <c r="H258" s="33" t="n"/>
      <c r="I258" s="34" t="str">
        <f>IF(AND(ISNUMBER(F258),ISNUMBER(G258),ISNUMBER(H258)),IF(OR(AND(E258="多",F258&gt;G258),AND(E258="空",F258&lt;G258)),ABS(H258-F258)/ABS(F258-G258),"止损方向不对"),"")</f>
        <v/>
      </c>
      <c r="J258" s="35" t="str">
        <f>IF(AND(ISNUMBER(F258),ISNUMBER(G258)),IF(F258=G258,"",IF(INT(ROUND('参数'!$C$7/(ABS(F258-G258)*1+2*'参数'!$C$11+N('参数'!$C$14)*F258+N('参数'!$C$15))/1,6))*1&gt;0,INT(ROUND('参数'!$C$7/(ABS(F258-G258)*1+2*'参数'!$C$11+N('参数'!$C$14)*F258+N('参数'!$C$15))/1,6))*1,"预算不足，这笔不做")),"")</f>
        <v/>
      </c>
      <c r="K258" s="36" t="n"/>
      <c r="L258" s="20" t="str">
        <f>IF(AND(ISNUMBER(F258),ISNUMBER(G258),ISNUMBER(K258)),IF(AND(F258&lt;&gt;G258,K258&gt;0),ABS(F258-G258)*K258*1,""),"")</f>
        <v/>
      </c>
      <c r="M258" s="30" t="n"/>
      <c r="N258" s="37" t="str">
        <f>IF(AND(ISNUMBER(L258),ISNUMBER(M258)),IF(E258="空",(G258*(1+'参数'!$C$17)-F258),(F258-G258*(1-'参数'!$C$17)))*K258/L258,"")</f>
        <v/>
      </c>
      <c r="O258" s="38" t="n"/>
      <c r="P258" s="31" t="n"/>
      <c r="Q258" s="32" t="n"/>
      <c r="R258" s="39" t="str">
        <f>IF(N(U258)&gt;0,SUMPRODUCT(LARGE(('成交明细'!$A$5:$A$804=A258)*('成交明细'!$D$5:$D$804=IF(E258="空","卖","买"))*'成交明细'!$B$5:$B$804,COUNTIFS('成交明细'!$A$5:$A$804,A258,'成交明细'!$D$5:$D$804,IF(E258="空","卖","买")))),"")</f>
        <v/>
      </c>
      <c r="S258" s="39" t="str">
        <f>IF(AND(N(U258)&gt;0,N(W258)&gt;=N(U258)),SUMPRODUCT(MAX(('成交明细'!$A$5:$A$804=A258)*('成交明细'!$D$5:$D$804=IF(E258="空","买","卖"))*'成交明细'!$B$5:$B$804)),"")</f>
        <v/>
      </c>
      <c r="T258" s="32" t="n"/>
      <c r="U258" s="35" t="str">
        <f>IF(A258="","",SUMIFS('成交明细'!$F$5:$F$804,'成交明细'!$A$5:$A$804,A258,'成交明细'!$D$5:$D$804,IF(E258="空","卖","买")))</f>
        <v/>
      </c>
      <c r="V258" s="40" t="str">
        <f>IF(N(U258)&gt;0,SUMIFS('成交明细'!$H$5:$H$804,'成交明细'!$A$5:$A$804,A258,'成交明细'!$D$5:$D$804,IF(E258="空","卖","买"))/U258,"")</f>
        <v/>
      </c>
      <c r="W258" s="35" t="str">
        <f>IF(A258="","",SUMIFS('成交明细'!$F$5:$F$804,'成交明细'!$A$5:$A$804,A258,'成交明细'!$D$5:$D$804,IF(E258="空","买","卖")))</f>
        <v/>
      </c>
      <c r="X258" s="40" t="str">
        <f>IF(N(W258)&gt;0,SUMIFS('成交明细'!$H$5:$H$804,'成交明细'!$A$5:$A$804,A258,'成交明细'!$D$5:$D$804,IF(E258="空","买","卖"))/W258,"")</f>
        <v/>
      </c>
      <c r="Y258" s="41" t="str">
        <f>IF(A258="","",IF(Q258&lt;&gt;"已执行",IF(Q258="","未填执行情况",Q258),IF(N(U258)=0,"待录成交",IF(N(W258)&gt;N(U258),"平仓多于开仓",IF(N(W258)&lt;N(U258),"持仓中","已平仓")))))</f>
        <v/>
      </c>
      <c r="Z258" s="41" t="str">
        <f>IF(AND(ISNUMBER(R258),ISNUMBER(S258)),IF(R258=S258,"日内",""),"")</f>
        <v/>
      </c>
      <c r="AA258" s="42" t="str">
        <f>IF(Z258&lt;&gt;"日内","",COUNTIFS($Z$5:$Z$304,"日内",$S$5:$S$304,"&gt;"&amp;WORKDAY(S258,-5),$S$5:$S$304,"&lt;="&amp;S258))</f>
        <v/>
      </c>
      <c r="AB258" s="41" t="str">
        <f>IF(OR(NOT(ISNUMBER(M258)),NOT(ISNUMBER(R258))),"",IF(AND(M258&gt;=R258,OR(NOT(ISNUMBER(S258)),M258&lt;=S258)),"持仓跨财报",""))</f>
        <v/>
      </c>
      <c r="AC258" s="20">
        <f>IF(AND(E258="空",ISNUMBER(O258),ISNUMBER(S258)),ROUND(O258*(S258-R258)/360*V258*U258,2),0)</f>
        <v>0</v>
      </c>
      <c r="AD258" s="43" t="str">
        <f>IF(N(U258)=0,"",SUMIFS('成交明细'!$L$5:$L$804,'成交明细'!$A$5:$A$804,A258)+AC258)</f>
        <v/>
      </c>
      <c r="AE258" s="44" t="str">
        <f>IF(Y258&lt;&gt;"已平仓","",(SUMIFS('成交明细'!$H$5:$H$804,'成交明细'!$A$5:$A$804,A258,'成交明细'!$D$5:$D$804,"卖")-SUMIFS('成交明细'!$H$5:$H$804,'成交明细'!$A$5:$A$804,A258,'成交明细'!$D$5:$D$804,"买"))*1-AD258)</f>
        <v/>
      </c>
      <c r="AF258" s="45" t="str">
        <f>IF(AND(Y258="已平仓",ISNUMBER(L258)),(SUMIFS('成交明细'!$H$5:$H$804,'成交明细'!$A$5:$A$804,A258,'成交明细'!$D$5:$D$804,"卖")-SUMIFS('成交明细'!$H$5:$H$804,'成交明细'!$A$5:$A$804,A258,'成交明细'!$D$5:$D$804,"买"))*1/L258,"")</f>
        <v/>
      </c>
      <c r="AG258" s="45" t="str">
        <f>IF(AND(Y258="已平仓",ISNUMBER(L258)),AE258/L258,"")</f>
        <v/>
      </c>
      <c r="AH258" s="46" t="str">
        <f>IF(AND(ISNUMBER(V258),ISNUMBER(F258)),IF(E258="空",F258-V258,V258-F258),"")</f>
        <v/>
      </c>
      <c r="AI258" s="46" t="str">
        <f>IF(OR(NOT(ISNUMBER(AE258)),NOT(ISNUMBER(X258))),"",IF(AE258&lt;0,IF(E258="空",X258-G258,G258-X258),IF(NOT(ISNUMBER(H258)),"",IF(E258="空",X258-H258,H258-X258))))</f>
        <v/>
      </c>
      <c r="AJ258" s="32" t="n"/>
      <c r="AK258" s="32" t="n"/>
      <c r="AL258" s="31" t="n"/>
      <c r="AM258" s="45" t="str">
        <f>IF(A258="","",SUM(AG$5:AG258))</f>
        <v/>
      </c>
      <c r="AN258" s="37" t="str">
        <f>IF(A258="","",MAX(0,MAX(AM$5:AM258))-AM258)</f>
        <v/>
      </c>
    </row>
    <row r="259">
      <c r="A259" s="29" t="n"/>
      <c r="B259" s="30" t="n"/>
      <c r="C259" s="31" t="n"/>
      <c r="D259" s="32" t="n"/>
      <c r="E259" s="32" t="n"/>
      <c r="F259" s="33" t="n"/>
      <c r="G259" s="33" t="n"/>
      <c r="H259" s="33" t="n"/>
      <c r="I259" s="34" t="str">
        <f>IF(AND(ISNUMBER(F259),ISNUMBER(G259),ISNUMBER(H259)),IF(OR(AND(E259="多",F259&gt;G259),AND(E259="空",F259&lt;G259)),ABS(H259-F259)/ABS(F259-G259),"止损方向不对"),"")</f>
        <v/>
      </c>
      <c r="J259" s="35" t="str">
        <f>IF(AND(ISNUMBER(F259),ISNUMBER(G259)),IF(F259=G259,"",IF(INT(ROUND('参数'!$C$7/(ABS(F259-G259)*1+2*'参数'!$C$11+N('参数'!$C$14)*F259+N('参数'!$C$15))/1,6))*1&gt;0,INT(ROUND('参数'!$C$7/(ABS(F259-G259)*1+2*'参数'!$C$11+N('参数'!$C$14)*F259+N('参数'!$C$15))/1,6))*1,"预算不足，这笔不做")),"")</f>
        <v/>
      </c>
      <c r="K259" s="36" t="n"/>
      <c r="L259" s="20" t="str">
        <f>IF(AND(ISNUMBER(F259),ISNUMBER(G259),ISNUMBER(K259)),IF(AND(F259&lt;&gt;G259,K259&gt;0),ABS(F259-G259)*K259*1,""),"")</f>
        <v/>
      </c>
      <c r="M259" s="30" t="n"/>
      <c r="N259" s="37" t="str">
        <f>IF(AND(ISNUMBER(L259),ISNUMBER(M259)),IF(E259="空",(G259*(1+'参数'!$C$17)-F259),(F259-G259*(1-'参数'!$C$17)))*K259/L259,"")</f>
        <v/>
      </c>
      <c r="O259" s="38" t="n"/>
      <c r="P259" s="31" t="n"/>
      <c r="Q259" s="32" t="n"/>
      <c r="R259" s="39" t="str">
        <f>IF(N(U259)&gt;0,SUMPRODUCT(LARGE(('成交明细'!$A$5:$A$804=A259)*('成交明细'!$D$5:$D$804=IF(E259="空","卖","买"))*'成交明细'!$B$5:$B$804,COUNTIFS('成交明细'!$A$5:$A$804,A259,'成交明细'!$D$5:$D$804,IF(E259="空","卖","买")))),"")</f>
        <v/>
      </c>
      <c r="S259" s="39" t="str">
        <f>IF(AND(N(U259)&gt;0,N(W259)&gt;=N(U259)),SUMPRODUCT(MAX(('成交明细'!$A$5:$A$804=A259)*('成交明细'!$D$5:$D$804=IF(E259="空","买","卖"))*'成交明细'!$B$5:$B$804)),"")</f>
        <v/>
      </c>
      <c r="T259" s="32" t="n"/>
      <c r="U259" s="35" t="str">
        <f>IF(A259="","",SUMIFS('成交明细'!$F$5:$F$804,'成交明细'!$A$5:$A$804,A259,'成交明细'!$D$5:$D$804,IF(E259="空","卖","买")))</f>
        <v/>
      </c>
      <c r="V259" s="40" t="str">
        <f>IF(N(U259)&gt;0,SUMIFS('成交明细'!$H$5:$H$804,'成交明细'!$A$5:$A$804,A259,'成交明细'!$D$5:$D$804,IF(E259="空","卖","买"))/U259,"")</f>
        <v/>
      </c>
      <c r="W259" s="35" t="str">
        <f>IF(A259="","",SUMIFS('成交明细'!$F$5:$F$804,'成交明细'!$A$5:$A$804,A259,'成交明细'!$D$5:$D$804,IF(E259="空","买","卖")))</f>
        <v/>
      </c>
      <c r="X259" s="40" t="str">
        <f>IF(N(W259)&gt;0,SUMIFS('成交明细'!$H$5:$H$804,'成交明细'!$A$5:$A$804,A259,'成交明细'!$D$5:$D$804,IF(E259="空","买","卖"))/W259,"")</f>
        <v/>
      </c>
      <c r="Y259" s="41" t="str">
        <f>IF(A259="","",IF(Q259&lt;&gt;"已执行",IF(Q259="","未填执行情况",Q259),IF(N(U259)=0,"待录成交",IF(N(W259)&gt;N(U259),"平仓多于开仓",IF(N(W259)&lt;N(U259),"持仓中","已平仓")))))</f>
        <v/>
      </c>
      <c r="Z259" s="41" t="str">
        <f>IF(AND(ISNUMBER(R259),ISNUMBER(S259)),IF(R259=S259,"日内",""),"")</f>
        <v/>
      </c>
      <c r="AA259" s="42" t="str">
        <f>IF(Z259&lt;&gt;"日内","",COUNTIFS($Z$5:$Z$304,"日内",$S$5:$S$304,"&gt;"&amp;WORKDAY(S259,-5),$S$5:$S$304,"&lt;="&amp;S259))</f>
        <v/>
      </c>
      <c r="AB259" s="41" t="str">
        <f>IF(OR(NOT(ISNUMBER(M259)),NOT(ISNUMBER(R259))),"",IF(AND(M259&gt;=R259,OR(NOT(ISNUMBER(S259)),M259&lt;=S259)),"持仓跨财报",""))</f>
        <v/>
      </c>
      <c r="AC259" s="20">
        <f>IF(AND(E259="空",ISNUMBER(O259),ISNUMBER(S259)),ROUND(O259*(S259-R259)/360*V259*U259,2),0)</f>
        <v>0</v>
      </c>
      <c r="AD259" s="43" t="str">
        <f>IF(N(U259)=0,"",SUMIFS('成交明细'!$L$5:$L$804,'成交明细'!$A$5:$A$804,A259)+AC259)</f>
        <v/>
      </c>
      <c r="AE259" s="44" t="str">
        <f>IF(Y259&lt;&gt;"已平仓","",(SUMIFS('成交明细'!$H$5:$H$804,'成交明细'!$A$5:$A$804,A259,'成交明细'!$D$5:$D$804,"卖")-SUMIFS('成交明细'!$H$5:$H$804,'成交明细'!$A$5:$A$804,A259,'成交明细'!$D$5:$D$804,"买"))*1-AD259)</f>
        <v/>
      </c>
      <c r="AF259" s="45" t="str">
        <f>IF(AND(Y259="已平仓",ISNUMBER(L259)),(SUMIFS('成交明细'!$H$5:$H$804,'成交明细'!$A$5:$A$804,A259,'成交明细'!$D$5:$D$804,"卖")-SUMIFS('成交明细'!$H$5:$H$804,'成交明细'!$A$5:$A$804,A259,'成交明细'!$D$5:$D$804,"买"))*1/L259,"")</f>
        <v/>
      </c>
      <c r="AG259" s="45" t="str">
        <f>IF(AND(Y259="已平仓",ISNUMBER(L259)),AE259/L259,"")</f>
        <v/>
      </c>
      <c r="AH259" s="46" t="str">
        <f>IF(AND(ISNUMBER(V259),ISNUMBER(F259)),IF(E259="空",F259-V259,V259-F259),"")</f>
        <v/>
      </c>
      <c r="AI259" s="46" t="str">
        <f>IF(OR(NOT(ISNUMBER(AE259)),NOT(ISNUMBER(X259))),"",IF(AE259&lt;0,IF(E259="空",X259-G259,G259-X259),IF(NOT(ISNUMBER(H259)),"",IF(E259="空",X259-H259,H259-X259))))</f>
        <v/>
      </c>
      <c r="AJ259" s="32" t="n"/>
      <c r="AK259" s="32" t="n"/>
      <c r="AL259" s="31" t="n"/>
      <c r="AM259" s="45" t="str">
        <f>IF(A259="","",SUM(AG$5:AG259))</f>
        <v/>
      </c>
      <c r="AN259" s="37" t="str">
        <f>IF(A259="","",MAX(0,MAX(AM$5:AM259))-AM259)</f>
        <v/>
      </c>
    </row>
    <row r="260">
      <c r="A260" s="29" t="n"/>
      <c r="B260" s="30" t="n"/>
      <c r="C260" s="31" t="n"/>
      <c r="D260" s="32" t="n"/>
      <c r="E260" s="32" t="n"/>
      <c r="F260" s="33" t="n"/>
      <c r="G260" s="33" t="n"/>
      <c r="H260" s="33" t="n"/>
      <c r="I260" s="34" t="str">
        <f>IF(AND(ISNUMBER(F260),ISNUMBER(G260),ISNUMBER(H260)),IF(OR(AND(E260="多",F260&gt;G260),AND(E260="空",F260&lt;G260)),ABS(H260-F260)/ABS(F260-G260),"止损方向不对"),"")</f>
        <v/>
      </c>
      <c r="J260" s="35" t="str">
        <f>IF(AND(ISNUMBER(F260),ISNUMBER(G260)),IF(F260=G260,"",IF(INT(ROUND('参数'!$C$7/(ABS(F260-G260)*1+2*'参数'!$C$11+N('参数'!$C$14)*F260+N('参数'!$C$15))/1,6))*1&gt;0,INT(ROUND('参数'!$C$7/(ABS(F260-G260)*1+2*'参数'!$C$11+N('参数'!$C$14)*F260+N('参数'!$C$15))/1,6))*1,"预算不足，这笔不做")),"")</f>
        <v/>
      </c>
      <c r="K260" s="36" t="n"/>
      <c r="L260" s="20" t="str">
        <f>IF(AND(ISNUMBER(F260),ISNUMBER(G260),ISNUMBER(K260)),IF(AND(F260&lt;&gt;G260,K260&gt;0),ABS(F260-G260)*K260*1,""),"")</f>
        <v/>
      </c>
      <c r="M260" s="30" t="n"/>
      <c r="N260" s="37" t="str">
        <f>IF(AND(ISNUMBER(L260),ISNUMBER(M260)),IF(E260="空",(G260*(1+'参数'!$C$17)-F260),(F260-G260*(1-'参数'!$C$17)))*K260/L260,"")</f>
        <v/>
      </c>
      <c r="O260" s="38" t="n"/>
      <c r="P260" s="31" t="n"/>
      <c r="Q260" s="32" t="n"/>
      <c r="R260" s="39" t="str">
        <f>IF(N(U260)&gt;0,SUMPRODUCT(LARGE(('成交明细'!$A$5:$A$804=A260)*('成交明细'!$D$5:$D$804=IF(E260="空","卖","买"))*'成交明细'!$B$5:$B$804,COUNTIFS('成交明细'!$A$5:$A$804,A260,'成交明细'!$D$5:$D$804,IF(E260="空","卖","买")))),"")</f>
        <v/>
      </c>
      <c r="S260" s="39" t="str">
        <f>IF(AND(N(U260)&gt;0,N(W260)&gt;=N(U260)),SUMPRODUCT(MAX(('成交明细'!$A$5:$A$804=A260)*('成交明细'!$D$5:$D$804=IF(E260="空","买","卖"))*'成交明细'!$B$5:$B$804)),"")</f>
        <v/>
      </c>
      <c r="T260" s="32" t="n"/>
      <c r="U260" s="35" t="str">
        <f>IF(A260="","",SUMIFS('成交明细'!$F$5:$F$804,'成交明细'!$A$5:$A$804,A260,'成交明细'!$D$5:$D$804,IF(E260="空","卖","买")))</f>
        <v/>
      </c>
      <c r="V260" s="40" t="str">
        <f>IF(N(U260)&gt;0,SUMIFS('成交明细'!$H$5:$H$804,'成交明细'!$A$5:$A$804,A260,'成交明细'!$D$5:$D$804,IF(E260="空","卖","买"))/U260,"")</f>
        <v/>
      </c>
      <c r="W260" s="35" t="str">
        <f>IF(A260="","",SUMIFS('成交明细'!$F$5:$F$804,'成交明细'!$A$5:$A$804,A260,'成交明细'!$D$5:$D$804,IF(E260="空","买","卖")))</f>
        <v/>
      </c>
      <c r="X260" s="40" t="str">
        <f>IF(N(W260)&gt;0,SUMIFS('成交明细'!$H$5:$H$804,'成交明细'!$A$5:$A$804,A260,'成交明细'!$D$5:$D$804,IF(E260="空","买","卖"))/W260,"")</f>
        <v/>
      </c>
      <c r="Y260" s="41" t="str">
        <f>IF(A260="","",IF(Q260&lt;&gt;"已执行",IF(Q260="","未填执行情况",Q260),IF(N(U260)=0,"待录成交",IF(N(W260)&gt;N(U260),"平仓多于开仓",IF(N(W260)&lt;N(U260),"持仓中","已平仓")))))</f>
        <v/>
      </c>
      <c r="Z260" s="41" t="str">
        <f>IF(AND(ISNUMBER(R260),ISNUMBER(S260)),IF(R260=S260,"日内",""),"")</f>
        <v/>
      </c>
      <c r="AA260" s="42" t="str">
        <f>IF(Z260&lt;&gt;"日内","",COUNTIFS($Z$5:$Z$304,"日内",$S$5:$S$304,"&gt;"&amp;WORKDAY(S260,-5),$S$5:$S$304,"&lt;="&amp;S260))</f>
        <v/>
      </c>
      <c r="AB260" s="41" t="str">
        <f>IF(OR(NOT(ISNUMBER(M260)),NOT(ISNUMBER(R260))),"",IF(AND(M260&gt;=R260,OR(NOT(ISNUMBER(S260)),M260&lt;=S260)),"持仓跨财报",""))</f>
        <v/>
      </c>
      <c r="AC260" s="20">
        <f>IF(AND(E260="空",ISNUMBER(O260),ISNUMBER(S260)),ROUND(O260*(S260-R260)/360*V260*U260,2),0)</f>
        <v>0</v>
      </c>
      <c r="AD260" s="43" t="str">
        <f>IF(N(U260)=0,"",SUMIFS('成交明细'!$L$5:$L$804,'成交明细'!$A$5:$A$804,A260)+AC260)</f>
        <v/>
      </c>
      <c r="AE260" s="44" t="str">
        <f>IF(Y260&lt;&gt;"已平仓","",(SUMIFS('成交明细'!$H$5:$H$804,'成交明细'!$A$5:$A$804,A260,'成交明细'!$D$5:$D$804,"卖")-SUMIFS('成交明细'!$H$5:$H$804,'成交明细'!$A$5:$A$804,A260,'成交明细'!$D$5:$D$804,"买"))*1-AD260)</f>
        <v/>
      </c>
      <c r="AF260" s="45" t="str">
        <f>IF(AND(Y260="已平仓",ISNUMBER(L260)),(SUMIFS('成交明细'!$H$5:$H$804,'成交明细'!$A$5:$A$804,A260,'成交明细'!$D$5:$D$804,"卖")-SUMIFS('成交明细'!$H$5:$H$804,'成交明细'!$A$5:$A$804,A260,'成交明细'!$D$5:$D$804,"买"))*1/L260,"")</f>
        <v/>
      </c>
      <c r="AG260" s="45" t="str">
        <f>IF(AND(Y260="已平仓",ISNUMBER(L260)),AE260/L260,"")</f>
        <v/>
      </c>
      <c r="AH260" s="46" t="str">
        <f>IF(AND(ISNUMBER(V260),ISNUMBER(F260)),IF(E260="空",F260-V260,V260-F260),"")</f>
        <v/>
      </c>
      <c r="AI260" s="46" t="str">
        <f>IF(OR(NOT(ISNUMBER(AE260)),NOT(ISNUMBER(X260))),"",IF(AE260&lt;0,IF(E260="空",X260-G260,G260-X260),IF(NOT(ISNUMBER(H260)),"",IF(E260="空",X260-H260,H260-X260))))</f>
        <v/>
      </c>
      <c r="AJ260" s="32" t="n"/>
      <c r="AK260" s="32" t="n"/>
      <c r="AL260" s="31" t="n"/>
      <c r="AM260" s="45" t="str">
        <f>IF(A260="","",SUM(AG$5:AG260))</f>
        <v/>
      </c>
      <c r="AN260" s="37" t="str">
        <f>IF(A260="","",MAX(0,MAX(AM$5:AM260))-AM260)</f>
        <v/>
      </c>
    </row>
    <row r="261">
      <c r="A261" s="29" t="n"/>
      <c r="B261" s="30" t="n"/>
      <c r="C261" s="31" t="n"/>
      <c r="D261" s="32" t="n"/>
      <c r="E261" s="32" t="n"/>
      <c r="F261" s="33" t="n"/>
      <c r="G261" s="33" t="n"/>
      <c r="H261" s="33" t="n"/>
      <c r="I261" s="34" t="str">
        <f>IF(AND(ISNUMBER(F261),ISNUMBER(G261),ISNUMBER(H261)),IF(OR(AND(E261="多",F261&gt;G261),AND(E261="空",F261&lt;G261)),ABS(H261-F261)/ABS(F261-G261),"止损方向不对"),"")</f>
        <v/>
      </c>
      <c r="J261" s="35" t="str">
        <f>IF(AND(ISNUMBER(F261),ISNUMBER(G261)),IF(F261=G261,"",IF(INT(ROUND('参数'!$C$7/(ABS(F261-G261)*1+2*'参数'!$C$11+N('参数'!$C$14)*F261+N('参数'!$C$15))/1,6))*1&gt;0,INT(ROUND('参数'!$C$7/(ABS(F261-G261)*1+2*'参数'!$C$11+N('参数'!$C$14)*F261+N('参数'!$C$15))/1,6))*1,"预算不足，这笔不做")),"")</f>
        <v/>
      </c>
      <c r="K261" s="36" t="n"/>
      <c r="L261" s="20" t="str">
        <f>IF(AND(ISNUMBER(F261),ISNUMBER(G261),ISNUMBER(K261)),IF(AND(F261&lt;&gt;G261,K261&gt;0),ABS(F261-G261)*K261*1,""),"")</f>
        <v/>
      </c>
      <c r="M261" s="30" t="n"/>
      <c r="N261" s="37" t="str">
        <f>IF(AND(ISNUMBER(L261),ISNUMBER(M261)),IF(E261="空",(G261*(1+'参数'!$C$17)-F261),(F261-G261*(1-'参数'!$C$17)))*K261/L261,"")</f>
        <v/>
      </c>
      <c r="O261" s="38" t="n"/>
      <c r="P261" s="31" t="n"/>
      <c r="Q261" s="32" t="n"/>
      <c r="R261" s="39" t="str">
        <f>IF(N(U261)&gt;0,SUMPRODUCT(LARGE(('成交明细'!$A$5:$A$804=A261)*('成交明细'!$D$5:$D$804=IF(E261="空","卖","买"))*'成交明细'!$B$5:$B$804,COUNTIFS('成交明细'!$A$5:$A$804,A261,'成交明细'!$D$5:$D$804,IF(E261="空","卖","买")))),"")</f>
        <v/>
      </c>
      <c r="S261" s="39" t="str">
        <f>IF(AND(N(U261)&gt;0,N(W261)&gt;=N(U261)),SUMPRODUCT(MAX(('成交明细'!$A$5:$A$804=A261)*('成交明细'!$D$5:$D$804=IF(E261="空","买","卖"))*'成交明细'!$B$5:$B$804)),"")</f>
        <v/>
      </c>
      <c r="T261" s="32" t="n"/>
      <c r="U261" s="35" t="str">
        <f>IF(A261="","",SUMIFS('成交明细'!$F$5:$F$804,'成交明细'!$A$5:$A$804,A261,'成交明细'!$D$5:$D$804,IF(E261="空","卖","买")))</f>
        <v/>
      </c>
      <c r="V261" s="40" t="str">
        <f>IF(N(U261)&gt;0,SUMIFS('成交明细'!$H$5:$H$804,'成交明细'!$A$5:$A$804,A261,'成交明细'!$D$5:$D$804,IF(E261="空","卖","买"))/U261,"")</f>
        <v/>
      </c>
      <c r="W261" s="35" t="str">
        <f>IF(A261="","",SUMIFS('成交明细'!$F$5:$F$804,'成交明细'!$A$5:$A$804,A261,'成交明细'!$D$5:$D$804,IF(E261="空","买","卖")))</f>
        <v/>
      </c>
      <c r="X261" s="40" t="str">
        <f>IF(N(W261)&gt;0,SUMIFS('成交明细'!$H$5:$H$804,'成交明细'!$A$5:$A$804,A261,'成交明细'!$D$5:$D$804,IF(E261="空","买","卖"))/W261,"")</f>
        <v/>
      </c>
      <c r="Y261" s="41" t="str">
        <f>IF(A261="","",IF(Q261&lt;&gt;"已执行",IF(Q261="","未填执行情况",Q261),IF(N(U261)=0,"待录成交",IF(N(W261)&gt;N(U261),"平仓多于开仓",IF(N(W261)&lt;N(U261),"持仓中","已平仓")))))</f>
        <v/>
      </c>
      <c r="Z261" s="41" t="str">
        <f>IF(AND(ISNUMBER(R261),ISNUMBER(S261)),IF(R261=S261,"日内",""),"")</f>
        <v/>
      </c>
      <c r="AA261" s="42" t="str">
        <f>IF(Z261&lt;&gt;"日内","",COUNTIFS($Z$5:$Z$304,"日内",$S$5:$S$304,"&gt;"&amp;WORKDAY(S261,-5),$S$5:$S$304,"&lt;="&amp;S261))</f>
        <v/>
      </c>
      <c r="AB261" s="41" t="str">
        <f>IF(OR(NOT(ISNUMBER(M261)),NOT(ISNUMBER(R261))),"",IF(AND(M261&gt;=R261,OR(NOT(ISNUMBER(S261)),M261&lt;=S261)),"持仓跨财报",""))</f>
        <v/>
      </c>
      <c r="AC261" s="20">
        <f>IF(AND(E261="空",ISNUMBER(O261),ISNUMBER(S261)),ROUND(O261*(S261-R261)/360*V261*U261,2),0)</f>
        <v>0</v>
      </c>
      <c r="AD261" s="43" t="str">
        <f>IF(N(U261)=0,"",SUMIFS('成交明细'!$L$5:$L$804,'成交明细'!$A$5:$A$804,A261)+AC261)</f>
        <v/>
      </c>
      <c r="AE261" s="44" t="str">
        <f>IF(Y261&lt;&gt;"已平仓","",(SUMIFS('成交明细'!$H$5:$H$804,'成交明细'!$A$5:$A$804,A261,'成交明细'!$D$5:$D$804,"卖")-SUMIFS('成交明细'!$H$5:$H$804,'成交明细'!$A$5:$A$804,A261,'成交明细'!$D$5:$D$804,"买"))*1-AD261)</f>
        <v/>
      </c>
      <c r="AF261" s="45" t="str">
        <f>IF(AND(Y261="已平仓",ISNUMBER(L261)),(SUMIFS('成交明细'!$H$5:$H$804,'成交明细'!$A$5:$A$804,A261,'成交明细'!$D$5:$D$804,"卖")-SUMIFS('成交明细'!$H$5:$H$804,'成交明细'!$A$5:$A$804,A261,'成交明细'!$D$5:$D$804,"买"))*1/L261,"")</f>
        <v/>
      </c>
      <c r="AG261" s="45" t="str">
        <f>IF(AND(Y261="已平仓",ISNUMBER(L261)),AE261/L261,"")</f>
        <v/>
      </c>
      <c r="AH261" s="46" t="str">
        <f>IF(AND(ISNUMBER(V261),ISNUMBER(F261)),IF(E261="空",F261-V261,V261-F261),"")</f>
        <v/>
      </c>
      <c r="AI261" s="46" t="str">
        <f>IF(OR(NOT(ISNUMBER(AE261)),NOT(ISNUMBER(X261))),"",IF(AE261&lt;0,IF(E261="空",X261-G261,G261-X261),IF(NOT(ISNUMBER(H261)),"",IF(E261="空",X261-H261,H261-X261))))</f>
        <v/>
      </c>
      <c r="AJ261" s="32" t="n"/>
      <c r="AK261" s="32" t="n"/>
      <c r="AL261" s="31" t="n"/>
      <c r="AM261" s="45" t="str">
        <f>IF(A261="","",SUM(AG$5:AG261))</f>
        <v/>
      </c>
      <c r="AN261" s="37" t="str">
        <f>IF(A261="","",MAX(0,MAX(AM$5:AM261))-AM261)</f>
        <v/>
      </c>
    </row>
    <row r="262">
      <c r="A262" s="29" t="n"/>
      <c r="B262" s="30" t="n"/>
      <c r="C262" s="31" t="n"/>
      <c r="D262" s="32" t="n"/>
      <c r="E262" s="32" t="n"/>
      <c r="F262" s="33" t="n"/>
      <c r="G262" s="33" t="n"/>
      <c r="H262" s="33" t="n"/>
      <c r="I262" s="34" t="str">
        <f>IF(AND(ISNUMBER(F262),ISNUMBER(G262),ISNUMBER(H262)),IF(OR(AND(E262="多",F262&gt;G262),AND(E262="空",F262&lt;G262)),ABS(H262-F262)/ABS(F262-G262),"止损方向不对"),"")</f>
        <v/>
      </c>
      <c r="J262" s="35" t="str">
        <f>IF(AND(ISNUMBER(F262),ISNUMBER(G262)),IF(F262=G262,"",IF(INT(ROUND('参数'!$C$7/(ABS(F262-G262)*1+2*'参数'!$C$11+N('参数'!$C$14)*F262+N('参数'!$C$15))/1,6))*1&gt;0,INT(ROUND('参数'!$C$7/(ABS(F262-G262)*1+2*'参数'!$C$11+N('参数'!$C$14)*F262+N('参数'!$C$15))/1,6))*1,"预算不足，这笔不做")),"")</f>
        <v/>
      </c>
      <c r="K262" s="36" t="n"/>
      <c r="L262" s="20" t="str">
        <f>IF(AND(ISNUMBER(F262),ISNUMBER(G262),ISNUMBER(K262)),IF(AND(F262&lt;&gt;G262,K262&gt;0),ABS(F262-G262)*K262*1,""),"")</f>
        <v/>
      </c>
      <c r="M262" s="30" t="n"/>
      <c r="N262" s="37" t="str">
        <f>IF(AND(ISNUMBER(L262),ISNUMBER(M262)),IF(E262="空",(G262*(1+'参数'!$C$17)-F262),(F262-G262*(1-'参数'!$C$17)))*K262/L262,"")</f>
        <v/>
      </c>
      <c r="O262" s="38" t="n"/>
      <c r="P262" s="31" t="n"/>
      <c r="Q262" s="32" t="n"/>
      <c r="R262" s="39" t="str">
        <f>IF(N(U262)&gt;0,SUMPRODUCT(LARGE(('成交明细'!$A$5:$A$804=A262)*('成交明细'!$D$5:$D$804=IF(E262="空","卖","买"))*'成交明细'!$B$5:$B$804,COUNTIFS('成交明细'!$A$5:$A$804,A262,'成交明细'!$D$5:$D$804,IF(E262="空","卖","买")))),"")</f>
        <v/>
      </c>
      <c r="S262" s="39" t="str">
        <f>IF(AND(N(U262)&gt;0,N(W262)&gt;=N(U262)),SUMPRODUCT(MAX(('成交明细'!$A$5:$A$804=A262)*('成交明细'!$D$5:$D$804=IF(E262="空","买","卖"))*'成交明细'!$B$5:$B$804)),"")</f>
        <v/>
      </c>
      <c r="T262" s="32" t="n"/>
      <c r="U262" s="35" t="str">
        <f>IF(A262="","",SUMIFS('成交明细'!$F$5:$F$804,'成交明细'!$A$5:$A$804,A262,'成交明细'!$D$5:$D$804,IF(E262="空","卖","买")))</f>
        <v/>
      </c>
      <c r="V262" s="40" t="str">
        <f>IF(N(U262)&gt;0,SUMIFS('成交明细'!$H$5:$H$804,'成交明细'!$A$5:$A$804,A262,'成交明细'!$D$5:$D$804,IF(E262="空","卖","买"))/U262,"")</f>
        <v/>
      </c>
      <c r="W262" s="35" t="str">
        <f>IF(A262="","",SUMIFS('成交明细'!$F$5:$F$804,'成交明细'!$A$5:$A$804,A262,'成交明细'!$D$5:$D$804,IF(E262="空","买","卖")))</f>
        <v/>
      </c>
      <c r="X262" s="40" t="str">
        <f>IF(N(W262)&gt;0,SUMIFS('成交明细'!$H$5:$H$804,'成交明细'!$A$5:$A$804,A262,'成交明细'!$D$5:$D$804,IF(E262="空","买","卖"))/W262,"")</f>
        <v/>
      </c>
      <c r="Y262" s="41" t="str">
        <f>IF(A262="","",IF(Q262&lt;&gt;"已执行",IF(Q262="","未填执行情况",Q262),IF(N(U262)=0,"待录成交",IF(N(W262)&gt;N(U262),"平仓多于开仓",IF(N(W262)&lt;N(U262),"持仓中","已平仓")))))</f>
        <v/>
      </c>
      <c r="Z262" s="41" t="str">
        <f>IF(AND(ISNUMBER(R262),ISNUMBER(S262)),IF(R262=S262,"日内",""),"")</f>
        <v/>
      </c>
      <c r="AA262" s="42" t="str">
        <f>IF(Z262&lt;&gt;"日内","",COUNTIFS($Z$5:$Z$304,"日内",$S$5:$S$304,"&gt;"&amp;WORKDAY(S262,-5),$S$5:$S$304,"&lt;="&amp;S262))</f>
        <v/>
      </c>
      <c r="AB262" s="41" t="str">
        <f>IF(OR(NOT(ISNUMBER(M262)),NOT(ISNUMBER(R262))),"",IF(AND(M262&gt;=R262,OR(NOT(ISNUMBER(S262)),M262&lt;=S262)),"持仓跨财报",""))</f>
        <v/>
      </c>
      <c r="AC262" s="20">
        <f>IF(AND(E262="空",ISNUMBER(O262),ISNUMBER(S262)),ROUND(O262*(S262-R262)/360*V262*U262,2),0)</f>
        <v>0</v>
      </c>
      <c r="AD262" s="43" t="str">
        <f>IF(N(U262)=0,"",SUMIFS('成交明细'!$L$5:$L$804,'成交明细'!$A$5:$A$804,A262)+AC262)</f>
        <v/>
      </c>
      <c r="AE262" s="44" t="str">
        <f>IF(Y262&lt;&gt;"已平仓","",(SUMIFS('成交明细'!$H$5:$H$804,'成交明细'!$A$5:$A$804,A262,'成交明细'!$D$5:$D$804,"卖")-SUMIFS('成交明细'!$H$5:$H$804,'成交明细'!$A$5:$A$804,A262,'成交明细'!$D$5:$D$804,"买"))*1-AD262)</f>
        <v/>
      </c>
      <c r="AF262" s="45" t="str">
        <f>IF(AND(Y262="已平仓",ISNUMBER(L262)),(SUMIFS('成交明细'!$H$5:$H$804,'成交明细'!$A$5:$A$804,A262,'成交明细'!$D$5:$D$804,"卖")-SUMIFS('成交明细'!$H$5:$H$804,'成交明细'!$A$5:$A$804,A262,'成交明细'!$D$5:$D$804,"买"))*1/L262,"")</f>
        <v/>
      </c>
      <c r="AG262" s="45" t="str">
        <f>IF(AND(Y262="已平仓",ISNUMBER(L262)),AE262/L262,"")</f>
        <v/>
      </c>
      <c r="AH262" s="46" t="str">
        <f>IF(AND(ISNUMBER(V262),ISNUMBER(F262)),IF(E262="空",F262-V262,V262-F262),"")</f>
        <v/>
      </c>
      <c r="AI262" s="46" t="str">
        <f>IF(OR(NOT(ISNUMBER(AE262)),NOT(ISNUMBER(X262))),"",IF(AE262&lt;0,IF(E262="空",X262-G262,G262-X262),IF(NOT(ISNUMBER(H262)),"",IF(E262="空",X262-H262,H262-X262))))</f>
        <v/>
      </c>
      <c r="AJ262" s="32" t="n"/>
      <c r="AK262" s="32" t="n"/>
      <c r="AL262" s="31" t="n"/>
      <c r="AM262" s="45" t="str">
        <f>IF(A262="","",SUM(AG$5:AG262))</f>
        <v/>
      </c>
      <c r="AN262" s="37" t="str">
        <f>IF(A262="","",MAX(0,MAX(AM$5:AM262))-AM262)</f>
        <v/>
      </c>
    </row>
    <row r="263">
      <c r="A263" s="29" t="n"/>
      <c r="B263" s="30" t="n"/>
      <c r="C263" s="31" t="n"/>
      <c r="D263" s="32" t="n"/>
      <c r="E263" s="32" t="n"/>
      <c r="F263" s="33" t="n"/>
      <c r="G263" s="33" t="n"/>
      <c r="H263" s="33" t="n"/>
      <c r="I263" s="34" t="str">
        <f>IF(AND(ISNUMBER(F263),ISNUMBER(G263),ISNUMBER(H263)),IF(OR(AND(E263="多",F263&gt;G263),AND(E263="空",F263&lt;G263)),ABS(H263-F263)/ABS(F263-G263),"止损方向不对"),"")</f>
        <v/>
      </c>
      <c r="J263" s="35" t="str">
        <f>IF(AND(ISNUMBER(F263),ISNUMBER(G263)),IF(F263=G263,"",IF(INT(ROUND('参数'!$C$7/(ABS(F263-G263)*1+2*'参数'!$C$11+N('参数'!$C$14)*F263+N('参数'!$C$15))/1,6))*1&gt;0,INT(ROUND('参数'!$C$7/(ABS(F263-G263)*1+2*'参数'!$C$11+N('参数'!$C$14)*F263+N('参数'!$C$15))/1,6))*1,"预算不足，这笔不做")),"")</f>
        <v/>
      </c>
      <c r="K263" s="36" t="n"/>
      <c r="L263" s="20" t="str">
        <f>IF(AND(ISNUMBER(F263),ISNUMBER(G263),ISNUMBER(K263)),IF(AND(F263&lt;&gt;G263,K263&gt;0),ABS(F263-G263)*K263*1,""),"")</f>
        <v/>
      </c>
      <c r="M263" s="30" t="n"/>
      <c r="N263" s="37" t="str">
        <f>IF(AND(ISNUMBER(L263),ISNUMBER(M263)),IF(E263="空",(G263*(1+'参数'!$C$17)-F263),(F263-G263*(1-'参数'!$C$17)))*K263/L263,"")</f>
        <v/>
      </c>
      <c r="O263" s="38" t="n"/>
      <c r="P263" s="31" t="n"/>
      <c r="Q263" s="32" t="n"/>
      <c r="R263" s="39" t="str">
        <f>IF(N(U263)&gt;0,SUMPRODUCT(LARGE(('成交明细'!$A$5:$A$804=A263)*('成交明细'!$D$5:$D$804=IF(E263="空","卖","买"))*'成交明细'!$B$5:$B$804,COUNTIFS('成交明细'!$A$5:$A$804,A263,'成交明细'!$D$5:$D$804,IF(E263="空","卖","买")))),"")</f>
        <v/>
      </c>
      <c r="S263" s="39" t="str">
        <f>IF(AND(N(U263)&gt;0,N(W263)&gt;=N(U263)),SUMPRODUCT(MAX(('成交明细'!$A$5:$A$804=A263)*('成交明细'!$D$5:$D$804=IF(E263="空","买","卖"))*'成交明细'!$B$5:$B$804)),"")</f>
        <v/>
      </c>
      <c r="T263" s="32" t="n"/>
      <c r="U263" s="35" t="str">
        <f>IF(A263="","",SUMIFS('成交明细'!$F$5:$F$804,'成交明细'!$A$5:$A$804,A263,'成交明细'!$D$5:$D$804,IF(E263="空","卖","买")))</f>
        <v/>
      </c>
      <c r="V263" s="40" t="str">
        <f>IF(N(U263)&gt;0,SUMIFS('成交明细'!$H$5:$H$804,'成交明细'!$A$5:$A$804,A263,'成交明细'!$D$5:$D$804,IF(E263="空","卖","买"))/U263,"")</f>
        <v/>
      </c>
      <c r="W263" s="35" t="str">
        <f>IF(A263="","",SUMIFS('成交明细'!$F$5:$F$804,'成交明细'!$A$5:$A$804,A263,'成交明细'!$D$5:$D$804,IF(E263="空","买","卖")))</f>
        <v/>
      </c>
      <c r="X263" s="40" t="str">
        <f>IF(N(W263)&gt;0,SUMIFS('成交明细'!$H$5:$H$804,'成交明细'!$A$5:$A$804,A263,'成交明细'!$D$5:$D$804,IF(E263="空","买","卖"))/W263,"")</f>
        <v/>
      </c>
      <c r="Y263" s="41" t="str">
        <f>IF(A263="","",IF(Q263&lt;&gt;"已执行",IF(Q263="","未填执行情况",Q263),IF(N(U263)=0,"待录成交",IF(N(W263)&gt;N(U263),"平仓多于开仓",IF(N(W263)&lt;N(U263),"持仓中","已平仓")))))</f>
        <v/>
      </c>
      <c r="Z263" s="41" t="str">
        <f>IF(AND(ISNUMBER(R263),ISNUMBER(S263)),IF(R263=S263,"日内",""),"")</f>
        <v/>
      </c>
      <c r="AA263" s="42" t="str">
        <f>IF(Z263&lt;&gt;"日内","",COUNTIFS($Z$5:$Z$304,"日内",$S$5:$S$304,"&gt;"&amp;WORKDAY(S263,-5),$S$5:$S$304,"&lt;="&amp;S263))</f>
        <v/>
      </c>
      <c r="AB263" s="41" t="str">
        <f>IF(OR(NOT(ISNUMBER(M263)),NOT(ISNUMBER(R263))),"",IF(AND(M263&gt;=R263,OR(NOT(ISNUMBER(S263)),M263&lt;=S263)),"持仓跨财报",""))</f>
        <v/>
      </c>
      <c r="AC263" s="20">
        <f>IF(AND(E263="空",ISNUMBER(O263),ISNUMBER(S263)),ROUND(O263*(S263-R263)/360*V263*U263,2),0)</f>
        <v>0</v>
      </c>
      <c r="AD263" s="43" t="str">
        <f>IF(N(U263)=0,"",SUMIFS('成交明细'!$L$5:$L$804,'成交明细'!$A$5:$A$804,A263)+AC263)</f>
        <v/>
      </c>
      <c r="AE263" s="44" t="str">
        <f>IF(Y263&lt;&gt;"已平仓","",(SUMIFS('成交明细'!$H$5:$H$804,'成交明细'!$A$5:$A$804,A263,'成交明细'!$D$5:$D$804,"卖")-SUMIFS('成交明细'!$H$5:$H$804,'成交明细'!$A$5:$A$804,A263,'成交明细'!$D$5:$D$804,"买"))*1-AD263)</f>
        <v/>
      </c>
      <c r="AF263" s="45" t="str">
        <f>IF(AND(Y263="已平仓",ISNUMBER(L263)),(SUMIFS('成交明细'!$H$5:$H$804,'成交明细'!$A$5:$A$804,A263,'成交明细'!$D$5:$D$804,"卖")-SUMIFS('成交明细'!$H$5:$H$804,'成交明细'!$A$5:$A$804,A263,'成交明细'!$D$5:$D$804,"买"))*1/L263,"")</f>
        <v/>
      </c>
      <c r="AG263" s="45" t="str">
        <f>IF(AND(Y263="已平仓",ISNUMBER(L263)),AE263/L263,"")</f>
        <v/>
      </c>
      <c r="AH263" s="46" t="str">
        <f>IF(AND(ISNUMBER(V263),ISNUMBER(F263)),IF(E263="空",F263-V263,V263-F263),"")</f>
        <v/>
      </c>
      <c r="AI263" s="46" t="str">
        <f>IF(OR(NOT(ISNUMBER(AE263)),NOT(ISNUMBER(X263))),"",IF(AE263&lt;0,IF(E263="空",X263-G263,G263-X263),IF(NOT(ISNUMBER(H263)),"",IF(E263="空",X263-H263,H263-X263))))</f>
        <v/>
      </c>
      <c r="AJ263" s="32" t="n"/>
      <c r="AK263" s="32" t="n"/>
      <c r="AL263" s="31" t="n"/>
      <c r="AM263" s="45" t="str">
        <f>IF(A263="","",SUM(AG$5:AG263))</f>
        <v/>
      </c>
      <c r="AN263" s="37" t="str">
        <f>IF(A263="","",MAX(0,MAX(AM$5:AM263))-AM263)</f>
        <v/>
      </c>
    </row>
    <row r="264">
      <c r="A264" s="29" t="n"/>
      <c r="B264" s="30" t="n"/>
      <c r="C264" s="31" t="n"/>
      <c r="D264" s="32" t="n"/>
      <c r="E264" s="32" t="n"/>
      <c r="F264" s="33" t="n"/>
      <c r="G264" s="33" t="n"/>
      <c r="H264" s="33" t="n"/>
      <c r="I264" s="34" t="str">
        <f>IF(AND(ISNUMBER(F264),ISNUMBER(G264),ISNUMBER(H264)),IF(OR(AND(E264="多",F264&gt;G264),AND(E264="空",F264&lt;G264)),ABS(H264-F264)/ABS(F264-G264),"止损方向不对"),"")</f>
        <v/>
      </c>
      <c r="J264" s="35" t="str">
        <f>IF(AND(ISNUMBER(F264),ISNUMBER(G264)),IF(F264=G264,"",IF(INT(ROUND('参数'!$C$7/(ABS(F264-G264)*1+2*'参数'!$C$11+N('参数'!$C$14)*F264+N('参数'!$C$15))/1,6))*1&gt;0,INT(ROUND('参数'!$C$7/(ABS(F264-G264)*1+2*'参数'!$C$11+N('参数'!$C$14)*F264+N('参数'!$C$15))/1,6))*1,"预算不足，这笔不做")),"")</f>
        <v/>
      </c>
      <c r="K264" s="36" t="n"/>
      <c r="L264" s="20" t="str">
        <f>IF(AND(ISNUMBER(F264),ISNUMBER(G264),ISNUMBER(K264)),IF(AND(F264&lt;&gt;G264,K264&gt;0),ABS(F264-G264)*K264*1,""),"")</f>
        <v/>
      </c>
      <c r="M264" s="30" t="n"/>
      <c r="N264" s="37" t="str">
        <f>IF(AND(ISNUMBER(L264),ISNUMBER(M264)),IF(E264="空",(G264*(1+'参数'!$C$17)-F264),(F264-G264*(1-'参数'!$C$17)))*K264/L264,"")</f>
        <v/>
      </c>
      <c r="O264" s="38" t="n"/>
      <c r="P264" s="31" t="n"/>
      <c r="Q264" s="32" t="n"/>
      <c r="R264" s="39" t="str">
        <f>IF(N(U264)&gt;0,SUMPRODUCT(LARGE(('成交明细'!$A$5:$A$804=A264)*('成交明细'!$D$5:$D$804=IF(E264="空","卖","买"))*'成交明细'!$B$5:$B$804,COUNTIFS('成交明细'!$A$5:$A$804,A264,'成交明细'!$D$5:$D$804,IF(E264="空","卖","买")))),"")</f>
        <v/>
      </c>
      <c r="S264" s="39" t="str">
        <f>IF(AND(N(U264)&gt;0,N(W264)&gt;=N(U264)),SUMPRODUCT(MAX(('成交明细'!$A$5:$A$804=A264)*('成交明细'!$D$5:$D$804=IF(E264="空","买","卖"))*'成交明细'!$B$5:$B$804)),"")</f>
        <v/>
      </c>
      <c r="T264" s="32" t="n"/>
      <c r="U264" s="35" t="str">
        <f>IF(A264="","",SUMIFS('成交明细'!$F$5:$F$804,'成交明细'!$A$5:$A$804,A264,'成交明细'!$D$5:$D$804,IF(E264="空","卖","买")))</f>
        <v/>
      </c>
      <c r="V264" s="40" t="str">
        <f>IF(N(U264)&gt;0,SUMIFS('成交明细'!$H$5:$H$804,'成交明细'!$A$5:$A$804,A264,'成交明细'!$D$5:$D$804,IF(E264="空","卖","买"))/U264,"")</f>
        <v/>
      </c>
      <c r="W264" s="35" t="str">
        <f>IF(A264="","",SUMIFS('成交明细'!$F$5:$F$804,'成交明细'!$A$5:$A$804,A264,'成交明细'!$D$5:$D$804,IF(E264="空","买","卖")))</f>
        <v/>
      </c>
      <c r="X264" s="40" t="str">
        <f>IF(N(W264)&gt;0,SUMIFS('成交明细'!$H$5:$H$804,'成交明细'!$A$5:$A$804,A264,'成交明细'!$D$5:$D$804,IF(E264="空","买","卖"))/W264,"")</f>
        <v/>
      </c>
      <c r="Y264" s="41" t="str">
        <f>IF(A264="","",IF(Q264&lt;&gt;"已执行",IF(Q264="","未填执行情况",Q264),IF(N(U264)=0,"待录成交",IF(N(W264)&gt;N(U264),"平仓多于开仓",IF(N(W264)&lt;N(U264),"持仓中","已平仓")))))</f>
        <v/>
      </c>
      <c r="Z264" s="41" t="str">
        <f>IF(AND(ISNUMBER(R264),ISNUMBER(S264)),IF(R264=S264,"日内",""),"")</f>
        <v/>
      </c>
      <c r="AA264" s="42" t="str">
        <f>IF(Z264&lt;&gt;"日内","",COUNTIFS($Z$5:$Z$304,"日内",$S$5:$S$304,"&gt;"&amp;WORKDAY(S264,-5),$S$5:$S$304,"&lt;="&amp;S264))</f>
        <v/>
      </c>
      <c r="AB264" s="41" t="str">
        <f>IF(OR(NOT(ISNUMBER(M264)),NOT(ISNUMBER(R264))),"",IF(AND(M264&gt;=R264,OR(NOT(ISNUMBER(S264)),M264&lt;=S264)),"持仓跨财报",""))</f>
        <v/>
      </c>
      <c r="AC264" s="20">
        <f>IF(AND(E264="空",ISNUMBER(O264),ISNUMBER(S264)),ROUND(O264*(S264-R264)/360*V264*U264,2),0)</f>
        <v>0</v>
      </c>
      <c r="AD264" s="43" t="str">
        <f>IF(N(U264)=0,"",SUMIFS('成交明细'!$L$5:$L$804,'成交明细'!$A$5:$A$804,A264)+AC264)</f>
        <v/>
      </c>
      <c r="AE264" s="44" t="str">
        <f>IF(Y264&lt;&gt;"已平仓","",(SUMIFS('成交明细'!$H$5:$H$804,'成交明细'!$A$5:$A$804,A264,'成交明细'!$D$5:$D$804,"卖")-SUMIFS('成交明细'!$H$5:$H$804,'成交明细'!$A$5:$A$804,A264,'成交明细'!$D$5:$D$804,"买"))*1-AD264)</f>
        <v/>
      </c>
      <c r="AF264" s="45" t="str">
        <f>IF(AND(Y264="已平仓",ISNUMBER(L264)),(SUMIFS('成交明细'!$H$5:$H$804,'成交明细'!$A$5:$A$804,A264,'成交明细'!$D$5:$D$804,"卖")-SUMIFS('成交明细'!$H$5:$H$804,'成交明细'!$A$5:$A$804,A264,'成交明细'!$D$5:$D$804,"买"))*1/L264,"")</f>
        <v/>
      </c>
      <c r="AG264" s="45" t="str">
        <f>IF(AND(Y264="已平仓",ISNUMBER(L264)),AE264/L264,"")</f>
        <v/>
      </c>
      <c r="AH264" s="46" t="str">
        <f>IF(AND(ISNUMBER(V264),ISNUMBER(F264)),IF(E264="空",F264-V264,V264-F264),"")</f>
        <v/>
      </c>
      <c r="AI264" s="46" t="str">
        <f>IF(OR(NOT(ISNUMBER(AE264)),NOT(ISNUMBER(X264))),"",IF(AE264&lt;0,IF(E264="空",X264-G264,G264-X264),IF(NOT(ISNUMBER(H264)),"",IF(E264="空",X264-H264,H264-X264))))</f>
        <v/>
      </c>
      <c r="AJ264" s="32" t="n"/>
      <c r="AK264" s="32" t="n"/>
      <c r="AL264" s="31" t="n"/>
      <c r="AM264" s="45" t="str">
        <f>IF(A264="","",SUM(AG$5:AG264))</f>
        <v/>
      </c>
      <c r="AN264" s="37" t="str">
        <f>IF(A264="","",MAX(0,MAX(AM$5:AM264))-AM264)</f>
        <v/>
      </c>
    </row>
    <row r="265">
      <c r="A265" s="29" t="n"/>
      <c r="B265" s="30" t="n"/>
      <c r="C265" s="31" t="n"/>
      <c r="D265" s="32" t="n"/>
      <c r="E265" s="32" t="n"/>
      <c r="F265" s="33" t="n"/>
      <c r="G265" s="33" t="n"/>
      <c r="H265" s="33" t="n"/>
      <c r="I265" s="34" t="str">
        <f>IF(AND(ISNUMBER(F265),ISNUMBER(G265),ISNUMBER(H265)),IF(OR(AND(E265="多",F265&gt;G265),AND(E265="空",F265&lt;G265)),ABS(H265-F265)/ABS(F265-G265),"止损方向不对"),"")</f>
        <v/>
      </c>
      <c r="J265" s="35" t="str">
        <f>IF(AND(ISNUMBER(F265),ISNUMBER(G265)),IF(F265=G265,"",IF(INT(ROUND('参数'!$C$7/(ABS(F265-G265)*1+2*'参数'!$C$11+N('参数'!$C$14)*F265+N('参数'!$C$15))/1,6))*1&gt;0,INT(ROUND('参数'!$C$7/(ABS(F265-G265)*1+2*'参数'!$C$11+N('参数'!$C$14)*F265+N('参数'!$C$15))/1,6))*1,"预算不足，这笔不做")),"")</f>
        <v/>
      </c>
      <c r="K265" s="36" t="n"/>
      <c r="L265" s="20" t="str">
        <f>IF(AND(ISNUMBER(F265),ISNUMBER(G265),ISNUMBER(K265)),IF(AND(F265&lt;&gt;G265,K265&gt;0),ABS(F265-G265)*K265*1,""),"")</f>
        <v/>
      </c>
      <c r="M265" s="30" t="n"/>
      <c r="N265" s="37" t="str">
        <f>IF(AND(ISNUMBER(L265),ISNUMBER(M265)),IF(E265="空",(G265*(1+'参数'!$C$17)-F265),(F265-G265*(1-'参数'!$C$17)))*K265/L265,"")</f>
        <v/>
      </c>
      <c r="O265" s="38" t="n"/>
      <c r="P265" s="31" t="n"/>
      <c r="Q265" s="32" t="n"/>
      <c r="R265" s="39" t="str">
        <f>IF(N(U265)&gt;0,SUMPRODUCT(LARGE(('成交明细'!$A$5:$A$804=A265)*('成交明细'!$D$5:$D$804=IF(E265="空","卖","买"))*'成交明细'!$B$5:$B$804,COUNTIFS('成交明细'!$A$5:$A$804,A265,'成交明细'!$D$5:$D$804,IF(E265="空","卖","买")))),"")</f>
        <v/>
      </c>
      <c r="S265" s="39" t="str">
        <f>IF(AND(N(U265)&gt;0,N(W265)&gt;=N(U265)),SUMPRODUCT(MAX(('成交明细'!$A$5:$A$804=A265)*('成交明细'!$D$5:$D$804=IF(E265="空","买","卖"))*'成交明细'!$B$5:$B$804)),"")</f>
        <v/>
      </c>
      <c r="T265" s="32" t="n"/>
      <c r="U265" s="35" t="str">
        <f>IF(A265="","",SUMIFS('成交明细'!$F$5:$F$804,'成交明细'!$A$5:$A$804,A265,'成交明细'!$D$5:$D$804,IF(E265="空","卖","买")))</f>
        <v/>
      </c>
      <c r="V265" s="40" t="str">
        <f>IF(N(U265)&gt;0,SUMIFS('成交明细'!$H$5:$H$804,'成交明细'!$A$5:$A$804,A265,'成交明细'!$D$5:$D$804,IF(E265="空","卖","买"))/U265,"")</f>
        <v/>
      </c>
      <c r="W265" s="35" t="str">
        <f>IF(A265="","",SUMIFS('成交明细'!$F$5:$F$804,'成交明细'!$A$5:$A$804,A265,'成交明细'!$D$5:$D$804,IF(E265="空","买","卖")))</f>
        <v/>
      </c>
      <c r="X265" s="40" t="str">
        <f>IF(N(W265)&gt;0,SUMIFS('成交明细'!$H$5:$H$804,'成交明细'!$A$5:$A$804,A265,'成交明细'!$D$5:$D$804,IF(E265="空","买","卖"))/W265,"")</f>
        <v/>
      </c>
      <c r="Y265" s="41" t="str">
        <f>IF(A265="","",IF(Q265&lt;&gt;"已执行",IF(Q265="","未填执行情况",Q265),IF(N(U265)=0,"待录成交",IF(N(W265)&gt;N(U265),"平仓多于开仓",IF(N(W265)&lt;N(U265),"持仓中","已平仓")))))</f>
        <v/>
      </c>
      <c r="Z265" s="41" t="str">
        <f>IF(AND(ISNUMBER(R265),ISNUMBER(S265)),IF(R265=S265,"日内",""),"")</f>
        <v/>
      </c>
      <c r="AA265" s="42" t="str">
        <f>IF(Z265&lt;&gt;"日内","",COUNTIFS($Z$5:$Z$304,"日内",$S$5:$S$304,"&gt;"&amp;WORKDAY(S265,-5),$S$5:$S$304,"&lt;="&amp;S265))</f>
        <v/>
      </c>
      <c r="AB265" s="41" t="str">
        <f>IF(OR(NOT(ISNUMBER(M265)),NOT(ISNUMBER(R265))),"",IF(AND(M265&gt;=R265,OR(NOT(ISNUMBER(S265)),M265&lt;=S265)),"持仓跨财报",""))</f>
        <v/>
      </c>
      <c r="AC265" s="20">
        <f>IF(AND(E265="空",ISNUMBER(O265),ISNUMBER(S265)),ROUND(O265*(S265-R265)/360*V265*U265,2),0)</f>
        <v>0</v>
      </c>
      <c r="AD265" s="43" t="str">
        <f>IF(N(U265)=0,"",SUMIFS('成交明细'!$L$5:$L$804,'成交明细'!$A$5:$A$804,A265)+AC265)</f>
        <v/>
      </c>
      <c r="AE265" s="44" t="str">
        <f>IF(Y265&lt;&gt;"已平仓","",(SUMIFS('成交明细'!$H$5:$H$804,'成交明细'!$A$5:$A$804,A265,'成交明细'!$D$5:$D$804,"卖")-SUMIFS('成交明细'!$H$5:$H$804,'成交明细'!$A$5:$A$804,A265,'成交明细'!$D$5:$D$804,"买"))*1-AD265)</f>
        <v/>
      </c>
      <c r="AF265" s="45" t="str">
        <f>IF(AND(Y265="已平仓",ISNUMBER(L265)),(SUMIFS('成交明细'!$H$5:$H$804,'成交明细'!$A$5:$A$804,A265,'成交明细'!$D$5:$D$804,"卖")-SUMIFS('成交明细'!$H$5:$H$804,'成交明细'!$A$5:$A$804,A265,'成交明细'!$D$5:$D$804,"买"))*1/L265,"")</f>
        <v/>
      </c>
      <c r="AG265" s="45" t="str">
        <f>IF(AND(Y265="已平仓",ISNUMBER(L265)),AE265/L265,"")</f>
        <v/>
      </c>
      <c r="AH265" s="46" t="str">
        <f>IF(AND(ISNUMBER(V265),ISNUMBER(F265)),IF(E265="空",F265-V265,V265-F265),"")</f>
        <v/>
      </c>
      <c r="AI265" s="46" t="str">
        <f>IF(OR(NOT(ISNUMBER(AE265)),NOT(ISNUMBER(X265))),"",IF(AE265&lt;0,IF(E265="空",X265-G265,G265-X265),IF(NOT(ISNUMBER(H265)),"",IF(E265="空",X265-H265,H265-X265))))</f>
        <v/>
      </c>
      <c r="AJ265" s="32" t="n"/>
      <c r="AK265" s="32" t="n"/>
      <c r="AL265" s="31" t="n"/>
      <c r="AM265" s="45" t="str">
        <f>IF(A265="","",SUM(AG$5:AG265))</f>
        <v/>
      </c>
      <c r="AN265" s="37" t="str">
        <f>IF(A265="","",MAX(0,MAX(AM$5:AM265))-AM265)</f>
        <v/>
      </c>
    </row>
    <row r="266">
      <c r="A266" s="29" t="n"/>
      <c r="B266" s="30" t="n"/>
      <c r="C266" s="31" t="n"/>
      <c r="D266" s="32" t="n"/>
      <c r="E266" s="32" t="n"/>
      <c r="F266" s="33" t="n"/>
      <c r="G266" s="33" t="n"/>
      <c r="H266" s="33" t="n"/>
      <c r="I266" s="34" t="str">
        <f>IF(AND(ISNUMBER(F266),ISNUMBER(G266),ISNUMBER(H266)),IF(OR(AND(E266="多",F266&gt;G266),AND(E266="空",F266&lt;G266)),ABS(H266-F266)/ABS(F266-G266),"止损方向不对"),"")</f>
        <v/>
      </c>
      <c r="J266" s="35" t="str">
        <f>IF(AND(ISNUMBER(F266),ISNUMBER(G266)),IF(F266=G266,"",IF(INT(ROUND('参数'!$C$7/(ABS(F266-G266)*1+2*'参数'!$C$11+N('参数'!$C$14)*F266+N('参数'!$C$15))/1,6))*1&gt;0,INT(ROUND('参数'!$C$7/(ABS(F266-G266)*1+2*'参数'!$C$11+N('参数'!$C$14)*F266+N('参数'!$C$15))/1,6))*1,"预算不足，这笔不做")),"")</f>
        <v/>
      </c>
      <c r="K266" s="36" t="n"/>
      <c r="L266" s="20" t="str">
        <f>IF(AND(ISNUMBER(F266),ISNUMBER(G266),ISNUMBER(K266)),IF(AND(F266&lt;&gt;G266,K266&gt;0),ABS(F266-G266)*K266*1,""),"")</f>
        <v/>
      </c>
      <c r="M266" s="30" t="n"/>
      <c r="N266" s="37" t="str">
        <f>IF(AND(ISNUMBER(L266),ISNUMBER(M266)),IF(E266="空",(G266*(1+'参数'!$C$17)-F266),(F266-G266*(1-'参数'!$C$17)))*K266/L266,"")</f>
        <v/>
      </c>
      <c r="O266" s="38" t="n"/>
      <c r="P266" s="31" t="n"/>
      <c r="Q266" s="32" t="n"/>
      <c r="R266" s="39" t="str">
        <f>IF(N(U266)&gt;0,SUMPRODUCT(LARGE(('成交明细'!$A$5:$A$804=A266)*('成交明细'!$D$5:$D$804=IF(E266="空","卖","买"))*'成交明细'!$B$5:$B$804,COUNTIFS('成交明细'!$A$5:$A$804,A266,'成交明细'!$D$5:$D$804,IF(E266="空","卖","买")))),"")</f>
        <v/>
      </c>
      <c r="S266" s="39" t="str">
        <f>IF(AND(N(U266)&gt;0,N(W266)&gt;=N(U266)),SUMPRODUCT(MAX(('成交明细'!$A$5:$A$804=A266)*('成交明细'!$D$5:$D$804=IF(E266="空","买","卖"))*'成交明细'!$B$5:$B$804)),"")</f>
        <v/>
      </c>
      <c r="T266" s="32" t="n"/>
      <c r="U266" s="35" t="str">
        <f>IF(A266="","",SUMIFS('成交明细'!$F$5:$F$804,'成交明细'!$A$5:$A$804,A266,'成交明细'!$D$5:$D$804,IF(E266="空","卖","买")))</f>
        <v/>
      </c>
      <c r="V266" s="40" t="str">
        <f>IF(N(U266)&gt;0,SUMIFS('成交明细'!$H$5:$H$804,'成交明细'!$A$5:$A$804,A266,'成交明细'!$D$5:$D$804,IF(E266="空","卖","买"))/U266,"")</f>
        <v/>
      </c>
      <c r="W266" s="35" t="str">
        <f>IF(A266="","",SUMIFS('成交明细'!$F$5:$F$804,'成交明细'!$A$5:$A$804,A266,'成交明细'!$D$5:$D$804,IF(E266="空","买","卖")))</f>
        <v/>
      </c>
      <c r="X266" s="40" t="str">
        <f>IF(N(W266)&gt;0,SUMIFS('成交明细'!$H$5:$H$804,'成交明细'!$A$5:$A$804,A266,'成交明细'!$D$5:$D$804,IF(E266="空","买","卖"))/W266,"")</f>
        <v/>
      </c>
      <c r="Y266" s="41" t="str">
        <f>IF(A266="","",IF(Q266&lt;&gt;"已执行",IF(Q266="","未填执行情况",Q266),IF(N(U266)=0,"待录成交",IF(N(W266)&gt;N(U266),"平仓多于开仓",IF(N(W266)&lt;N(U266),"持仓中","已平仓")))))</f>
        <v/>
      </c>
      <c r="Z266" s="41" t="str">
        <f>IF(AND(ISNUMBER(R266),ISNUMBER(S266)),IF(R266=S266,"日内",""),"")</f>
        <v/>
      </c>
      <c r="AA266" s="42" t="str">
        <f>IF(Z266&lt;&gt;"日内","",COUNTIFS($Z$5:$Z$304,"日内",$S$5:$S$304,"&gt;"&amp;WORKDAY(S266,-5),$S$5:$S$304,"&lt;="&amp;S266))</f>
        <v/>
      </c>
      <c r="AB266" s="41" t="str">
        <f>IF(OR(NOT(ISNUMBER(M266)),NOT(ISNUMBER(R266))),"",IF(AND(M266&gt;=R266,OR(NOT(ISNUMBER(S266)),M266&lt;=S266)),"持仓跨财报",""))</f>
        <v/>
      </c>
      <c r="AC266" s="20">
        <f>IF(AND(E266="空",ISNUMBER(O266),ISNUMBER(S266)),ROUND(O266*(S266-R266)/360*V266*U266,2),0)</f>
        <v>0</v>
      </c>
      <c r="AD266" s="43" t="str">
        <f>IF(N(U266)=0,"",SUMIFS('成交明细'!$L$5:$L$804,'成交明细'!$A$5:$A$804,A266)+AC266)</f>
        <v/>
      </c>
      <c r="AE266" s="44" t="str">
        <f>IF(Y266&lt;&gt;"已平仓","",(SUMIFS('成交明细'!$H$5:$H$804,'成交明细'!$A$5:$A$804,A266,'成交明细'!$D$5:$D$804,"卖")-SUMIFS('成交明细'!$H$5:$H$804,'成交明细'!$A$5:$A$804,A266,'成交明细'!$D$5:$D$804,"买"))*1-AD266)</f>
        <v/>
      </c>
      <c r="AF266" s="45" t="str">
        <f>IF(AND(Y266="已平仓",ISNUMBER(L266)),(SUMIFS('成交明细'!$H$5:$H$804,'成交明细'!$A$5:$A$804,A266,'成交明细'!$D$5:$D$804,"卖")-SUMIFS('成交明细'!$H$5:$H$804,'成交明细'!$A$5:$A$804,A266,'成交明细'!$D$5:$D$804,"买"))*1/L266,"")</f>
        <v/>
      </c>
      <c r="AG266" s="45" t="str">
        <f>IF(AND(Y266="已平仓",ISNUMBER(L266)),AE266/L266,"")</f>
        <v/>
      </c>
      <c r="AH266" s="46" t="str">
        <f>IF(AND(ISNUMBER(V266),ISNUMBER(F266)),IF(E266="空",F266-V266,V266-F266),"")</f>
        <v/>
      </c>
      <c r="AI266" s="46" t="str">
        <f>IF(OR(NOT(ISNUMBER(AE266)),NOT(ISNUMBER(X266))),"",IF(AE266&lt;0,IF(E266="空",X266-G266,G266-X266),IF(NOT(ISNUMBER(H266)),"",IF(E266="空",X266-H266,H266-X266))))</f>
        <v/>
      </c>
      <c r="AJ266" s="32" t="n"/>
      <c r="AK266" s="32" t="n"/>
      <c r="AL266" s="31" t="n"/>
      <c r="AM266" s="45" t="str">
        <f>IF(A266="","",SUM(AG$5:AG266))</f>
        <v/>
      </c>
      <c r="AN266" s="37" t="str">
        <f>IF(A266="","",MAX(0,MAX(AM$5:AM266))-AM266)</f>
        <v/>
      </c>
    </row>
    <row r="267">
      <c r="A267" s="29" t="n"/>
      <c r="B267" s="30" t="n"/>
      <c r="C267" s="31" t="n"/>
      <c r="D267" s="32" t="n"/>
      <c r="E267" s="32" t="n"/>
      <c r="F267" s="33" t="n"/>
      <c r="G267" s="33" t="n"/>
      <c r="H267" s="33" t="n"/>
      <c r="I267" s="34" t="str">
        <f>IF(AND(ISNUMBER(F267),ISNUMBER(G267),ISNUMBER(H267)),IF(OR(AND(E267="多",F267&gt;G267),AND(E267="空",F267&lt;G267)),ABS(H267-F267)/ABS(F267-G267),"止损方向不对"),"")</f>
        <v/>
      </c>
      <c r="J267" s="35" t="str">
        <f>IF(AND(ISNUMBER(F267),ISNUMBER(G267)),IF(F267=G267,"",IF(INT(ROUND('参数'!$C$7/(ABS(F267-G267)*1+2*'参数'!$C$11+N('参数'!$C$14)*F267+N('参数'!$C$15))/1,6))*1&gt;0,INT(ROUND('参数'!$C$7/(ABS(F267-G267)*1+2*'参数'!$C$11+N('参数'!$C$14)*F267+N('参数'!$C$15))/1,6))*1,"预算不足，这笔不做")),"")</f>
        <v/>
      </c>
      <c r="K267" s="36" t="n"/>
      <c r="L267" s="20" t="str">
        <f>IF(AND(ISNUMBER(F267),ISNUMBER(G267),ISNUMBER(K267)),IF(AND(F267&lt;&gt;G267,K267&gt;0),ABS(F267-G267)*K267*1,""),"")</f>
        <v/>
      </c>
      <c r="M267" s="30" t="n"/>
      <c r="N267" s="37" t="str">
        <f>IF(AND(ISNUMBER(L267),ISNUMBER(M267)),IF(E267="空",(G267*(1+'参数'!$C$17)-F267),(F267-G267*(1-'参数'!$C$17)))*K267/L267,"")</f>
        <v/>
      </c>
      <c r="O267" s="38" t="n"/>
      <c r="P267" s="31" t="n"/>
      <c r="Q267" s="32" t="n"/>
      <c r="R267" s="39" t="str">
        <f>IF(N(U267)&gt;0,SUMPRODUCT(LARGE(('成交明细'!$A$5:$A$804=A267)*('成交明细'!$D$5:$D$804=IF(E267="空","卖","买"))*'成交明细'!$B$5:$B$804,COUNTIFS('成交明细'!$A$5:$A$804,A267,'成交明细'!$D$5:$D$804,IF(E267="空","卖","买")))),"")</f>
        <v/>
      </c>
      <c r="S267" s="39" t="str">
        <f>IF(AND(N(U267)&gt;0,N(W267)&gt;=N(U267)),SUMPRODUCT(MAX(('成交明细'!$A$5:$A$804=A267)*('成交明细'!$D$5:$D$804=IF(E267="空","买","卖"))*'成交明细'!$B$5:$B$804)),"")</f>
        <v/>
      </c>
      <c r="T267" s="32" t="n"/>
      <c r="U267" s="35" t="str">
        <f>IF(A267="","",SUMIFS('成交明细'!$F$5:$F$804,'成交明细'!$A$5:$A$804,A267,'成交明细'!$D$5:$D$804,IF(E267="空","卖","买")))</f>
        <v/>
      </c>
      <c r="V267" s="40" t="str">
        <f>IF(N(U267)&gt;0,SUMIFS('成交明细'!$H$5:$H$804,'成交明细'!$A$5:$A$804,A267,'成交明细'!$D$5:$D$804,IF(E267="空","卖","买"))/U267,"")</f>
        <v/>
      </c>
      <c r="W267" s="35" t="str">
        <f>IF(A267="","",SUMIFS('成交明细'!$F$5:$F$804,'成交明细'!$A$5:$A$804,A267,'成交明细'!$D$5:$D$804,IF(E267="空","买","卖")))</f>
        <v/>
      </c>
      <c r="X267" s="40" t="str">
        <f>IF(N(W267)&gt;0,SUMIFS('成交明细'!$H$5:$H$804,'成交明细'!$A$5:$A$804,A267,'成交明细'!$D$5:$D$804,IF(E267="空","买","卖"))/W267,"")</f>
        <v/>
      </c>
      <c r="Y267" s="41" t="str">
        <f>IF(A267="","",IF(Q267&lt;&gt;"已执行",IF(Q267="","未填执行情况",Q267),IF(N(U267)=0,"待录成交",IF(N(W267)&gt;N(U267),"平仓多于开仓",IF(N(W267)&lt;N(U267),"持仓中","已平仓")))))</f>
        <v/>
      </c>
      <c r="Z267" s="41" t="str">
        <f>IF(AND(ISNUMBER(R267),ISNUMBER(S267)),IF(R267=S267,"日内",""),"")</f>
        <v/>
      </c>
      <c r="AA267" s="42" t="str">
        <f>IF(Z267&lt;&gt;"日内","",COUNTIFS($Z$5:$Z$304,"日内",$S$5:$S$304,"&gt;"&amp;WORKDAY(S267,-5),$S$5:$S$304,"&lt;="&amp;S267))</f>
        <v/>
      </c>
      <c r="AB267" s="41" t="str">
        <f>IF(OR(NOT(ISNUMBER(M267)),NOT(ISNUMBER(R267))),"",IF(AND(M267&gt;=R267,OR(NOT(ISNUMBER(S267)),M267&lt;=S267)),"持仓跨财报",""))</f>
        <v/>
      </c>
      <c r="AC267" s="20">
        <f>IF(AND(E267="空",ISNUMBER(O267),ISNUMBER(S267)),ROUND(O267*(S267-R267)/360*V267*U267,2),0)</f>
        <v>0</v>
      </c>
      <c r="AD267" s="43" t="str">
        <f>IF(N(U267)=0,"",SUMIFS('成交明细'!$L$5:$L$804,'成交明细'!$A$5:$A$804,A267)+AC267)</f>
        <v/>
      </c>
      <c r="AE267" s="44" t="str">
        <f>IF(Y267&lt;&gt;"已平仓","",(SUMIFS('成交明细'!$H$5:$H$804,'成交明细'!$A$5:$A$804,A267,'成交明细'!$D$5:$D$804,"卖")-SUMIFS('成交明细'!$H$5:$H$804,'成交明细'!$A$5:$A$804,A267,'成交明细'!$D$5:$D$804,"买"))*1-AD267)</f>
        <v/>
      </c>
      <c r="AF267" s="45" t="str">
        <f>IF(AND(Y267="已平仓",ISNUMBER(L267)),(SUMIFS('成交明细'!$H$5:$H$804,'成交明细'!$A$5:$A$804,A267,'成交明细'!$D$5:$D$804,"卖")-SUMIFS('成交明细'!$H$5:$H$804,'成交明细'!$A$5:$A$804,A267,'成交明细'!$D$5:$D$804,"买"))*1/L267,"")</f>
        <v/>
      </c>
      <c r="AG267" s="45" t="str">
        <f>IF(AND(Y267="已平仓",ISNUMBER(L267)),AE267/L267,"")</f>
        <v/>
      </c>
      <c r="AH267" s="46" t="str">
        <f>IF(AND(ISNUMBER(V267),ISNUMBER(F267)),IF(E267="空",F267-V267,V267-F267),"")</f>
        <v/>
      </c>
      <c r="AI267" s="46" t="str">
        <f>IF(OR(NOT(ISNUMBER(AE267)),NOT(ISNUMBER(X267))),"",IF(AE267&lt;0,IF(E267="空",X267-G267,G267-X267),IF(NOT(ISNUMBER(H267)),"",IF(E267="空",X267-H267,H267-X267))))</f>
        <v/>
      </c>
      <c r="AJ267" s="32" t="n"/>
      <c r="AK267" s="32" t="n"/>
      <c r="AL267" s="31" t="n"/>
      <c r="AM267" s="45" t="str">
        <f>IF(A267="","",SUM(AG$5:AG267))</f>
        <v/>
      </c>
      <c r="AN267" s="37" t="str">
        <f>IF(A267="","",MAX(0,MAX(AM$5:AM267))-AM267)</f>
        <v/>
      </c>
    </row>
    <row r="268">
      <c r="A268" s="29" t="n"/>
      <c r="B268" s="30" t="n"/>
      <c r="C268" s="31" t="n"/>
      <c r="D268" s="32" t="n"/>
      <c r="E268" s="32" t="n"/>
      <c r="F268" s="33" t="n"/>
      <c r="G268" s="33" t="n"/>
      <c r="H268" s="33" t="n"/>
      <c r="I268" s="34" t="str">
        <f>IF(AND(ISNUMBER(F268),ISNUMBER(G268),ISNUMBER(H268)),IF(OR(AND(E268="多",F268&gt;G268),AND(E268="空",F268&lt;G268)),ABS(H268-F268)/ABS(F268-G268),"止损方向不对"),"")</f>
        <v/>
      </c>
      <c r="J268" s="35" t="str">
        <f>IF(AND(ISNUMBER(F268),ISNUMBER(G268)),IF(F268=G268,"",IF(INT(ROUND('参数'!$C$7/(ABS(F268-G268)*1+2*'参数'!$C$11+N('参数'!$C$14)*F268+N('参数'!$C$15))/1,6))*1&gt;0,INT(ROUND('参数'!$C$7/(ABS(F268-G268)*1+2*'参数'!$C$11+N('参数'!$C$14)*F268+N('参数'!$C$15))/1,6))*1,"预算不足，这笔不做")),"")</f>
        <v/>
      </c>
      <c r="K268" s="36" t="n"/>
      <c r="L268" s="20" t="str">
        <f>IF(AND(ISNUMBER(F268),ISNUMBER(G268),ISNUMBER(K268)),IF(AND(F268&lt;&gt;G268,K268&gt;0),ABS(F268-G268)*K268*1,""),"")</f>
        <v/>
      </c>
      <c r="M268" s="30" t="n"/>
      <c r="N268" s="37" t="str">
        <f>IF(AND(ISNUMBER(L268),ISNUMBER(M268)),IF(E268="空",(G268*(1+'参数'!$C$17)-F268),(F268-G268*(1-'参数'!$C$17)))*K268/L268,"")</f>
        <v/>
      </c>
      <c r="O268" s="38" t="n"/>
      <c r="P268" s="31" t="n"/>
      <c r="Q268" s="32" t="n"/>
      <c r="R268" s="39" t="str">
        <f>IF(N(U268)&gt;0,SUMPRODUCT(LARGE(('成交明细'!$A$5:$A$804=A268)*('成交明细'!$D$5:$D$804=IF(E268="空","卖","买"))*'成交明细'!$B$5:$B$804,COUNTIFS('成交明细'!$A$5:$A$804,A268,'成交明细'!$D$5:$D$804,IF(E268="空","卖","买")))),"")</f>
        <v/>
      </c>
      <c r="S268" s="39" t="str">
        <f>IF(AND(N(U268)&gt;0,N(W268)&gt;=N(U268)),SUMPRODUCT(MAX(('成交明细'!$A$5:$A$804=A268)*('成交明细'!$D$5:$D$804=IF(E268="空","买","卖"))*'成交明细'!$B$5:$B$804)),"")</f>
        <v/>
      </c>
      <c r="T268" s="32" t="n"/>
      <c r="U268" s="35" t="str">
        <f>IF(A268="","",SUMIFS('成交明细'!$F$5:$F$804,'成交明细'!$A$5:$A$804,A268,'成交明细'!$D$5:$D$804,IF(E268="空","卖","买")))</f>
        <v/>
      </c>
      <c r="V268" s="40" t="str">
        <f>IF(N(U268)&gt;0,SUMIFS('成交明细'!$H$5:$H$804,'成交明细'!$A$5:$A$804,A268,'成交明细'!$D$5:$D$804,IF(E268="空","卖","买"))/U268,"")</f>
        <v/>
      </c>
      <c r="W268" s="35" t="str">
        <f>IF(A268="","",SUMIFS('成交明细'!$F$5:$F$804,'成交明细'!$A$5:$A$804,A268,'成交明细'!$D$5:$D$804,IF(E268="空","买","卖")))</f>
        <v/>
      </c>
      <c r="X268" s="40" t="str">
        <f>IF(N(W268)&gt;0,SUMIFS('成交明细'!$H$5:$H$804,'成交明细'!$A$5:$A$804,A268,'成交明细'!$D$5:$D$804,IF(E268="空","买","卖"))/W268,"")</f>
        <v/>
      </c>
      <c r="Y268" s="41" t="str">
        <f>IF(A268="","",IF(Q268&lt;&gt;"已执行",IF(Q268="","未填执行情况",Q268),IF(N(U268)=0,"待录成交",IF(N(W268)&gt;N(U268),"平仓多于开仓",IF(N(W268)&lt;N(U268),"持仓中","已平仓")))))</f>
        <v/>
      </c>
      <c r="Z268" s="41" t="str">
        <f>IF(AND(ISNUMBER(R268),ISNUMBER(S268)),IF(R268=S268,"日内",""),"")</f>
        <v/>
      </c>
      <c r="AA268" s="42" t="str">
        <f>IF(Z268&lt;&gt;"日内","",COUNTIFS($Z$5:$Z$304,"日内",$S$5:$S$304,"&gt;"&amp;WORKDAY(S268,-5),$S$5:$S$304,"&lt;="&amp;S268))</f>
        <v/>
      </c>
      <c r="AB268" s="41" t="str">
        <f>IF(OR(NOT(ISNUMBER(M268)),NOT(ISNUMBER(R268))),"",IF(AND(M268&gt;=R268,OR(NOT(ISNUMBER(S268)),M268&lt;=S268)),"持仓跨财报",""))</f>
        <v/>
      </c>
      <c r="AC268" s="20">
        <f>IF(AND(E268="空",ISNUMBER(O268),ISNUMBER(S268)),ROUND(O268*(S268-R268)/360*V268*U268,2),0)</f>
        <v>0</v>
      </c>
      <c r="AD268" s="43" t="str">
        <f>IF(N(U268)=0,"",SUMIFS('成交明细'!$L$5:$L$804,'成交明细'!$A$5:$A$804,A268)+AC268)</f>
        <v/>
      </c>
      <c r="AE268" s="44" t="str">
        <f>IF(Y268&lt;&gt;"已平仓","",(SUMIFS('成交明细'!$H$5:$H$804,'成交明细'!$A$5:$A$804,A268,'成交明细'!$D$5:$D$804,"卖")-SUMIFS('成交明细'!$H$5:$H$804,'成交明细'!$A$5:$A$804,A268,'成交明细'!$D$5:$D$804,"买"))*1-AD268)</f>
        <v/>
      </c>
      <c r="AF268" s="45" t="str">
        <f>IF(AND(Y268="已平仓",ISNUMBER(L268)),(SUMIFS('成交明细'!$H$5:$H$804,'成交明细'!$A$5:$A$804,A268,'成交明细'!$D$5:$D$804,"卖")-SUMIFS('成交明细'!$H$5:$H$804,'成交明细'!$A$5:$A$804,A268,'成交明细'!$D$5:$D$804,"买"))*1/L268,"")</f>
        <v/>
      </c>
      <c r="AG268" s="45" t="str">
        <f>IF(AND(Y268="已平仓",ISNUMBER(L268)),AE268/L268,"")</f>
        <v/>
      </c>
      <c r="AH268" s="46" t="str">
        <f>IF(AND(ISNUMBER(V268),ISNUMBER(F268)),IF(E268="空",F268-V268,V268-F268),"")</f>
        <v/>
      </c>
      <c r="AI268" s="46" t="str">
        <f>IF(OR(NOT(ISNUMBER(AE268)),NOT(ISNUMBER(X268))),"",IF(AE268&lt;0,IF(E268="空",X268-G268,G268-X268),IF(NOT(ISNUMBER(H268)),"",IF(E268="空",X268-H268,H268-X268))))</f>
        <v/>
      </c>
      <c r="AJ268" s="32" t="n"/>
      <c r="AK268" s="32" t="n"/>
      <c r="AL268" s="31" t="n"/>
      <c r="AM268" s="45" t="str">
        <f>IF(A268="","",SUM(AG$5:AG268))</f>
        <v/>
      </c>
      <c r="AN268" s="37" t="str">
        <f>IF(A268="","",MAX(0,MAX(AM$5:AM268))-AM268)</f>
        <v/>
      </c>
    </row>
    <row r="269">
      <c r="A269" s="29" t="n"/>
      <c r="B269" s="30" t="n"/>
      <c r="C269" s="31" t="n"/>
      <c r="D269" s="32" t="n"/>
      <c r="E269" s="32" t="n"/>
      <c r="F269" s="33" t="n"/>
      <c r="G269" s="33" t="n"/>
      <c r="H269" s="33" t="n"/>
      <c r="I269" s="34" t="str">
        <f>IF(AND(ISNUMBER(F269),ISNUMBER(G269),ISNUMBER(H269)),IF(OR(AND(E269="多",F269&gt;G269),AND(E269="空",F269&lt;G269)),ABS(H269-F269)/ABS(F269-G269),"止损方向不对"),"")</f>
        <v/>
      </c>
      <c r="J269" s="35" t="str">
        <f>IF(AND(ISNUMBER(F269),ISNUMBER(G269)),IF(F269=G269,"",IF(INT(ROUND('参数'!$C$7/(ABS(F269-G269)*1+2*'参数'!$C$11+N('参数'!$C$14)*F269+N('参数'!$C$15))/1,6))*1&gt;0,INT(ROUND('参数'!$C$7/(ABS(F269-G269)*1+2*'参数'!$C$11+N('参数'!$C$14)*F269+N('参数'!$C$15))/1,6))*1,"预算不足，这笔不做")),"")</f>
        <v/>
      </c>
      <c r="K269" s="36" t="n"/>
      <c r="L269" s="20" t="str">
        <f>IF(AND(ISNUMBER(F269),ISNUMBER(G269),ISNUMBER(K269)),IF(AND(F269&lt;&gt;G269,K269&gt;0),ABS(F269-G269)*K269*1,""),"")</f>
        <v/>
      </c>
      <c r="M269" s="30" t="n"/>
      <c r="N269" s="37" t="str">
        <f>IF(AND(ISNUMBER(L269),ISNUMBER(M269)),IF(E269="空",(G269*(1+'参数'!$C$17)-F269),(F269-G269*(1-'参数'!$C$17)))*K269/L269,"")</f>
        <v/>
      </c>
      <c r="O269" s="38" t="n"/>
      <c r="P269" s="31" t="n"/>
      <c r="Q269" s="32" t="n"/>
      <c r="R269" s="39" t="str">
        <f>IF(N(U269)&gt;0,SUMPRODUCT(LARGE(('成交明细'!$A$5:$A$804=A269)*('成交明细'!$D$5:$D$804=IF(E269="空","卖","买"))*'成交明细'!$B$5:$B$804,COUNTIFS('成交明细'!$A$5:$A$804,A269,'成交明细'!$D$5:$D$804,IF(E269="空","卖","买")))),"")</f>
        <v/>
      </c>
      <c r="S269" s="39" t="str">
        <f>IF(AND(N(U269)&gt;0,N(W269)&gt;=N(U269)),SUMPRODUCT(MAX(('成交明细'!$A$5:$A$804=A269)*('成交明细'!$D$5:$D$804=IF(E269="空","买","卖"))*'成交明细'!$B$5:$B$804)),"")</f>
        <v/>
      </c>
      <c r="T269" s="32" t="n"/>
      <c r="U269" s="35" t="str">
        <f>IF(A269="","",SUMIFS('成交明细'!$F$5:$F$804,'成交明细'!$A$5:$A$804,A269,'成交明细'!$D$5:$D$804,IF(E269="空","卖","买")))</f>
        <v/>
      </c>
      <c r="V269" s="40" t="str">
        <f>IF(N(U269)&gt;0,SUMIFS('成交明细'!$H$5:$H$804,'成交明细'!$A$5:$A$804,A269,'成交明细'!$D$5:$D$804,IF(E269="空","卖","买"))/U269,"")</f>
        <v/>
      </c>
      <c r="W269" s="35" t="str">
        <f>IF(A269="","",SUMIFS('成交明细'!$F$5:$F$804,'成交明细'!$A$5:$A$804,A269,'成交明细'!$D$5:$D$804,IF(E269="空","买","卖")))</f>
        <v/>
      </c>
      <c r="X269" s="40" t="str">
        <f>IF(N(W269)&gt;0,SUMIFS('成交明细'!$H$5:$H$804,'成交明细'!$A$5:$A$804,A269,'成交明细'!$D$5:$D$804,IF(E269="空","买","卖"))/W269,"")</f>
        <v/>
      </c>
      <c r="Y269" s="41" t="str">
        <f>IF(A269="","",IF(Q269&lt;&gt;"已执行",IF(Q269="","未填执行情况",Q269),IF(N(U269)=0,"待录成交",IF(N(W269)&gt;N(U269),"平仓多于开仓",IF(N(W269)&lt;N(U269),"持仓中","已平仓")))))</f>
        <v/>
      </c>
      <c r="Z269" s="41" t="str">
        <f>IF(AND(ISNUMBER(R269),ISNUMBER(S269)),IF(R269=S269,"日内",""),"")</f>
        <v/>
      </c>
      <c r="AA269" s="42" t="str">
        <f>IF(Z269&lt;&gt;"日内","",COUNTIFS($Z$5:$Z$304,"日内",$S$5:$S$304,"&gt;"&amp;WORKDAY(S269,-5),$S$5:$S$304,"&lt;="&amp;S269))</f>
        <v/>
      </c>
      <c r="AB269" s="41" t="str">
        <f>IF(OR(NOT(ISNUMBER(M269)),NOT(ISNUMBER(R269))),"",IF(AND(M269&gt;=R269,OR(NOT(ISNUMBER(S269)),M269&lt;=S269)),"持仓跨财报",""))</f>
        <v/>
      </c>
      <c r="AC269" s="20">
        <f>IF(AND(E269="空",ISNUMBER(O269),ISNUMBER(S269)),ROUND(O269*(S269-R269)/360*V269*U269,2),0)</f>
        <v>0</v>
      </c>
      <c r="AD269" s="43" t="str">
        <f>IF(N(U269)=0,"",SUMIFS('成交明细'!$L$5:$L$804,'成交明细'!$A$5:$A$804,A269)+AC269)</f>
        <v/>
      </c>
      <c r="AE269" s="44" t="str">
        <f>IF(Y269&lt;&gt;"已平仓","",(SUMIFS('成交明细'!$H$5:$H$804,'成交明细'!$A$5:$A$804,A269,'成交明细'!$D$5:$D$804,"卖")-SUMIFS('成交明细'!$H$5:$H$804,'成交明细'!$A$5:$A$804,A269,'成交明细'!$D$5:$D$804,"买"))*1-AD269)</f>
        <v/>
      </c>
      <c r="AF269" s="45" t="str">
        <f>IF(AND(Y269="已平仓",ISNUMBER(L269)),(SUMIFS('成交明细'!$H$5:$H$804,'成交明细'!$A$5:$A$804,A269,'成交明细'!$D$5:$D$804,"卖")-SUMIFS('成交明细'!$H$5:$H$804,'成交明细'!$A$5:$A$804,A269,'成交明细'!$D$5:$D$804,"买"))*1/L269,"")</f>
        <v/>
      </c>
      <c r="AG269" s="45" t="str">
        <f>IF(AND(Y269="已平仓",ISNUMBER(L269)),AE269/L269,"")</f>
        <v/>
      </c>
      <c r="AH269" s="46" t="str">
        <f>IF(AND(ISNUMBER(V269),ISNUMBER(F269)),IF(E269="空",F269-V269,V269-F269),"")</f>
        <v/>
      </c>
      <c r="AI269" s="46" t="str">
        <f>IF(OR(NOT(ISNUMBER(AE269)),NOT(ISNUMBER(X269))),"",IF(AE269&lt;0,IF(E269="空",X269-G269,G269-X269),IF(NOT(ISNUMBER(H269)),"",IF(E269="空",X269-H269,H269-X269))))</f>
        <v/>
      </c>
      <c r="AJ269" s="32" t="n"/>
      <c r="AK269" s="32" t="n"/>
      <c r="AL269" s="31" t="n"/>
      <c r="AM269" s="45" t="str">
        <f>IF(A269="","",SUM(AG$5:AG269))</f>
        <v/>
      </c>
      <c r="AN269" s="37" t="str">
        <f>IF(A269="","",MAX(0,MAX(AM$5:AM269))-AM269)</f>
        <v/>
      </c>
    </row>
    <row r="270">
      <c r="A270" s="29" t="n"/>
      <c r="B270" s="30" t="n"/>
      <c r="C270" s="31" t="n"/>
      <c r="D270" s="32" t="n"/>
      <c r="E270" s="32" t="n"/>
      <c r="F270" s="33" t="n"/>
      <c r="G270" s="33" t="n"/>
      <c r="H270" s="33" t="n"/>
      <c r="I270" s="34" t="str">
        <f>IF(AND(ISNUMBER(F270),ISNUMBER(G270),ISNUMBER(H270)),IF(OR(AND(E270="多",F270&gt;G270),AND(E270="空",F270&lt;G270)),ABS(H270-F270)/ABS(F270-G270),"止损方向不对"),"")</f>
        <v/>
      </c>
      <c r="J270" s="35" t="str">
        <f>IF(AND(ISNUMBER(F270),ISNUMBER(G270)),IF(F270=G270,"",IF(INT(ROUND('参数'!$C$7/(ABS(F270-G270)*1+2*'参数'!$C$11+N('参数'!$C$14)*F270+N('参数'!$C$15))/1,6))*1&gt;0,INT(ROUND('参数'!$C$7/(ABS(F270-G270)*1+2*'参数'!$C$11+N('参数'!$C$14)*F270+N('参数'!$C$15))/1,6))*1,"预算不足，这笔不做")),"")</f>
        <v/>
      </c>
      <c r="K270" s="36" t="n"/>
      <c r="L270" s="20" t="str">
        <f>IF(AND(ISNUMBER(F270),ISNUMBER(G270),ISNUMBER(K270)),IF(AND(F270&lt;&gt;G270,K270&gt;0),ABS(F270-G270)*K270*1,""),"")</f>
        <v/>
      </c>
      <c r="M270" s="30" t="n"/>
      <c r="N270" s="37" t="str">
        <f>IF(AND(ISNUMBER(L270),ISNUMBER(M270)),IF(E270="空",(G270*(1+'参数'!$C$17)-F270),(F270-G270*(1-'参数'!$C$17)))*K270/L270,"")</f>
        <v/>
      </c>
      <c r="O270" s="38" t="n"/>
      <c r="P270" s="31" t="n"/>
      <c r="Q270" s="32" t="n"/>
      <c r="R270" s="39" t="str">
        <f>IF(N(U270)&gt;0,SUMPRODUCT(LARGE(('成交明细'!$A$5:$A$804=A270)*('成交明细'!$D$5:$D$804=IF(E270="空","卖","买"))*'成交明细'!$B$5:$B$804,COUNTIFS('成交明细'!$A$5:$A$804,A270,'成交明细'!$D$5:$D$804,IF(E270="空","卖","买")))),"")</f>
        <v/>
      </c>
      <c r="S270" s="39" t="str">
        <f>IF(AND(N(U270)&gt;0,N(W270)&gt;=N(U270)),SUMPRODUCT(MAX(('成交明细'!$A$5:$A$804=A270)*('成交明细'!$D$5:$D$804=IF(E270="空","买","卖"))*'成交明细'!$B$5:$B$804)),"")</f>
        <v/>
      </c>
      <c r="T270" s="32" t="n"/>
      <c r="U270" s="35" t="str">
        <f>IF(A270="","",SUMIFS('成交明细'!$F$5:$F$804,'成交明细'!$A$5:$A$804,A270,'成交明细'!$D$5:$D$804,IF(E270="空","卖","买")))</f>
        <v/>
      </c>
      <c r="V270" s="40" t="str">
        <f>IF(N(U270)&gt;0,SUMIFS('成交明细'!$H$5:$H$804,'成交明细'!$A$5:$A$804,A270,'成交明细'!$D$5:$D$804,IF(E270="空","卖","买"))/U270,"")</f>
        <v/>
      </c>
      <c r="W270" s="35" t="str">
        <f>IF(A270="","",SUMIFS('成交明细'!$F$5:$F$804,'成交明细'!$A$5:$A$804,A270,'成交明细'!$D$5:$D$804,IF(E270="空","买","卖")))</f>
        <v/>
      </c>
      <c r="X270" s="40" t="str">
        <f>IF(N(W270)&gt;0,SUMIFS('成交明细'!$H$5:$H$804,'成交明细'!$A$5:$A$804,A270,'成交明细'!$D$5:$D$804,IF(E270="空","买","卖"))/W270,"")</f>
        <v/>
      </c>
      <c r="Y270" s="41" t="str">
        <f>IF(A270="","",IF(Q270&lt;&gt;"已执行",IF(Q270="","未填执行情况",Q270),IF(N(U270)=0,"待录成交",IF(N(W270)&gt;N(U270),"平仓多于开仓",IF(N(W270)&lt;N(U270),"持仓中","已平仓")))))</f>
        <v/>
      </c>
      <c r="Z270" s="41" t="str">
        <f>IF(AND(ISNUMBER(R270),ISNUMBER(S270)),IF(R270=S270,"日内",""),"")</f>
        <v/>
      </c>
      <c r="AA270" s="42" t="str">
        <f>IF(Z270&lt;&gt;"日内","",COUNTIFS($Z$5:$Z$304,"日内",$S$5:$S$304,"&gt;"&amp;WORKDAY(S270,-5),$S$5:$S$304,"&lt;="&amp;S270))</f>
        <v/>
      </c>
      <c r="AB270" s="41" t="str">
        <f>IF(OR(NOT(ISNUMBER(M270)),NOT(ISNUMBER(R270))),"",IF(AND(M270&gt;=R270,OR(NOT(ISNUMBER(S270)),M270&lt;=S270)),"持仓跨财报",""))</f>
        <v/>
      </c>
      <c r="AC270" s="20">
        <f>IF(AND(E270="空",ISNUMBER(O270),ISNUMBER(S270)),ROUND(O270*(S270-R270)/360*V270*U270,2),0)</f>
        <v>0</v>
      </c>
      <c r="AD270" s="43" t="str">
        <f>IF(N(U270)=0,"",SUMIFS('成交明细'!$L$5:$L$804,'成交明细'!$A$5:$A$804,A270)+AC270)</f>
        <v/>
      </c>
      <c r="AE270" s="44" t="str">
        <f>IF(Y270&lt;&gt;"已平仓","",(SUMIFS('成交明细'!$H$5:$H$804,'成交明细'!$A$5:$A$804,A270,'成交明细'!$D$5:$D$804,"卖")-SUMIFS('成交明细'!$H$5:$H$804,'成交明细'!$A$5:$A$804,A270,'成交明细'!$D$5:$D$804,"买"))*1-AD270)</f>
        <v/>
      </c>
      <c r="AF270" s="45" t="str">
        <f>IF(AND(Y270="已平仓",ISNUMBER(L270)),(SUMIFS('成交明细'!$H$5:$H$804,'成交明细'!$A$5:$A$804,A270,'成交明细'!$D$5:$D$804,"卖")-SUMIFS('成交明细'!$H$5:$H$804,'成交明细'!$A$5:$A$804,A270,'成交明细'!$D$5:$D$804,"买"))*1/L270,"")</f>
        <v/>
      </c>
      <c r="AG270" s="45" t="str">
        <f>IF(AND(Y270="已平仓",ISNUMBER(L270)),AE270/L270,"")</f>
        <v/>
      </c>
      <c r="AH270" s="46" t="str">
        <f>IF(AND(ISNUMBER(V270),ISNUMBER(F270)),IF(E270="空",F270-V270,V270-F270),"")</f>
        <v/>
      </c>
      <c r="AI270" s="46" t="str">
        <f>IF(OR(NOT(ISNUMBER(AE270)),NOT(ISNUMBER(X270))),"",IF(AE270&lt;0,IF(E270="空",X270-G270,G270-X270),IF(NOT(ISNUMBER(H270)),"",IF(E270="空",X270-H270,H270-X270))))</f>
        <v/>
      </c>
      <c r="AJ270" s="32" t="n"/>
      <c r="AK270" s="32" t="n"/>
      <c r="AL270" s="31" t="n"/>
      <c r="AM270" s="45" t="str">
        <f>IF(A270="","",SUM(AG$5:AG270))</f>
        <v/>
      </c>
      <c r="AN270" s="37" t="str">
        <f>IF(A270="","",MAX(0,MAX(AM$5:AM270))-AM270)</f>
        <v/>
      </c>
    </row>
    <row r="271">
      <c r="A271" s="29" t="n"/>
      <c r="B271" s="30" t="n"/>
      <c r="C271" s="31" t="n"/>
      <c r="D271" s="32" t="n"/>
      <c r="E271" s="32" t="n"/>
      <c r="F271" s="33" t="n"/>
      <c r="G271" s="33" t="n"/>
      <c r="H271" s="33" t="n"/>
      <c r="I271" s="34" t="str">
        <f>IF(AND(ISNUMBER(F271),ISNUMBER(G271),ISNUMBER(H271)),IF(OR(AND(E271="多",F271&gt;G271),AND(E271="空",F271&lt;G271)),ABS(H271-F271)/ABS(F271-G271),"止损方向不对"),"")</f>
        <v/>
      </c>
      <c r="J271" s="35" t="str">
        <f>IF(AND(ISNUMBER(F271),ISNUMBER(G271)),IF(F271=G271,"",IF(INT(ROUND('参数'!$C$7/(ABS(F271-G271)*1+2*'参数'!$C$11+N('参数'!$C$14)*F271+N('参数'!$C$15))/1,6))*1&gt;0,INT(ROUND('参数'!$C$7/(ABS(F271-G271)*1+2*'参数'!$C$11+N('参数'!$C$14)*F271+N('参数'!$C$15))/1,6))*1,"预算不足，这笔不做")),"")</f>
        <v/>
      </c>
      <c r="K271" s="36" t="n"/>
      <c r="L271" s="20" t="str">
        <f>IF(AND(ISNUMBER(F271),ISNUMBER(G271),ISNUMBER(K271)),IF(AND(F271&lt;&gt;G271,K271&gt;0),ABS(F271-G271)*K271*1,""),"")</f>
        <v/>
      </c>
      <c r="M271" s="30" t="n"/>
      <c r="N271" s="37" t="str">
        <f>IF(AND(ISNUMBER(L271),ISNUMBER(M271)),IF(E271="空",(G271*(1+'参数'!$C$17)-F271),(F271-G271*(1-'参数'!$C$17)))*K271/L271,"")</f>
        <v/>
      </c>
      <c r="O271" s="38" t="n"/>
      <c r="P271" s="31" t="n"/>
      <c r="Q271" s="32" t="n"/>
      <c r="R271" s="39" t="str">
        <f>IF(N(U271)&gt;0,SUMPRODUCT(LARGE(('成交明细'!$A$5:$A$804=A271)*('成交明细'!$D$5:$D$804=IF(E271="空","卖","买"))*'成交明细'!$B$5:$B$804,COUNTIFS('成交明细'!$A$5:$A$804,A271,'成交明细'!$D$5:$D$804,IF(E271="空","卖","买")))),"")</f>
        <v/>
      </c>
      <c r="S271" s="39" t="str">
        <f>IF(AND(N(U271)&gt;0,N(W271)&gt;=N(U271)),SUMPRODUCT(MAX(('成交明细'!$A$5:$A$804=A271)*('成交明细'!$D$5:$D$804=IF(E271="空","买","卖"))*'成交明细'!$B$5:$B$804)),"")</f>
        <v/>
      </c>
      <c r="T271" s="32" t="n"/>
      <c r="U271" s="35" t="str">
        <f>IF(A271="","",SUMIFS('成交明细'!$F$5:$F$804,'成交明细'!$A$5:$A$804,A271,'成交明细'!$D$5:$D$804,IF(E271="空","卖","买")))</f>
        <v/>
      </c>
      <c r="V271" s="40" t="str">
        <f>IF(N(U271)&gt;0,SUMIFS('成交明细'!$H$5:$H$804,'成交明细'!$A$5:$A$804,A271,'成交明细'!$D$5:$D$804,IF(E271="空","卖","买"))/U271,"")</f>
        <v/>
      </c>
      <c r="W271" s="35" t="str">
        <f>IF(A271="","",SUMIFS('成交明细'!$F$5:$F$804,'成交明细'!$A$5:$A$804,A271,'成交明细'!$D$5:$D$804,IF(E271="空","买","卖")))</f>
        <v/>
      </c>
      <c r="X271" s="40" t="str">
        <f>IF(N(W271)&gt;0,SUMIFS('成交明细'!$H$5:$H$804,'成交明细'!$A$5:$A$804,A271,'成交明细'!$D$5:$D$804,IF(E271="空","买","卖"))/W271,"")</f>
        <v/>
      </c>
      <c r="Y271" s="41" t="str">
        <f>IF(A271="","",IF(Q271&lt;&gt;"已执行",IF(Q271="","未填执行情况",Q271),IF(N(U271)=0,"待录成交",IF(N(W271)&gt;N(U271),"平仓多于开仓",IF(N(W271)&lt;N(U271),"持仓中","已平仓")))))</f>
        <v/>
      </c>
      <c r="Z271" s="41" t="str">
        <f>IF(AND(ISNUMBER(R271),ISNUMBER(S271)),IF(R271=S271,"日内",""),"")</f>
        <v/>
      </c>
      <c r="AA271" s="42" t="str">
        <f>IF(Z271&lt;&gt;"日内","",COUNTIFS($Z$5:$Z$304,"日内",$S$5:$S$304,"&gt;"&amp;WORKDAY(S271,-5),$S$5:$S$304,"&lt;="&amp;S271))</f>
        <v/>
      </c>
      <c r="AB271" s="41" t="str">
        <f>IF(OR(NOT(ISNUMBER(M271)),NOT(ISNUMBER(R271))),"",IF(AND(M271&gt;=R271,OR(NOT(ISNUMBER(S271)),M271&lt;=S271)),"持仓跨财报",""))</f>
        <v/>
      </c>
      <c r="AC271" s="20">
        <f>IF(AND(E271="空",ISNUMBER(O271),ISNUMBER(S271)),ROUND(O271*(S271-R271)/360*V271*U271,2),0)</f>
        <v>0</v>
      </c>
      <c r="AD271" s="43" t="str">
        <f>IF(N(U271)=0,"",SUMIFS('成交明细'!$L$5:$L$804,'成交明细'!$A$5:$A$804,A271)+AC271)</f>
        <v/>
      </c>
      <c r="AE271" s="44" t="str">
        <f>IF(Y271&lt;&gt;"已平仓","",(SUMIFS('成交明细'!$H$5:$H$804,'成交明细'!$A$5:$A$804,A271,'成交明细'!$D$5:$D$804,"卖")-SUMIFS('成交明细'!$H$5:$H$804,'成交明细'!$A$5:$A$804,A271,'成交明细'!$D$5:$D$804,"买"))*1-AD271)</f>
        <v/>
      </c>
      <c r="AF271" s="45" t="str">
        <f>IF(AND(Y271="已平仓",ISNUMBER(L271)),(SUMIFS('成交明细'!$H$5:$H$804,'成交明细'!$A$5:$A$804,A271,'成交明细'!$D$5:$D$804,"卖")-SUMIFS('成交明细'!$H$5:$H$804,'成交明细'!$A$5:$A$804,A271,'成交明细'!$D$5:$D$804,"买"))*1/L271,"")</f>
        <v/>
      </c>
      <c r="AG271" s="45" t="str">
        <f>IF(AND(Y271="已平仓",ISNUMBER(L271)),AE271/L271,"")</f>
        <v/>
      </c>
      <c r="AH271" s="46" t="str">
        <f>IF(AND(ISNUMBER(V271),ISNUMBER(F271)),IF(E271="空",F271-V271,V271-F271),"")</f>
        <v/>
      </c>
      <c r="AI271" s="46" t="str">
        <f>IF(OR(NOT(ISNUMBER(AE271)),NOT(ISNUMBER(X271))),"",IF(AE271&lt;0,IF(E271="空",X271-G271,G271-X271),IF(NOT(ISNUMBER(H271)),"",IF(E271="空",X271-H271,H271-X271))))</f>
        <v/>
      </c>
      <c r="AJ271" s="32" t="n"/>
      <c r="AK271" s="32" t="n"/>
      <c r="AL271" s="31" t="n"/>
      <c r="AM271" s="45" t="str">
        <f>IF(A271="","",SUM(AG$5:AG271))</f>
        <v/>
      </c>
      <c r="AN271" s="37" t="str">
        <f>IF(A271="","",MAX(0,MAX(AM$5:AM271))-AM271)</f>
        <v/>
      </c>
    </row>
    <row r="272">
      <c r="A272" s="29" t="n"/>
      <c r="B272" s="30" t="n"/>
      <c r="C272" s="31" t="n"/>
      <c r="D272" s="32" t="n"/>
      <c r="E272" s="32" t="n"/>
      <c r="F272" s="33" t="n"/>
      <c r="G272" s="33" t="n"/>
      <c r="H272" s="33" t="n"/>
      <c r="I272" s="34" t="str">
        <f>IF(AND(ISNUMBER(F272),ISNUMBER(G272),ISNUMBER(H272)),IF(OR(AND(E272="多",F272&gt;G272),AND(E272="空",F272&lt;G272)),ABS(H272-F272)/ABS(F272-G272),"止损方向不对"),"")</f>
        <v/>
      </c>
      <c r="J272" s="35" t="str">
        <f>IF(AND(ISNUMBER(F272),ISNUMBER(G272)),IF(F272=G272,"",IF(INT(ROUND('参数'!$C$7/(ABS(F272-G272)*1+2*'参数'!$C$11+N('参数'!$C$14)*F272+N('参数'!$C$15))/1,6))*1&gt;0,INT(ROUND('参数'!$C$7/(ABS(F272-G272)*1+2*'参数'!$C$11+N('参数'!$C$14)*F272+N('参数'!$C$15))/1,6))*1,"预算不足，这笔不做")),"")</f>
        <v/>
      </c>
      <c r="K272" s="36" t="n"/>
      <c r="L272" s="20" t="str">
        <f>IF(AND(ISNUMBER(F272),ISNUMBER(G272),ISNUMBER(K272)),IF(AND(F272&lt;&gt;G272,K272&gt;0),ABS(F272-G272)*K272*1,""),"")</f>
        <v/>
      </c>
      <c r="M272" s="30" t="n"/>
      <c r="N272" s="37" t="str">
        <f>IF(AND(ISNUMBER(L272),ISNUMBER(M272)),IF(E272="空",(G272*(1+'参数'!$C$17)-F272),(F272-G272*(1-'参数'!$C$17)))*K272/L272,"")</f>
        <v/>
      </c>
      <c r="O272" s="38" t="n"/>
      <c r="P272" s="31" t="n"/>
      <c r="Q272" s="32" t="n"/>
      <c r="R272" s="39" t="str">
        <f>IF(N(U272)&gt;0,SUMPRODUCT(LARGE(('成交明细'!$A$5:$A$804=A272)*('成交明细'!$D$5:$D$804=IF(E272="空","卖","买"))*'成交明细'!$B$5:$B$804,COUNTIFS('成交明细'!$A$5:$A$804,A272,'成交明细'!$D$5:$D$804,IF(E272="空","卖","买")))),"")</f>
        <v/>
      </c>
      <c r="S272" s="39" t="str">
        <f>IF(AND(N(U272)&gt;0,N(W272)&gt;=N(U272)),SUMPRODUCT(MAX(('成交明细'!$A$5:$A$804=A272)*('成交明细'!$D$5:$D$804=IF(E272="空","买","卖"))*'成交明细'!$B$5:$B$804)),"")</f>
        <v/>
      </c>
      <c r="T272" s="32" t="n"/>
      <c r="U272" s="35" t="str">
        <f>IF(A272="","",SUMIFS('成交明细'!$F$5:$F$804,'成交明细'!$A$5:$A$804,A272,'成交明细'!$D$5:$D$804,IF(E272="空","卖","买")))</f>
        <v/>
      </c>
      <c r="V272" s="40" t="str">
        <f>IF(N(U272)&gt;0,SUMIFS('成交明细'!$H$5:$H$804,'成交明细'!$A$5:$A$804,A272,'成交明细'!$D$5:$D$804,IF(E272="空","卖","买"))/U272,"")</f>
        <v/>
      </c>
      <c r="W272" s="35" t="str">
        <f>IF(A272="","",SUMIFS('成交明细'!$F$5:$F$804,'成交明细'!$A$5:$A$804,A272,'成交明细'!$D$5:$D$804,IF(E272="空","买","卖")))</f>
        <v/>
      </c>
      <c r="X272" s="40" t="str">
        <f>IF(N(W272)&gt;0,SUMIFS('成交明细'!$H$5:$H$804,'成交明细'!$A$5:$A$804,A272,'成交明细'!$D$5:$D$804,IF(E272="空","买","卖"))/W272,"")</f>
        <v/>
      </c>
      <c r="Y272" s="41" t="str">
        <f>IF(A272="","",IF(Q272&lt;&gt;"已执行",IF(Q272="","未填执行情况",Q272),IF(N(U272)=0,"待录成交",IF(N(W272)&gt;N(U272),"平仓多于开仓",IF(N(W272)&lt;N(U272),"持仓中","已平仓")))))</f>
        <v/>
      </c>
      <c r="Z272" s="41" t="str">
        <f>IF(AND(ISNUMBER(R272),ISNUMBER(S272)),IF(R272=S272,"日内",""),"")</f>
        <v/>
      </c>
      <c r="AA272" s="42" t="str">
        <f>IF(Z272&lt;&gt;"日内","",COUNTIFS($Z$5:$Z$304,"日内",$S$5:$S$304,"&gt;"&amp;WORKDAY(S272,-5),$S$5:$S$304,"&lt;="&amp;S272))</f>
        <v/>
      </c>
      <c r="AB272" s="41" t="str">
        <f>IF(OR(NOT(ISNUMBER(M272)),NOT(ISNUMBER(R272))),"",IF(AND(M272&gt;=R272,OR(NOT(ISNUMBER(S272)),M272&lt;=S272)),"持仓跨财报",""))</f>
        <v/>
      </c>
      <c r="AC272" s="20">
        <f>IF(AND(E272="空",ISNUMBER(O272),ISNUMBER(S272)),ROUND(O272*(S272-R272)/360*V272*U272,2),0)</f>
        <v>0</v>
      </c>
      <c r="AD272" s="43" t="str">
        <f>IF(N(U272)=0,"",SUMIFS('成交明细'!$L$5:$L$804,'成交明细'!$A$5:$A$804,A272)+AC272)</f>
        <v/>
      </c>
      <c r="AE272" s="44" t="str">
        <f>IF(Y272&lt;&gt;"已平仓","",(SUMIFS('成交明细'!$H$5:$H$804,'成交明细'!$A$5:$A$804,A272,'成交明细'!$D$5:$D$804,"卖")-SUMIFS('成交明细'!$H$5:$H$804,'成交明细'!$A$5:$A$804,A272,'成交明细'!$D$5:$D$804,"买"))*1-AD272)</f>
        <v/>
      </c>
      <c r="AF272" s="45" t="str">
        <f>IF(AND(Y272="已平仓",ISNUMBER(L272)),(SUMIFS('成交明细'!$H$5:$H$804,'成交明细'!$A$5:$A$804,A272,'成交明细'!$D$5:$D$804,"卖")-SUMIFS('成交明细'!$H$5:$H$804,'成交明细'!$A$5:$A$804,A272,'成交明细'!$D$5:$D$804,"买"))*1/L272,"")</f>
        <v/>
      </c>
      <c r="AG272" s="45" t="str">
        <f>IF(AND(Y272="已平仓",ISNUMBER(L272)),AE272/L272,"")</f>
        <v/>
      </c>
      <c r="AH272" s="46" t="str">
        <f>IF(AND(ISNUMBER(V272),ISNUMBER(F272)),IF(E272="空",F272-V272,V272-F272),"")</f>
        <v/>
      </c>
      <c r="AI272" s="46" t="str">
        <f>IF(OR(NOT(ISNUMBER(AE272)),NOT(ISNUMBER(X272))),"",IF(AE272&lt;0,IF(E272="空",X272-G272,G272-X272),IF(NOT(ISNUMBER(H272)),"",IF(E272="空",X272-H272,H272-X272))))</f>
        <v/>
      </c>
      <c r="AJ272" s="32" t="n"/>
      <c r="AK272" s="32" t="n"/>
      <c r="AL272" s="31" t="n"/>
      <c r="AM272" s="45" t="str">
        <f>IF(A272="","",SUM(AG$5:AG272))</f>
        <v/>
      </c>
      <c r="AN272" s="37" t="str">
        <f>IF(A272="","",MAX(0,MAX(AM$5:AM272))-AM272)</f>
        <v/>
      </c>
    </row>
    <row r="273">
      <c r="A273" s="29" t="n"/>
      <c r="B273" s="30" t="n"/>
      <c r="C273" s="31" t="n"/>
      <c r="D273" s="32" t="n"/>
      <c r="E273" s="32" t="n"/>
      <c r="F273" s="33" t="n"/>
      <c r="G273" s="33" t="n"/>
      <c r="H273" s="33" t="n"/>
      <c r="I273" s="34" t="str">
        <f>IF(AND(ISNUMBER(F273),ISNUMBER(G273),ISNUMBER(H273)),IF(OR(AND(E273="多",F273&gt;G273),AND(E273="空",F273&lt;G273)),ABS(H273-F273)/ABS(F273-G273),"止损方向不对"),"")</f>
        <v/>
      </c>
      <c r="J273" s="35" t="str">
        <f>IF(AND(ISNUMBER(F273),ISNUMBER(G273)),IF(F273=G273,"",IF(INT(ROUND('参数'!$C$7/(ABS(F273-G273)*1+2*'参数'!$C$11+N('参数'!$C$14)*F273+N('参数'!$C$15))/1,6))*1&gt;0,INT(ROUND('参数'!$C$7/(ABS(F273-G273)*1+2*'参数'!$C$11+N('参数'!$C$14)*F273+N('参数'!$C$15))/1,6))*1,"预算不足，这笔不做")),"")</f>
        <v/>
      </c>
      <c r="K273" s="36" t="n"/>
      <c r="L273" s="20" t="str">
        <f>IF(AND(ISNUMBER(F273),ISNUMBER(G273),ISNUMBER(K273)),IF(AND(F273&lt;&gt;G273,K273&gt;0),ABS(F273-G273)*K273*1,""),"")</f>
        <v/>
      </c>
      <c r="M273" s="30" t="n"/>
      <c r="N273" s="37" t="str">
        <f>IF(AND(ISNUMBER(L273),ISNUMBER(M273)),IF(E273="空",(G273*(1+'参数'!$C$17)-F273),(F273-G273*(1-'参数'!$C$17)))*K273/L273,"")</f>
        <v/>
      </c>
      <c r="O273" s="38" t="n"/>
      <c r="P273" s="31" t="n"/>
      <c r="Q273" s="32" t="n"/>
      <c r="R273" s="39" t="str">
        <f>IF(N(U273)&gt;0,SUMPRODUCT(LARGE(('成交明细'!$A$5:$A$804=A273)*('成交明细'!$D$5:$D$804=IF(E273="空","卖","买"))*'成交明细'!$B$5:$B$804,COUNTIFS('成交明细'!$A$5:$A$804,A273,'成交明细'!$D$5:$D$804,IF(E273="空","卖","买")))),"")</f>
        <v/>
      </c>
      <c r="S273" s="39" t="str">
        <f>IF(AND(N(U273)&gt;0,N(W273)&gt;=N(U273)),SUMPRODUCT(MAX(('成交明细'!$A$5:$A$804=A273)*('成交明细'!$D$5:$D$804=IF(E273="空","买","卖"))*'成交明细'!$B$5:$B$804)),"")</f>
        <v/>
      </c>
      <c r="T273" s="32" t="n"/>
      <c r="U273" s="35" t="str">
        <f>IF(A273="","",SUMIFS('成交明细'!$F$5:$F$804,'成交明细'!$A$5:$A$804,A273,'成交明细'!$D$5:$D$804,IF(E273="空","卖","买")))</f>
        <v/>
      </c>
      <c r="V273" s="40" t="str">
        <f>IF(N(U273)&gt;0,SUMIFS('成交明细'!$H$5:$H$804,'成交明细'!$A$5:$A$804,A273,'成交明细'!$D$5:$D$804,IF(E273="空","卖","买"))/U273,"")</f>
        <v/>
      </c>
      <c r="W273" s="35" t="str">
        <f>IF(A273="","",SUMIFS('成交明细'!$F$5:$F$804,'成交明细'!$A$5:$A$804,A273,'成交明细'!$D$5:$D$804,IF(E273="空","买","卖")))</f>
        <v/>
      </c>
      <c r="X273" s="40" t="str">
        <f>IF(N(W273)&gt;0,SUMIFS('成交明细'!$H$5:$H$804,'成交明细'!$A$5:$A$804,A273,'成交明细'!$D$5:$D$804,IF(E273="空","买","卖"))/W273,"")</f>
        <v/>
      </c>
      <c r="Y273" s="41" t="str">
        <f>IF(A273="","",IF(Q273&lt;&gt;"已执行",IF(Q273="","未填执行情况",Q273),IF(N(U273)=0,"待录成交",IF(N(W273)&gt;N(U273),"平仓多于开仓",IF(N(W273)&lt;N(U273),"持仓中","已平仓")))))</f>
        <v/>
      </c>
      <c r="Z273" s="41" t="str">
        <f>IF(AND(ISNUMBER(R273),ISNUMBER(S273)),IF(R273=S273,"日内",""),"")</f>
        <v/>
      </c>
      <c r="AA273" s="42" t="str">
        <f>IF(Z273&lt;&gt;"日内","",COUNTIFS($Z$5:$Z$304,"日内",$S$5:$S$304,"&gt;"&amp;WORKDAY(S273,-5),$S$5:$S$304,"&lt;="&amp;S273))</f>
        <v/>
      </c>
      <c r="AB273" s="41" t="str">
        <f>IF(OR(NOT(ISNUMBER(M273)),NOT(ISNUMBER(R273))),"",IF(AND(M273&gt;=R273,OR(NOT(ISNUMBER(S273)),M273&lt;=S273)),"持仓跨财报",""))</f>
        <v/>
      </c>
      <c r="AC273" s="20">
        <f>IF(AND(E273="空",ISNUMBER(O273),ISNUMBER(S273)),ROUND(O273*(S273-R273)/360*V273*U273,2),0)</f>
        <v>0</v>
      </c>
      <c r="AD273" s="43" t="str">
        <f>IF(N(U273)=0,"",SUMIFS('成交明细'!$L$5:$L$804,'成交明细'!$A$5:$A$804,A273)+AC273)</f>
        <v/>
      </c>
      <c r="AE273" s="44" t="str">
        <f>IF(Y273&lt;&gt;"已平仓","",(SUMIFS('成交明细'!$H$5:$H$804,'成交明细'!$A$5:$A$804,A273,'成交明细'!$D$5:$D$804,"卖")-SUMIFS('成交明细'!$H$5:$H$804,'成交明细'!$A$5:$A$804,A273,'成交明细'!$D$5:$D$804,"买"))*1-AD273)</f>
        <v/>
      </c>
      <c r="AF273" s="45" t="str">
        <f>IF(AND(Y273="已平仓",ISNUMBER(L273)),(SUMIFS('成交明细'!$H$5:$H$804,'成交明细'!$A$5:$A$804,A273,'成交明细'!$D$5:$D$804,"卖")-SUMIFS('成交明细'!$H$5:$H$804,'成交明细'!$A$5:$A$804,A273,'成交明细'!$D$5:$D$804,"买"))*1/L273,"")</f>
        <v/>
      </c>
      <c r="AG273" s="45" t="str">
        <f>IF(AND(Y273="已平仓",ISNUMBER(L273)),AE273/L273,"")</f>
        <v/>
      </c>
      <c r="AH273" s="46" t="str">
        <f>IF(AND(ISNUMBER(V273),ISNUMBER(F273)),IF(E273="空",F273-V273,V273-F273),"")</f>
        <v/>
      </c>
      <c r="AI273" s="46" t="str">
        <f>IF(OR(NOT(ISNUMBER(AE273)),NOT(ISNUMBER(X273))),"",IF(AE273&lt;0,IF(E273="空",X273-G273,G273-X273),IF(NOT(ISNUMBER(H273)),"",IF(E273="空",X273-H273,H273-X273))))</f>
        <v/>
      </c>
      <c r="AJ273" s="32" t="n"/>
      <c r="AK273" s="32" t="n"/>
      <c r="AL273" s="31" t="n"/>
      <c r="AM273" s="45" t="str">
        <f>IF(A273="","",SUM(AG$5:AG273))</f>
        <v/>
      </c>
      <c r="AN273" s="37" t="str">
        <f>IF(A273="","",MAX(0,MAX(AM$5:AM273))-AM273)</f>
        <v/>
      </c>
    </row>
    <row r="274">
      <c r="A274" s="29" t="n"/>
      <c r="B274" s="30" t="n"/>
      <c r="C274" s="31" t="n"/>
      <c r="D274" s="32" t="n"/>
      <c r="E274" s="32" t="n"/>
      <c r="F274" s="33" t="n"/>
      <c r="G274" s="33" t="n"/>
      <c r="H274" s="33" t="n"/>
      <c r="I274" s="34" t="str">
        <f>IF(AND(ISNUMBER(F274),ISNUMBER(G274),ISNUMBER(H274)),IF(OR(AND(E274="多",F274&gt;G274),AND(E274="空",F274&lt;G274)),ABS(H274-F274)/ABS(F274-G274),"止损方向不对"),"")</f>
        <v/>
      </c>
      <c r="J274" s="35" t="str">
        <f>IF(AND(ISNUMBER(F274),ISNUMBER(G274)),IF(F274=G274,"",IF(INT(ROUND('参数'!$C$7/(ABS(F274-G274)*1+2*'参数'!$C$11+N('参数'!$C$14)*F274+N('参数'!$C$15))/1,6))*1&gt;0,INT(ROUND('参数'!$C$7/(ABS(F274-G274)*1+2*'参数'!$C$11+N('参数'!$C$14)*F274+N('参数'!$C$15))/1,6))*1,"预算不足，这笔不做")),"")</f>
        <v/>
      </c>
      <c r="K274" s="36" t="n"/>
      <c r="L274" s="20" t="str">
        <f>IF(AND(ISNUMBER(F274),ISNUMBER(G274),ISNUMBER(K274)),IF(AND(F274&lt;&gt;G274,K274&gt;0),ABS(F274-G274)*K274*1,""),"")</f>
        <v/>
      </c>
      <c r="M274" s="30" t="n"/>
      <c r="N274" s="37" t="str">
        <f>IF(AND(ISNUMBER(L274),ISNUMBER(M274)),IF(E274="空",(G274*(1+'参数'!$C$17)-F274),(F274-G274*(1-'参数'!$C$17)))*K274/L274,"")</f>
        <v/>
      </c>
      <c r="O274" s="38" t="n"/>
      <c r="P274" s="31" t="n"/>
      <c r="Q274" s="32" t="n"/>
      <c r="R274" s="39" t="str">
        <f>IF(N(U274)&gt;0,SUMPRODUCT(LARGE(('成交明细'!$A$5:$A$804=A274)*('成交明细'!$D$5:$D$804=IF(E274="空","卖","买"))*'成交明细'!$B$5:$B$804,COUNTIFS('成交明细'!$A$5:$A$804,A274,'成交明细'!$D$5:$D$804,IF(E274="空","卖","买")))),"")</f>
        <v/>
      </c>
      <c r="S274" s="39" t="str">
        <f>IF(AND(N(U274)&gt;0,N(W274)&gt;=N(U274)),SUMPRODUCT(MAX(('成交明细'!$A$5:$A$804=A274)*('成交明细'!$D$5:$D$804=IF(E274="空","买","卖"))*'成交明细'!$B$5:$B$804)),"")</f>
        <v/>
      </c>
      <c r="T274" s="32" t="n"/>
      <c r="U274" s="35" t="str">
        <f>IF(A274="","",SUMIFS('成交明细'!$F$5:$F$804,'成交明细'!$A$5:$A$804,A274,'成交明细'!$D$5:$D$804,IF(E274="空","卖","买")))</f>
        <v/>
      </c>
      <c r="V274" s="40" t="str">
        <f>IF(N(U274)&gt;0,SUMIFS('成交明细'!$H$5:$H$804,'成交明细'!$A$5:$A$804,A274,'成交明细'!$D$5:$D$804,IF(E274="空","卖","买"))/U274,"")</f>
        <v/>
      </c>
      <c r="W274" s="35" t="str">
        <f>IF(A274="","",SUMIFS('成交明细'!$F$5:$F$804,'成交明细'!$A$5:$A$804,A274,'成交明细'!$D$5:$D$804,IF(E274="空","买","卖")))</f>
        <v/>
      </c>
      <c r="X274" s="40" t="str">
        <f>IF(N(W274)&gt;0,SUMIFS('成交明细'!$H$5:$H$804,'成交明细'!$A$5:$A$804,A274,'成交明细'!$D$5:$D$804,IF(E274="空","买","卖"))/W274,"")</f>
        <v/>
      </c>
      <c r="Y274" s="41" t="str">
        <f>IF(A274="","",IF(Q274&lt;&gt;"已执行",IF(Q274="","未填执行情况",Q274),IF(N(U274)=0,"待录成交",IF(N(W274)&gt;N(U274),"平仓多于开仓",IF(N(W274)&lt;N(U274),"持仓中","已平仓")))))</f>
        <v/>
      </c>
      <c r="Z274" s="41" t="str">
        <f>IF(AND(ISNUMBER(R274),ISNUMBER(S274)),IF(R274=S274,"日内",""),"")</f>
        <v/>
      </c>
      <c r="AA274" s="42" t="str">
        <f>IF(Z274&lt;&gt;"日内","",COUNTIFS($Z$5:$Z$304,"日内",$S$5:$S$304,"&gt;"&amp;WORKDAY(S274,-5),$S$5:$S$304,"&lt;="&amp;S274))</f>
        <v/>
      </c>
      <c r="AB274" s="41" t="str">
        <f>IF(OR(NOT(ISNUMBER(M274)),NOT(ISNUMBER(R274))),"",IF(AND(M274&gt;=R274,OR(NOT(ISNUMBER(S274)),M274&lt;=S274)),"持仓跨财报",""))</f>
        <v/>
      </c>
      <c r="AC274" s="20">
        <f>IF(AND(E274="空",ISNUMBER(O274),ISNUMBER(S274)),ROUND(O274*(S274-R274)/360*V274*U274,2),0)</f>
        <v>0</v>
      </c>
      <c r="AD274" s="43" t="str">
        <f>IF(N(U274)=0,"",SUMIFS('成交明细'!$L$5:$L$804,'成交明细'!$A$5:$A$804,A274)+AC274)</f>
        <v/>
      </c>
      <c r="AE274" s="44" t="str">
        <f>IF(Y274&lt;&gt;"已平仓","",(SUMIFS('成交明细'!$H$5:$H$804,'成交明细'!$A$5:$A$804,A274,'成交明细'!$D$5:$D$804,"卖")-SUMIFS('成交明细'!$H$5:$H$804,'成交明细'!$A$5:$A$804,A274,'成交明细'!$D$5:$D$804,"买"))*1-AD274)</f>
        <v/>
      </c>
      <c r="AF274" s="45" t="str">
        <f>IF(AND(Y274="已平仓",ISNUMBER(L274)),(SUMIFS('成交明细'!$H$5:$H$804,'成交明细'!$A$5:$A$804,A274,'成交明细'!$D$5:$D$804,"卖")-SUMIFS('成交明细'!$H$5:$H$804,'成交明细'!$A$5:$A$804,A274,'成交明细'!$D$5:$D$804,"买"))*1/L274,"")</f>
        <v/>
      </c>
      <c r="AG274" s="45" t="str">
        <f>IF(AND(Y274="已平仓",ISNUMBER(L274)),AE274/L274,"")</f>
        <v/>
      </c>
      <c r="AH274" s="46" t="str">
        <f>IF(AND(ISNUMBER(V274),ISNUMBER(F274)),IF(E274="空",F274-V274,V274-F274),"")</f>
        <v/>
      </c>
      <c r="AI274" s="46" t="str">
        <f>IF(OR(NOT(ISNUMBER(AE274)),NOT(ISNUMBER(X274))),"",IF(AE274&lt;0,IF(E274="空",X274-G274,G274-X274),IF(NOT(ISNUMBER(H274)),"",IF(E274="空",X274-H274,H274-X274))))</f>
        <v/>
      </c>
      <c r="AJ274" s="32" t="n"/>
      <c r="AK274" s="32" t="n"/>
      <c r="AL274" s="31" t="n"/>
      <c r="AM274" s="45" t="str">
        <f>IF(A274="","",SUM(AG$5:AG274))</f>
        <v/>
      </c>
      <c r="AN274" s="37" t="str">
        <f>IF(A274="","",MAX(0,MAX(AM$5:AM274))-AM274)</f>
        <v/>
      </c>
    </row>
    <row r="275">
      <c r="A275" s="29" t="n"/>
      <c r="B275" s="30" t="n"/>
      <c r="C275" s="31" t="n"/>
      <c r="D275" s="32" t="n"/>
      <c r="E275" s="32" t="n"/>
      <c r="F275" s="33" t="n"/>
      <c r="G275" s="33" t="n"/>
      <c r="H275" s="33" t="n"/>
      <c r="I275" s="34" t="str">
        <f>IF(AND(ISNUMBER(F275),ISNUMBER(G275),ISNUMBER(H275)),IF(OR(AND(E275="多",F275&gt;G275),AND(E275="空",F275&lt;G275)),ABS(H275-F275)/ABS(F275-G275),"止损方向不对"),"")</f>
        <v/>
      </c>
      <c r="J275" s="35" t="str">
        <f>IF(AND(ISNUMBER(F275),ISNUMBER(G275)),IF(F275=G275,"",IF(INT(ROUND('参数'!$C$7/(ABS(F275-G275)*1+2*'参数'!$C$11+N('参数'!$C$14)*F275+N('参数'!$C$15))/1,6))*1&gt;0,INT(ROUND('参数'!$C$7/(ABS(F275-G275)*1+2*'参数'!$C$11+N('参数'!$C$14)*F275+N('参数'!$C$15))/1,6))*1,"预算不足，这笔不做")),"")</f>
        <v/>
      </c>
      <c r="K275" s="36" t="n"/>
      <c r="L275" s="20" t="str">
        <f>IF(AND(ISNUMBER(F275),ISNUMBER(G275),ISNUMBER(K275)),IF(AND(F275&lt;&gt;G275,K275&gt;0),ABS(F275-G275)*K275*1,""),"")</f>
        <v/>
      </c>
      <c r="M275" s="30" t="n"/>
      <c r="N275" s="37" t="str">
        <f>IF(AND(ISNUMBER(L275),ISNUMBER(M275)),IF(E275="空",(G275*(1+'参数'!$C$17)-F275),(F275-G275*(1-'参数'!$C$17)))*K275/L275,"")</f>
        <v/>
      </c>
      <c r="O275" s="38" t="n"/>
      <c r="P275" s="31" t="n"/>
      <c r="Q275" s="32" t="n"/>
      <c r="R275" s="39" t="str">
        <f>IF(N(U275)&gt;0,SUMPRODUCT(LARGE(('成交明细'!$A$5:$A$804=A275)*('成交明细'!$D$5:$D$804=IF(E275="空","卖","买"))*'成交明细'!$B$5:$B$804,COUNTIFS('成交明细'!$A$5:$A$804,A275,'成交明细'!$D$5:$D$804,IF(E275="空","卖","买")))),"")</f>
        <v/>
      </c>
      <c r="S275" s="39" t="str">
        <f>IF(AND(N(U275)&gt;0,N(W275)&gt;=N(U275)),SUMPRODUCT(MAX(('成交明细'!$A$5:$A$804=A275)*('成交明细'!$D$5:$D$804=IF(E275="空","买","卖"))*'成交明细'!$B$5:$B$804)),"")</f>
        <v/>
      </c>
      <c r="T275" s="32" t="n"/>
      <c r="U275" s="35" t="str">
        <f>IF(A275="","",SUMIFS('成交明细'!$F$5:$F$804,'成交明细'!$A$5:$A$804,A275,'成交明细'!$D$5:$D$804,IF(E275="空","卖","买")))</f>
        <v/>
      </c>
      <c r="V275" s="40" t="str">
        <f>IF(N(U275)&gt;0,SUMIFS('成交明细'!$H$5:$H$804,'成交明细'!$A$5:$A$804,A275,'成交明细'!$D$5:$D$804,IF(E275="空","卖","买"))/U275,"")</f>
        <v/>
      </c>
      <c r="W275" s="35" t="str">
        <f>IF(A275="","",SUMIFS('成交明细'!$F$5:$F$804,'成交明细'!$A$5:$A$804,A275,'成交明细'!$D$5:$D$804,IF(E275="空","买","卖")))</f>
        <v/>
      </c>
      <c r="X275" s="40" t="str">
        <f>IF(N(W275)&gt;0,SUMIFS('成交明细'!$H$5:$H$804,'成交明细'!$A$5:$A$804,A275,'成交明细'!$D$5:$D$804,IF(E275="空","买","卖"))/W275,"")</f>
        <v/>
      </c>
      <c r="Y275" s="41" t="str">
        <f>IF(A275="","",IF(Q275&lt;&gt;"已执行",IF(Q275="","未填执行情况",Q275),IF(N(U275)=0,"待录成交",IF(N(W275)&gt;N(U275),"平仓多于开仓",IF(N(W275)&lt;N(U275),"持仓中","已平仓")))))</f>
        <v/>
      </c>
      <c r="Z275" s="41" t="str">
        <f>IF(AND(ISNUMBER(R275),ISNUMBER(S275)),IF(R275=S275,"日内",""),"")</f>
        <v/>
      </c>
      <c r="AA275" s="42" t="str">
        <f>IF(Z275&lt;&gt;"日内","",COUNTIFS($Z$5:$Z$304,"日内",$S$5:$S$304,"&gt;"&amp;WORKDAY(S275,-5),$S$5:$S$304,"&lt;="&amp;S275))</f>
        <v/>
      </c>
      <c r="AB275" s="41" t="str">
        <f>IF(OR(NOT(ISNUMBER(M275)),NOT(ISNUMBER(R275))),"",IF(AND(M275&gt;=R275,OR(NOT(ISNUMBER(S275)),M275&lt;=S275)),"持仓跨财报",""))</f>
        <v/>
      </c>
      <c r="AC275" s="20">
        <f>IF(AND(E275="空",ISNUMBER(O275),ISNUMBER(S275)),ROUND(O275*(S275-R275)/360*V275*U275,2),0)</f>
        <v>0</v>
      </c>
      <c r="AD275" s="43" t="str">
        <f>IF(N(U275)=0,"",SUMIFS('成交明细'!$L$5:$L$804,'成交明细'!$A$5:$A$804,A275)+AC275)</f>
        <v/>
      </c>
      <c r="AE275" s="44" t="str">
        <f>IF(Y275&lt;&gt;"已平仓","",(SUMIFS('成交明细'!$H$5:$H$804,'成交明细'!$A$5:$A$804,A275,'成交明细'!$D$5:$D$804,"卖")-SUMIFS('成交明细'!$H$5:$H$804,'成交明细'!$A$5:$A$804,A275,'成交明细'!$D$5:$D$804,"买"))*1-AD275)</f>
        <v/>
      </c>
      <c r="AF275" s="45" t="str">
        <f>IF(AND(Y275="已平仓",ISNUMBER(L275)),(SUMIFS('成交明细'!$H$5:$H$804,'成交明细'!$A$5:$A$804,A275,'成交明细'!$D$5:$D$804,"卖")-SUMIFS('成交明细'!$H$5:$H$804,'成交明细'!$A$5:$A$804,A275,'成交明细'!$D$5:$D$804,"买"))*1/L275,"")</f>
        <v/>
      </c>
      <c r="AG275" s="45" t="str">
        <f>IF(AND(Y275="已平仓",ISNUMBER(L275)),AE275/L275,"")</f>
        <v/>
      </c>
      <c r="AH275" s="46" t="str">
        <f>IF(AND(ISNUMBER(V275),ISNUMBER(F275)),IF(E275="空",F275-V275,V275-F275),"")</f>
        <v/>
      </c>
      <c r="AI275" s="46" t="str">
        <f>IF(OR(NOT(ISNUMBER(AE275)),NOT(ISNUMBER(X275))),"",IF(AE275&lt;0,IF(E275="空",X275-G275,G275-X275),IF(NOT(ISNUMBER(H275)),"",IF(E275="空",X275-H275,H275-X275))))</f>
        <v/>
      </c>
      <c r="AJ275" s="32" t="n"/>
      <c r="AK275" s="32" t="n"/>
      <c r="AL275" s="31" t="n"/>
      <c r="AM275" s="45" t="str">
        <f>IF(A275="","",SUM(AG$5:AG275))</f>
        <v/>
      </c>
      <c r="AN275" s="37" t="str">
        <f>IF(A275="","",MAX(0,MAX(AM$5:AM275))-AM275)</f>
        <v/>
      </c>
    </row>
    <row r="276">
      <c r="A276" s="29" t="n"/>
      <c r="B276" s="30" t="n"/>
      <c r="C276" s="31" t="n"/>
      <c r="D276" s="32" t="n"/>
      <c r="E276" s="32" t="n"/>
      <c r="F276" s="33" t="n"/>
      <c r="G276" s="33" t="n"/>
      <c r="H276" s="33" t="n"/>
      <c r="I276" s="34" t="str">
        <f>IF(AND(ISNUMBER(F276),ISNUMBER(G276),ISNUMBER(H276)),IF(OR(AND(E276="多",F276&gt;G276),AND(E276="空",F276&lt;G276)),ABS(H276-F276)/ABS(F276-G276),"止损方向不对"),"")</f>
        <v/>
      </c>
      <c r="J276" s="35" t="str">
        <f>IF(AND(ISNUMBER(F276),ISNUMBER(G276)),IF(F276=G276,"",IF(INT(ROUND('参数'!$C$7/(ABS(F276-G276)*1+2*'参数'!$C$11+N('参数'!$C$14)*F276+N('参数'!$C$15))/1,6))*1&gt;0,INT(ROUND('参数'!$C$7/(ABS(F276-G276)*1+2*'参数'!$C$11+N('参数'!$C$14)*F276+N('参数'!$C$15))/1,6))*1,"预算不足，这笔不做")),"")</f>
        <v/>
      </c>
      <c r="K276" s="36" t="n"/>
      <c r="L276" s="20" t="str">
        <f>IF(AND(ISNUMBER(F276),ISNUMBER(G276),ISNUMBER(K276)),IF(AND(F276&lt;&gt;G276,K276&gt;0),ABS(F276-G276)*K276*1,""),"")</f>
        <v/>
      </c>
      <c r="M276" s="30" t="n"/>
      <c r="N276" s="37" t="str">
        <f>IF(AND(ISNUMBER(L276),ISNUMBER(M276)),IF(E276="空",(G276*(1+'参数'!$C$17)-F276),(F276-G276*(1-'参数'!$C$17)))*K276/L276,"")</f>
        <v/>
      </c>
      <c r="O276" s="38" t="n"/>
      <c r="P276" s="31" t="n"/>
      <c r="Q276" s="32" t="n"/>
      <c r="R276" s="39" t="str">
        <f>IF(N(U276)&gt;0,SUMPRODUCT(LARGE(('成交明细'!$A$5:$A$804=A276)*('成交明细'!$D$5:$D$804=IF(E276="空","卖","买"))*'成交明细'!$B$5:$B$804,COUNTIFS('成交明细'!$A$5:$A$804,A276,'成交明细'!$D$5:$D$804,IF(E276="空","卖","买")))),"")</f>
        <v/>
      </c>
      <c r="S276" s="39" t="str">
        <f>IF(AND(N(U276)&gt;0,N(W276)&gt;=N(U276)),SUMPRODUCT(MAX(('成交明细'!$A$5:$A$804=A276)*('成交明细'!$D$5:$D$804=IF(E276="空","买","卖"))*'成交明细'!$B$5:$B$804)),"")</f>
        <v/>
      </c>
      <c r="T276" s="32" t="n"/>
      <c r="U276" s="35" t="str">
        <f>IF(A276="","",SUMIFS('成交明细'!$F$5:$F$804,'成交明细'!$A$5:$A$804,A276,'成交明细'!$D$5:$D$804,IF(E276="空","卖","买")))</f>
        <v/>
      </c>
      <c r="V276" s="40" t="str">
        <f>IF(N(U276)&gt;0,SUMIFS('成交明细'!$H$5:$H$804,'成交明细'!$A$5:$A$804,A276,'成交明细'!$D$5:$D$804,IF(E276="空","卖","买"))/U276,"")</f>
        <v/>
      </c>
      <c r="W276" s="35" t="str">
        <f>IF(A276="","",SUMIFS('成交明细'!$F$5:$F$804,'成交明细'!$A$5:$A$804,A276,'成交明细'!$D$5:$D$804,IF(E276="空","买","卖")))</f>
        <v/>
      </c>
      <c r="X276" s="40" t="str">
        <f>IF(N(W276)&gt;0,SUMIFS('成交明细'!$H$5:$H$804,'成交明细'!$A$5:$A$804,A276,'成交明细'!$D$5:$D$804,IF(E276="空","买","卖"))/W276,"")</f>
        <v/>
      </c>
      <c r="Y276" s="41" t="str">
        <f>IF(A276="","",IF(Q276&lt;&gt;"已执行",IF(Q276="","未填执行情况",Q276),IF(N(U276)=0,"待录成交",IF(N(W276)&gt;N(U276),"平仓多于开仓",IF(N(W276)&lt;N(U276),"持仓中","已平仓")))))</f>
        <v/>
      </c>
      <c r="Z276" s="41" t="str">
        <f>IF(AND(ISNUMBER(R276),ISNUMBER(S276)),IF(R276=S276,"日内",""),"")</f>
        <v/>
      </c>
      <c r="AA276" s="42" t="str">
        <f>IF(Z276&lt;&gt;"日内","",COUNTIFS($Z$5:$Z$304,"日内",$S$5:$S$304,"&gt;"&amp;WORKDAY(S276,-5),$S$5:$S$304,"&lt;="&amp;S276))</f>
        <v/>
      </c>
      <c r="AB276" s="41" t="str">
        <f>IF(OR(NOT(ISNUMBER(M276)),NOT(ISNUMBER(R276))),"",IF(AND(M276&gt;=R276,OR(NOT(ISNUMBER(S276)),M276&lt;=S276)),"持仓跨财报",""))</f>
        <v/>
      </c>
      <c r="AC276" s="20">
        <f>IF(AND(E276="空",ISNUMBER(O276),ISNUMBER(S276)),ROUND(O276*(S276-R276)/360*V276*U276,2),0)</f>
        <v>0</v>
      </c>
      <c r="AD276" s="43" t="str">
        <f>IF(N(U276)=0,"",SUMIFS('成交明细'!$L$5:$L$804,'成交明细'!$A$5:$A$804,A276)+AC276)</f>
        <v/>
      </c>
      <c r="AE276" s="44" t="str">
        <f>IF(Y276&lt;&gt;"已平仓","",(SUMIFS('成交明细'!$H$5:$H$804,'成交明细'!$A$5:$A$804,A276,'成交明细'!$D$5:$D$804,"卖")-SUMIFS('成交明细'!$H$5:$H$804,'成交明细'!$A$5:$A$804,A276,'成交明细'!$D$5:$D$804,"买"))*1-AD276)</f>
        <v/>
      </c>
      <c r="AF276" s="45" t="str">
        <f>IF(AND(Y276="已平仓",ISNUMBER(L276)),(SUMIFS('成交明细'!$H$5:$H$804,'成交明细'!$A$5:$A$804,A276,'成交明细'!$D$5:$D$804,"卖")-SUMIFS('成交明细'!$H$5:$H$804,'成交明细'!$A$5:$A$804,A276,'成交明细'!$D$5:$D$804,"买"))*1/L276,"")</f>
        <v/>
      </c>
      <c r="AG276" s="45" t="str">
        <f>IF(AND(Y276="已平仓",ISNUMBER(L276)),AE276/L276,"")</f>
        <v/>
      </c>
      <c r="AH276" s="46" t="str">
        <f>IF(AND(ISNUMBER(V276),ISNUMBER(F276)),IF(E276="空",F276-V276,V276-F276),"")</f>
        <v/>
      </c>
      <c r="AI276" s="46" t="str">
        <f>IF(OR(NOT(ISNUMBER(AE276)),NOT(ISNUMBER(X276))),"",IF(AE276&lt;0,IF(E276="空",X276-G276,G276-X276),IF(NOT(ISNUMBER(H276)),"",IF(E276="空",X276-H276,H276-X276))))</f>
        <v/>
      </c>
      <c r="AJ276" s="32" t="n"/>
      <c r="AK276" s="32" t="n"/>
      <c r="AL276" s="31" t="n"/>
      <c r="AM276" s="45" t="str">
        <f>IF(A276="","",SUM(AG$5:AG276))</f>
        <v/>
      </c>
      <c r="AN276" s="37" t="str">
        <f>IF(A276="","",MAX(0,MAX(AM$5:AM276))-AM276)</f>
        <v/>
      </c>
    </row>
    <row r="277">
      <c r="A277" s="29" t="n"/>
      <c r="B277" s="30" t="n"/>
      <c r="C277" s="31" t="n"/>
      <c r="D277" s="32" t="n"/>
      <c r="E277" s="32" t="n"/>
      <c r="F277" s="33" t="n"/>
      <c r="G277" s="33" t="n"/>
      <c r="H277" s="33" t="n"/>
      <c r="I277" s="34" t="str">
        <f>IF(AND(ISNUMBER(F277),ISNUMBER(G277),ISNUMBER(H277)),IF(OR(AND(E277="多",F277&gt;G277),AND(E277="空",F277&lt;G277)),ABS(H277-F277)/ABS(F277-G277),"止损方向不对"),"")</f>
        <v/>
      </c>
      <c r="J277" s="35" t="str">
        <f>IF(AND(ISNUMBER(F277),ISNUMBER(G277)),IF(F277=G277,"",IF(INT(ROUND('参数'!$C$7/(ABS(F277-G277)*1+2*'参数'!$C$11+N('参数'!$C$14)*F277+N('参数'!$C$15))/1,6))*1&gt;0,INT(ROUND('参数'!$C$7/(ABS(F277-G277)*1+2*'参数'!$C$11+N('参数'!$C$14)*F277+N('参数'!$C$15))/1,6))*1,"预算不足，这笔不做")),"")</f>
        <v/>
      </c>
      <c r="K277" s="36" t="n"/>
      <c r="L277" s="20" t="str">
        <f>IF(AND(ISNUMBER(F277),ISNUMBER(G277),ISNUMBER(K277)),IF(AND(F277&lt;&gt;G277,K277&gt;0),ABS(F277-G277)*K277*1,""),"")</f>
        <v/>
      </c>
      <c r="M277" s="30" t="n"/>
      <c r="N277" s="37" t="str">
        <f>IF(AND(ISNUMBER(L277),ISNUMBER(M277)),IF(E277="空",(G277*(1+'参数'!$C$17)-F277),(F277-G277*(1-'参数'!$C$17)))*K277/L277,"")</f>
        <v/>
      </c>
      <c r="O277" s="38" t="n"/>
      <c r="P277" s="31" t="n"/>
      <c r="Q277" s="32" t="n"/>
      <c r="R277" s="39" t="str">
        <f>IF(N(U277)&gt;0,SUMPRODUCT(LARGE(('成交明细'!$A$5:$A$804=A277)*('成交明细'!$D$5:$D$804=IF(E277="空","卖","买"))*'成交明细'!$B$5:$B$804,COUNTIFS('成交明细'!$A$5:$A$804,A277,'成交明细'!$D$5:$D$804,IF(E277="空","卖","买")))),"")</f>
        <v/>
      </c>
      <c r="S277" s="39" t="str">
        <f>IF(AND(N(U277)&gt;0,N(W277)&gt;=N(U277)),SUMPRODUCT(MAX(('成交明细'!$A$5:$A$804=A277)*('成交明细'!$D$5:$D$804=IF(E277="空","买","卖"))*'成交明细'!$B$5:$B$804)),"")</f>
        <v/>
      </c>
      <c r="T277" s="32" t="n"/>
      <c r="U277" s="35" t="str">
        <f>IF(A277="","",SUMIFS('成交明细'!$F$5:$F$804,'成交明细'!$A$5:$A$804,A277,'成交明细'!$D$5:$D$804,IF(E277="空","卖","买")))</f>
        <v/>
      </c>
      <c r="V277" s="40" t="str">
        <f>IF(N(U277)&gt;0,SUMIFS('成交明细'!$H$5:$H$804,'成交明细'!$A$5:$A$804,A277,'成交明细'!$D$5:$D$804,IF(E277="空","卖","买"))/U277,"")</f>
        <v/>
      </c>
      <c r="W277" s="35" t="str">
        <f>IF(A277="","",SUMIFS('成交明细'!$F$5:$F$804,'成交明细'!$A$5:$A$804,A277,'成交明细'!$D$5:$D$804,IF(E277="空","买","卖")))</f>
        <v/>
      </c>
      <c r="X277" s="40" t="str">
        <f>IF(N(W277)&gt;0,SUMIFS('成交明细'!$H$5:$H$804,'成交明细'!$A$5:$A$804,A277,'成交明细'!$D$5:$D$804,IF(E277="空","买","卖"))/W277,"")</f>
        <v/>
      </c>
      <c r="Y277" s="41" t="str">
        <f>IF(A277="","",IF(Q277&lt;&gt;"已执行",IF(Q277="","未填执行情况",Q277),IF(N(U277)=0,"待录成交",IF(N(W277)&gt;N(U277),"平仓多于开仓",IF(N(W277)&lt;N(U277),"持仓中","已平仓")))))</f>
        <v/>
      </c>
      <c r="Z277" s="41" t="str">
        <f>IF(AND(ISNUMBER(R277),ISNUMBER(S277)),IF(R277=S277,"日内",""),"")</f>
        <v/>
      </c>
      <c r="AA277" s="42" t="str">
        <f>IF(Z277&lt;&gt;"日内","",COUNTIFS($Z$5:$Z$304,"日内",$S$5:$S$304,"&gt;"&amp;WORKDAY(S277,-5),$S$5:$S$304,"&lt;="&amp;S277))</f>
        <v/>
      </c>
      <c r="AB277" s="41" t="str">
        <f>IF(OR(NOT(ISNUMBER(M277)),NOT(ISNUMBER(R277))),"",IF(AND(M277&gt;=R277,OR(NOT(ISNUMBER(S277)),M277&lt;=S277)),"持仓跨财报",""))</f>
        <v/>
      </c>
      <c r="AC277" s="20">
        <f>IF(AND(E277="空",ISNUMBER(O277),ISNUMBER(S277)),ROUND(O277*(S277-R277)/360*V277*U277,2),0)</f>
        <v>0</v>
      </c>
      <c r="AD277" s="43" t="str">
        <f>IF(N(U277)=0,"",SUMIFS('成交明细'!$L$5:$L$804,'成交明细'!$A$5:$A$804,A277)+AC277)</f>
        <v/>
      </c>
      <c r="AE277" s="44" t="str">
        <f>IF(Y277&lt;&gt;"已平仓","",(SUMIFS('成交明细'!$H$5:$H$804,'成交明细'!$A$5:$A$804,A277,'成交明细'!$D$5:$D$804,"卖")-SUMIFS('成交明细'!$H$5:$H$804,'成交明细'!$A$5:$A$804,A277,'成交明细'!$D$5:$D$804,"买"))*1-AD277)</f>
        <v/>
      </c>
      <c r="AF277" s="45" t="str">
        <f>IF(AND(Y277="已平仓",ISNUMBER(L277)),(SUMIFS('成交明细'!$H$5:$H$804,'成交明细'!$A$5:$A$804,A277,'成交明细'!$D$5:$D$804,"卖")-SUMIFS('成交明细'!$H$5:$H$804,'成交明细'!$A$5:$A$804,A277,'成交明细'!$D$5:$D$804,"买"))*1/L277,"")</f>
        <v/>
      </c>
      <c r="AG277" s="45" t="str">
        <f>IF(AND(Y277="已平仓",ISNUMBER(L277)),AE277/L277,"")</f>
        <v/>
      </c>
      <c r="AH277" s="46" t="str">
        <f>IF(AND(ISNUMBER(V277),ISNUMBER(F277)),IF(E277="空",F277-V277,V277-F277),"")</f>
        <v/>
      </c>
      <c r="AI277" s="46" t="str">
        <f>IF(OR(NOT(ISNUMBER(AE277)),NOT(ISNUMBER(X277))),"",IF(AE277&lt;0,IF(E277="空",X277-G277,G277-X277),IF(NOT(ISNUMBER(H277)),"",IF(E277="空",X277-H277,H277-X277))))</f>
        <v/>
      </c>
      <c r="AJ277" s="32" t="n"/>
      <c r="AK277" s="32" t="n"/>
      <c r="AL277" s="31" t="n"/>
      <c r="AM277" s="45" t="str">
        <f>IF(A277="","",SUM(AG$5:AG277))</f>
        <v/>
      </c>
      <c r="AN277" s="37" t="str">
        <f>IF(A277="","",MAX(0,MAX(AM$5:AM277))-AM277)</f>
        <v/>
      </c>
    </row>
    <row r="278">
      <c r="A278" s="29" t="n"/>
      <c r="B278" s="30" t="n"/>
      <c r="C278" s="31" t="n"/>
      <c r="D278" s="32" t="n"/>
      <c r="E278" s="32" t="n"/>
      <c r="F278" s="33" t="n"/>
      <c r="G278" s="33" t="n"/>
      <c r="H278" s="33" t="n"/>
      <c r="I278" s="34" t="str">
        <f>IF(AND(ISNUMBER(F278),ISNUMBER(G278),ISNUMBER(H278)),IF(OR(AND(E278="多",F278&gt;G278),AND(E278="空",F278&lt;G278)),ABS(H278-F278)/ABS(F278-G278),"止损方向不对"),"")</f>
        <v/>
      </c>
      <c r="J278" s="35" t="str">
        <f>IF(AND(ISNUMBER(F278),ISNUMBER(G278)),IF(F278=G278,"",IF(INT(ROUND('参数'!$C$7/(ABS(F278-G278)*1+2*'参数'!$C$11+N('参数'!$C$14)*F278+N('参数'!$C$15))/1,6))*1&gt;0,INT(ROUND('参数'!$C$7/(ABS(F278-G278)*1+2*'参数'!$C$11+N('参数'!$C$14)*F278+N('参数'!$C$15))/1,6))*1,"预算不足，这笔不做")),"")</f>
        <v/>
      </c>
      <c r="K278" s="36" t="n"/>
      <c r="L278" s="20" t="str">
        <f>IF(AND(ISNUMBER(F278),ISNUMBER(G278),ISNUMBER(K278)),IF(AND(F278&lt;&gt;G278,K278&gt;0),ABS(F278-G278)*K278*1,""),"")</f>
        <v/>
      </c>
      <c r="M278" s="30" t="n"/>
      <c r="N278" s="37" t="str">
        <f>IF(AND(ISNUMBER(L278),ISNUMBER(M278)),IF(E278="空",(G278*(1+'参数'!$C$17)-F278),(F278-G278*(1-'参数'!$C$17)))*K278/L278,"")</f>
        <v/>
      </c>
      <c r="O278" s="38" t="n"/>
      <c r="P278" s="31" t="n"/>
      <c r="Q278" s="32" t="n"/>
      <c r="R278" s="39" t="str">
        <f>IF(N(U278)&gt;0,SUMPRODUCT(LARGE(('成交明细'!$A$5:$A$804=A278)*('成交明细'!$D$5:$D$804=IF(E278="空","卖","买"))*'成交明细'!$B$5:$B$804,COUNTIFS('成交明细'!$A$5:$A$804,A278,'成交明细'!$D$5:$D$804,IF(E278="空","卖","买")))),"")</f>
        <v/>
      </c>
      <c r="S278" s="39" t="str">
        <f>IF(AND(N(U278)&gt;0,N(W278)&gt;=N(U278)),SUMPRODUCT(MAX(('成交明细'!$A$5:$A$804=A278)*('成交明细'!$D$5:$D$804=IF(E278="空","买","卖"))*'成交明细'!$B$5:$B$804)),"")</f>
        <v/>
      </c>
      <c r="T278" s="32" t="n"/>
      <c r="U278" s="35" t="str">
        <f>IF(A278="","",SUMIFS('成交明细'!$F$5:$F$804,'成交明细'!$A$5:$A$804,A278,'成交明细'!$D$5:$D$804,IF(E278="空","卖","买")))</f>
        <v/>
      </c>
      <c r="V278" s="40" t="str">
        <f>IF(N(U278)&gt;0,SUMIFS('成交明细'!$H$5:$H$804,'成交明细'!$A$5:$A$804,A278,'成交明细'!$D$5:$D$804,IF(E278="空","卖","买"))/U278,"")</f>
        <v/>
      </c>
      <c r="W278" s="35" t="str">
        <f>IF(A278="","",SUMIFS('成交明细'!$F$5:$F$804,'成交明细'!$A$5:$A$804,A278,'成交明细'!$D$5:$D$804,IF(E278="空","买","卖")))</f>
        <v/>
      </c>
      <c r="X278" s="40" t="str">
        <f>IF(N(W278)&gt;0,SUMIFS('成交明细'!$H$5:$H$804,'成交明细'!$A$5:$A$804,A278,'成交明细'!$D$5:$D$804,IF(E278="空","买","卖"))/W278,"")</f>
        <v/>
      </c>
      <c r="Y278" s="41" t="str">
        <f>IF(A278="","",IF(Q278&lt;&gt;"已执行",IF(Q278="","未填执行情况",Q278),IF(N(U278)=0,"待录成交",IF(N(W278)&gt;N(U278),"平仓多于开仓",IF(N(W278)&lt;N(U278),"持仓中","已平仓")))))</f>
        <v/>
      </c>
      <c r="Z278" s="41" t="str">
        <f>IF(AND(ISNUMBER(R278),ISNUMBER(S278)),IF(R278=S278,"日内",""),"")</f>
        <v/>
      </c>
      <c r="AA278" s="42" t="str">
        <f>IF(Z278&lt;&gt;"日内","",COUNTIFS($Z$5:$Z$304,"日内",$S$5:$S$304,"&gt;"&amp;WORKDAY(S278,-5),$S$5:$S$304,"&lt;="&amp;S278))</f>
        <v/>
      </c>
      <c r="AB278" s="41" t="str">
        <f>IF(OR(NOT(ISNUMBER(M278)),NOT(ISNUMBER(R278))),"",IF(AND(M278&gt;=R278,OR(NOT(ISNUMBER(S278)),M278&lt;=S278)),"持仓跨财报",""))</f>
        <v/>
      </c>
      <c r="AC278" s="20">
        <f>IF(AND(E278="空",ISNUMBER(O278),ISNUMBER(S278)),ROUND(O278*(S278-R278)/360*V278*U278,2),0)</f>
        <v>0</v>
      </c>
      <c r="AD278" s="43" t="str">
        <f>IF(N(U278)=0,"",SUMIFS('成交明细'!$L$5:$L$804,'成交明细'!$A$5:$A$804,A278)+AC278)</f>
        <v/>
      </c>
      <c r="AE278" s="44" t="str">
        <f>IF(Y278&lt;&gt;"已平仓","",(SUMIFS('成交明细'!$H$5:$H$804,'成交明细'!$A$5:$A$804,A278,'成交明细'!$D$5:$D$804,"卖")-SUMIFS('成交明细'!$H$5:$H$804,'成交明细'!$A$5:$A$804,A278,'成交明细'!$D$5:$D$804,"买"))*1-AD278)</f>
        <v/>
      </c>
      <c r="AF278" s="45" t="str">
        <f>IF(AND(Y278="已平仓",ISNUMBER(L278)),(SUMIFS('成交明细'!$H$5:$H$804,'成交明细'!$A$5:$A$804,A278,'成交明细'!$D$5:$D$804,"卖")-SUMIFS('成交明细'!$H$5:$H$804,'成交明细'!$A$5:$A$804,A278,'成交明细'!$D$5:$D$804,"买"))*1/L278,"")</f>
        <v/>
      </c>
      <c r="AG278" s="45" t="str">
        <f>IF(AND(Y278="已平仓",ISNUMBER(L278)),AE278/L278,"")</f>
        <v/>
      </c>
      <c r="AH278" s="46" t="str">
        <f>IF(AND(ISNUMBER(V278),ISNUMBER(F278)),IF(E278="空",F278-V278,V278-F278),"")</f>
        <v/>
      </c>
      <c r="AI278" s="46" t="str">
        <f>IF(OR(NOT(ISNUMBER(AE278)),NOT(ISNUMBER(X278))),"",IF(AE278&lt;0,IF(E278="空",X278-G278,G278-X278),IF(NOT(ISNUMBER(H278)),"",IF(E278="空",X278-H278,H278-X278))))</f>
        <v/>
      </c>
      <c r="AJ278" s="32" t="n"/>
      <c r="AK278" s="32" t="n"/>
      <c r="AL278" s="31" t="n"/>
      <c r="AM278" s="45" t="str">
        <f>IF(A278="","",SUM(AG$5:AG278))</f>
        <v/>
      </c>
      <c r="AN278" s="37" t="str">
        <f>IF(A278="","",MAX(0,MAX(AM$5:AM278))-AM278)</f>
        <v/>
      </c>
    </row>
    <row r="279">
      <c r="A279" s="29" t="n"/>
      <c r="B279" s="30" t="n"/>
      <c r="C279" s="31" t="n"/>
      <c r="D279" s="32" t="n"/>
      <c r="E279" s="32" t="n"/>
      <c r="F279" s="33" t="n"/>
      <c r="G279" s="33" t="n"/>
      <c r="H279" s="33" t="n"/>
      <c r="I279" s="34" t="str">
        <f>IF(AND(ISNUMBER(F279),ISNUMBER(G279),ISNUMBER(H279)),IF(OR(AND(E279="多",F279&gt;G279),AND(E279="空",F279&lt;G279)),ABS(H279-F279)/ABS(F279-G279),"止损方向不对"),"")</f>
        <v/>
      </c>
      <c r="J279" s="35" t="str">
        <f>IF(AND(ISNUMBER(F279),ISNUMBER(G279)),IF(F279=G279,"",IF(INT(ROUND('参数'!$C$7/(ABS(F279-G279)*1+2*'参数'!$C$11+N('参数'!$C$14)*F279+N('参数'!$C$15))/1,6))*1&gt;0,INT(ROUND('参数'!$C$7/(ABS(F279-G279)*1+2*'参数'!$C$11+N('参数'!$C$14)*F279+N('参数'!$C$15))/1,6))*1,"预算不足，这笔不做")),"")</f>
        <v/>
      </c>
      <c r="K279" s="36" t="n"/>
      <c r="L279" s="20" t="str">
        <f>IF(AND(ISNUMBER(F279),ISNUMBER(G279),ISNUMBER(K279)),IF(AND(F279&lt;&gt;G279,K279&gt;0),ABS(F279-G279)*K279*1,""),"")</f>
        <v/>
      </c>
      <c r="M279" s="30" t="n"/>
      <c r="N279" s="37" t="str">
        <f>IF(AND(ISNUMBER(L279),ISNUMBER(M279)),IF(E279="空",(G279*(1+'参数'!$C$17)-F279),(F279-G279*(1-'参数'!$C$17)))*K279/L279,"")</f>
        <v/>
      </c>
      <c r="O279" s="38" t="n"/>
      <c r="P279" s="31" t="n"/>
      <c r="Q279" s="32" t="n"/>
      <c r="R279" s="39" t="str">
        <f>IF(N(U279)&gt;0,SUMPRODUCT(LARGE(('成交明细'!$A$5:$A$804=A279)*('成交明细'!$D$5:$D$804=IF(E279="空","卖","买"))*'成交明细'!$B$5:$B$804,COUNTIFS('成交明细'!$A$5:$A$804,A279,'成交明细'!$D$5:$D$804,IF(E279="空","卖","买")))),"")</f>
        <v/>
      </c>
      <c r="S279" s="39" t="str">
        <f>IF(AND(N(U279)&gt;0,N(W279)&gt;=N(U279)),SUMPRODUCT(MAX(('成交明细'!$A$5:$A$804=A279)*('成交明细'!$D$5:$D$804=IF(E279="空","买","卖"))*'成交明细'!$B$5:$B$804)),"")</f>
        <v/>
      </c>
      <c r="T279" s="32" t="n"/>
      <c r="U279" s="35" t="str">
        <f>IF(A279="","",SUMIFS('成交明细'!$F$5:$F$804,'成交明细'!$A$5:$A$804,A279,'成交明细'!$D$5:$D$804,IF(E279="空","卖","买")))</f>
        <v/>
      </c>
      <c r="V279" s="40" t="str">
        <f>IF(N(U279)&gt;0,SUMIFS('成交明细'!$H$5:$H$804,'成交明细'!$A$5:$A$804,A279,'成交明细'!$D$5:$D$804,IF(E279="空","卖","买"))/U279,"")</f>
        <v/>
      </c>
      <c r="W279" s="35" t="str">
        <f>IF(A279="","",SUMIFS('成交明细'!$F$5:$F$804,'成交明细'!$A$5:$A$804,A279,'成交明细'!$D$5:$D$804,IF(E279="空","买","卖")))</f>
        <v/>
      </c>
      <c r="X279" s="40" t="str">
        <f>IF(N(W279)&gt;0,SUMIFS('成交明细'!$H$5:$H$804,'成交明细'!$A$5:$A$804,A279,'成交明细'!$D$5:$D$804,IF(E279="空","买","卖"))/W279,"")</f>
        <v/>
      </c>
      <c r="Y279" s="41" t="str">
        <f>IF(A279="","",IF(Q279&lt;&gt;"已执行",IF(Q279="","未填执行情况",Q279),IF(N(U279)=0,"待录成交",IF(N(W279)&gt;N(U279),"平仓多于开仓",IF(N(W279)&lt;N(U279),"持仓中","已平仓")))))</f>
        <v/>
      </c>
      <c r="Z279" s="41" t="str">
        <f>IF(AND(ISNUMBER(R279),ISNUMBER(S279)),IF(R279=S279,"日内",""),"")</f>
        <v/>
      </c>
      <c r="AA279" s="42" t="str">
        <f>IF(Z279&lt;&gt;"日内","",COUNTIFS($Z$5:$Z$304,"日内",$S$5:$S$304,"&gt;"&amp;WORKDAY(S279,-5),$S$5:$S$304,"&lt;="&amp;S279))</f>
        <v/>
      </c>
      <c r="AB279" s="41" t="str">
        <f>IF(OR(NOT(ISNUMBER(M279)),NOT(ISNUMBER(R279))),"",IF(AND(M279&gt;=R279,OR(NOT(ISNUMBER(S279)),M279&lt;=S279)),"持仓跨财报",""))</f>
        <v/>
      </c>
      <c r="AC279" s="20">
        <f>IF(AND(E279="空",ISNUMBER(O279),ISNUMBER(S279)),ROUND(O279*(S279-R279)/360*V279*U279,2),0)</f>
        <v>0</v>
      </c>
      <c r="AD279" s="43" t="str">
        <f>IF(N(U279)=0,"",SUMIFS('成交明细'!$L$5:$L$804,'成交明细'!$A$5:$A$804,A279)+AC279)</f>
        <v/>
      </c>
      <c r="AE279" s="44" t="str">
        <f>IF(Y279&lt;&gt;"已平仓","",(SUMIFS('成交明细'!$H$5:$H$804,'成交明细'!$A$5:$A$804,A279,'成交明细'!$D$5:$D$804,"卖")-SUMIFS('成交明细'!$H$5:$H$804,'成交明细'!$A$5:$A$804,A279,'成交明细'!$D$5:$D$804,"买"))*1-AD279)</f>
        <v/>
      </c>
      <c r="AF279" s="45" t="str">
        <f>IF(AND(Y279="已平仓",ISNUMBER(L279)),(SUMIFS('成交明细'!$H$5:$H$804,'成交明细'!$A$5:$A$804,A279,'成交明细'!$D$5:$D$804,"卖")-SUMIFS('成交明细'!$H$5:$H$804,'成交明细'!$A$5:$A$804,A279,'成交明细'!$D$5:$D$804,"买"))*1/L279,"")</f>
        <v/>
      </c>
      <c r="AG279" s="45" t="str">
        <f>IF(AND(Y279="已平仓",ISNUMBER(L279)),AE279/L279,"")</f>
        <v/>
      </c>
      <c r="AH279" s="46" t="str">
        <f>IF(AND(ISNUMBER(V279),ISNUMBER(F279)),IF(E279="空",F279-V279,V279-F279),"")</f>
        <v/>
      </c>
      <c r="AI279" s="46" t="str">
        <f>IF(OR(NOT(ISNUMBER(AE279)),NOT(ISNUMBER(X279))),"",IF(AE279&lt;0,IF(E279="空",X279-G279,G279-X279),IF(NOT(ISNUMBER(H279)),"",IF(E279="空",X279-H279,H279-X279))))</f>
        <v/>
      </c>
      <c r="AJ279" s="32" t="n"/>
      <c r="AK279" s="32" t="n"/>
      <c r="AL279" s="31" t="n"/>
      <c r="AM279" s="45" t="str">
        <f>IF(A279="","",SUM(AG$5:AG279))</f>
        <v/>
      </c>
      <c r="AN279" s="37" t="str">
        <f>IF(A279="","",MAX(0,MAX(AM$5:AM279))-AM279)</f>
        <v/>
      </c>
    </row>
    <row r="280">
      <c r="A280" s="29" t="n"/>
      <c r="B280" s="30" t="n"/>
      <c r="C280" s="31" t="n"/>
      <c r="D280" s="32" t="n"/>
      <c r="E280" s="32" t="n"/>
      <c r="F280" s="33" t="n"/>
      <c r="G280" s="33" t="n"/>
      <c r="H280" s="33" t="n"/>
      <c r="I280" s="34" t="str">
        <f>IF(AND(ISNUMBER(F280),ISNUMBER(G280),ISNUMBER(H280)),IF(OR(AND(E280="多",F280&gt;G280),AND(E280="空",F280&lt;G280)),ABS(H280-F280)/ABS(F280-G280),"止损方向不对"),"")</f>
        <v/>
      </c>
      <c r="J280" s="35" t="str">
        <f>IF(AND(ISNUMBER(F280),ISNUMBER(G280)),IF(F280=G280,"",IF(INT(ROUND('参数'!$C$7/(ABS(F280-G280)*1+2*'参数'!$C$11+N('参数'!$C$14)*F280+N('参数'!$C$15))/1,6))*1&gt;0,INT(ROUND('参数'!$C$7/(ABS(F280-G280)*1+2*'参数'!$C$11+N('参数'!$C$14)*F280+N('参数'!$C$15))/1,6))*1,"预算不足，这笔不做")),"")</f>
        <v/>
      </c>
      <c r="K280" s="36" t="n"/>
      <c r="L280" s="20" t="str">
        <f>IF(AND(ISNUMBER(F280),ISNUMBER(G280),ISNUMBER(K280)),IF(AND(F280&lt;&gt;G280,K280&gt;0),ABS(F280-G280)*K280*1,""),"")</f>
        <v/>
      </c>
      <c r="M280" s="30" t="n"/>
      <c r="N280" s="37" t="str">
        <f>IF(AND(ISNUMBER(L280),ISNUMBER(M280)),IF(E280="空",(G280*(1+'参数'!$C$17)-F280),(F280-G280*(1-'参数'!$C$17)))*K280/L280,"")</f>
        <v/>
      </c>
      <c r="O280" s="38" t="n"/>
      <c r="P280" s="31" t="n"/>
      <c r="Q280" s="32" t="n"/>
      <c r="R280" s="39" t="str">
        <f>IF(N(U280)&gt;0,SUMPRODUCT(LARGE(('成交明细'!$A$5:$A$804=A280)*('成交明细'!$D$5:$D$804=IF(E280="空","卖","买"))*'成交明细'!$B$5:$B$804,COUNTIFS('成交明细'!$A$5:$A$804,A280,'成交明细'!$D$5:$D$804,IF(E280="空","卖","买")))),"")</f>
        <v/>
      </c>
      <c r="S280" s="39" t="str">
        <f>IF(AND(N(U280)&gt;0,N(W280)&gt;=N(U280)),SUMPRODUCT(MAX(('成交明细'!$A$5:$A$804=A280)*('成交明细'!$D$5:$D$804=IF(E280="空","买","卖"))*'成交明细'!$B$5:$B$804)),"")</f>
        <v/>
      </c>
      <c r="T280" s="32" t="n"/>
      <c r="U280" s="35" t="str">
        <f>IF(A280="","",SUMIFS('成交明细'!$F$5:$F$804,'成交明细'!$A$5:$A$804,A280,'成交明细'!$D$5:$D$804,IF(E280="空","卖","买")))</f>
        <v/>
      </c>
      <c r="V280" s="40" t="str">
        <f>IF(N(U280)&gt;0,SUMIFS('成交明细'!$H$5:$H$804,'成交明细'!$A$5:$A$804,A280,'成交明细'!$D$5:$D$804,IF(E280="空","卖","买"))/U280,"")</f>
        <v/>
      </c>
      <c r="W280" s="35" t="str">
        <f>IF(A280="","",SUMIFS('成交明细'!$F$5:$F$804,'成交明细'!$A$5:$A$804,A280,'成交明细'!$D$5:$D$804,IF(E280="空","买","卖")))</f>
        <v/>
      </c>
      <c r="X280" s="40" t="str">
        <f>IF(N(W280)&gt;0,SUMIFS('成交明细'!$H$5:$H$804,'成交明细'!$A$5:$A$804,A280,'成交明细'!$D$5:$D$804,IF(E280="空","买","卖"))/W280,"")</f>
        <v/>
      </c>
      <c r="Y280" s="41" t="str">
        <f>IF(A280="","",IF(Q280&lt;&gt;"已执行",IF(Q280="","未填执行情况",Q280),IF(N(U280)=0,"待录成交",IF(N(W280)&gt;N(U280),"平仓多于开仓",IF(N(W280)&lt;N(U280),"持仓中","已平仓")))))</f>
        <v/>
      </c>
      <c r="Z280" s="41" t="str">
        <f>IF(AND(ISNUMBER(R280),ISNUMBER(S280)),IF(R280=S280,"日内",""),"")</f>
        <v/>
      </c>
      <c r="AA280" s="42" t="str">
        <f>IF(Z280&lt;&gt;"日内","",COUNTIFS($Z$5:$Z$304,"日内",$S$5:$S$304,"&gt;"&amp;WORKDAY(S280,-5),$S$5:$S$304,"&lt;="&amp;S280))</f>
        <v/>
      </c>
      <c r="AB280" s="41" t="str">
        <f>IF(OR(NOT(ISNUMBER(M280)),NOT(ISNUMBER(R280))),"",IF(AND(M280&gt;=R280,OR(NOT(ISNUMBER(S280)),M280&lt;=S280)),"持仓跨财报",""))</f>
        <v/>
      </c>
      <c r="AC280" s="20">
        <f>IF(AND(E280="空",ISNUMBER(O280),ISNUMBER(S280)),ROUND(O280*(S280-R280)/360*V280*U280,2),0)</f>
        <v>0</v>
      </c>
      <c r="AD280" s="43" t="str">
        <f>IF(N(U280)=0,"",SUMIFS('成交明细'!$L$5:$L$804,'成交明细'!$A$5:$A$804,A280)+AC280)</f>
        <v/>
      </c>
      <c r="AE280" s="44" t="str">
        <f>IF(Y280&lt;&gt;"已平仓","",(SUMIFS('成交明细'!$H$5:$H$804,'成交明细'!$A$5:$A$804,A280,'成交明细'!$D$5:$D$804,"卖")-SUMIFS('成交明细'!$H$5:$H$804,'成交明细'!$A$5:$A$804,A280,'成交明细'!$D$5:$D$804,"买"))*1-AD280)</f>
        <v/>
      </c>
      <c r="AF280" s="45" t="str">
        <f>IF(AND(Y280="已平仓",ISNUMBER(L280)),(SUMIFS('成交明细'!$H$5:$H$804,'成交明细'!$A$5:$A$804,A280,'成交明细'!$D$5:$D$804,"卖")-SUMIFS('成交明细'!$H$5:$H$804,'成交明细'!$A$5:$A$804,A280,'成交明细'!$D$5:$D$804,"买"))*1/L280,"")</f>
        <v/>
      </c>
      <c r="AG280" s="45" t="str">
        <f>IF(AND(Y280="已平仓",ISNUMBER(L280)),AE280/L280,"")</f>
        <v/>
      </c>
      <c r="AH280" s="46" t="str">
        <f>IF(AND(ISNUMBER(V280),ISNUMBER(F280)),IF(E280="空",F280-V280,V280-F280),"")</f>
        <v/>
      </c>
      <c r="AI280" s="46" t="str">
        <f>IF(OR(NOT(ISNUMBER(AE280)),NOT(ISNUMBER(X280))),"",IF(AE280&lt;0,IF(E280="空",X280-G280,G280-X280),IF(NOT(ISNUMBER(H280)),"",IF(E280="空",X280-H280,H280-X280))))</f>
        <v/>
      </c>
      <c r="AJ280" s="32" t="n"/>
      <c r="AK280" s="32" t="n"/>
      <c r="AL280" s="31" t="n"/>
      <c r="AM280" s="45" t="str">
        <f>IF(A280="","",SUM(AG$5:AG280))</f>
        <v/>
      </c>
      <c r="AN280" s="37" t="str">
        <f>IF(A280="","",MAX(0,MAX(AM$5:AM280))-AM280)</f>
        <v/>
      </c>
    </row>
    <row r="281">
      <c r="A281" s="29" t="n"/>
      <c r="B281" s="30" t="n"/>
      <c r="C281" s="31" t="n"/>
      <c r="D281" s="32" t="n"/>
      <c r="E281" s="32" t="n"/>
      <c r="F281" s="33" t="n"/>
      <c r="G281" s="33" t="n"/>
      <c r="H281" s="33" t="n"/>
      <c r="I281" s="34" t="str">
        <f>IF(AND(ISNUMBER(F281),ISNUMBER(G281),ISNUMBER(H281)),IF(OR(AND(E281="多",F281&gt;G281),AND(E281="空",F281&lt;G281)),ABS(H281-F281)/ABS(F281-G281),"止损方向不对"),"")</f>
        <v/>
      </c>
      <c r="J281" s="35" t="str">
        <f>IF(AND(ISNUMBER(F281),ISNUMBER(G281)),IF(F281=G281,"",IF(INT(ROUND('参数'!$C$7/(ABS(F281-G281)*1+2*'参数'!$C$11+N('参数'!$C$14)*F281+N('参数'!$C$15))/1,6))*1&gt;0,INT(ROUND('参数'!$C$7/(ABS(F281-G281)*1+2*'参数'!$C$11+N('参数'!$C$14)*F281+N('参数'!$C$15))/1,6))*1,"预算不足，这笔不做")),"")</f>
        <v/>
      </c>
      <c r="K281" s="36" t="n"/>
      <c r="L281" s="20" t="str">
        <f>IF(AND(ISNUMBER(F281),ISNUMBER(G281),ISNUMBER(K281)),IF(AND(F281&lt;&gt;G281,K281&gt;0),ABS(F281-G281)*K281*1,""),"")</f>
        <v/>
      </c>
      <c r="M281" s="30" t="n"/>
      <c r="N281" s="37" t="str">
        <f>IF(AND(ISNUMBER(L281),ISNUMBER(M281)),IF(E281="空",(G281*(1+'参数'!$C$17)-F281),(F281-G281*(1-'参数'!$C$17)))*K281/L281,"")</f>
        <v/>
      </c>
      <c r="O281" s="38" t="n"/>
      <c r="P281" s="31" t="n"/>
      <c r="Q281" s="32" t="n"/>
      <c r="R281" s="39" t="str">
        <f>IF(N(U281)&gt;0,SUMPRODUCT(LARGE(('成交明细'!$A$5:$A$804=A281)*('成交明细'!$D$5:$D$804=IF(E281="空","卖","买"))*'成交明细'!$B$5:$B$804,COUNTIFS('成交明细'!$A$5:$A$804,A281,'成交明细'!$D$5:$D$804,IF(E281="空","卖","买")))),"")</f>
        <v/>
      </c>
      <c r="S281" s="39" t="str">
        <f>IF(AND(N(U281)&gt;0,N(W281)&gt;=N(U281)),SUMPRODUCT(MAX(('成交明细'!$A$5:$A$804=A281)*('成交明细'!$D$5:$D$804=IF(E281="空","买","卖"))*'成交明细'!$B$5:$B$804)),"")</f>
        <v/>
      </c>
      <c r="T281" s="32" t="n"/>
      <c r="U281" s="35" t="str">
        <f>IF(A281="","",SUMIFS('成交明细'!$F$5:$F$804,'成交明细'!$A$5:$A$804,A281,'成交明细'!$D$5:$D$804,IF(E281="空","卖","买")))</f>
        <v/>
      </c>
      <c r="V281" s="40" t="str">
        <f>IF(N(U281)&gt;0,SUMIFS('成交明细'!$H$5:$H$804,'成交明细'!$A$5:$A$804,A281,'成交明细'!$D$5:$D$804,IF(E281="空","卖","买"))/U281,"")</f>
        <v/>
      </c>
      <c r="W281" s="35" t="str">
        <f>IF(A281="","",SUMIFS('成交明细'!$F$5:$F$804,'成交明细'!$A$5:$A$804,A281,'成交明细'!$D$5:$D$804,IF(E281="空","买","卖")))</f>
        <v/>
      </c>
      <c r="X281" s="40" t="str">
        <f>IF(N(W281)&gt;0,SUMIFS('成交明细'!$H$5:$H$804,'成交明细'!$A$5:$A$804,A281,'成交明细'!$D$5:$D$804,IF(E281="空","买","卖"))/W281,"")</f>
        <v/>
      </c>
      <c r="Y281" s="41" t="str">
        <f>IF(A281="","",IF(Q281&lt;&gt;"已执行",IF(Q281="","未填执行情况",Q281),IF(N(U281)=0,"待录成交",IF(N(W281)&gt;N(U281),"平仓多于开仓",IF(N(W281)&lt;N(U281),"持仓中","已平仓")))))</f>
        <v/>
      </c>
      <c r="Z281" s="41" t="str">
        <f>IF(AND(ISNUMBER(R281),ISNUMBER(S281)),IF(R281=S281,"日内",""),"")</f>
        <v/>
      </c>
      <c r="AA281" s="42" t="str">
        <f>IF(Z281&lt;&gt;"日内","",COUNTIFS($Z$5:$Z$304,"日内",$S$5:$S$304,"&gt;"&amp;WORKDAY(S281,-5),$S$5:$S$304,"&lt;="&amp;S281))</f>
        <v/>
      </c>
      <c r="AB281" s="41" t="str">
        <f>IF(OR(NOT(ISNUMBER(M281)),NOT(ISNUMBER(R281))),"",IF(AND(M281&gt;=R281,OR(NOT(ISNUMBER(S281)),M281&lt;=S281)),"持仓跨财报",""))</f>
        <v/>
      </c>
      <c r="AC281" s="20">
        <f>IF(AND(E281="空",ISNUMBER(O281),ISNUMBER(S281)),ROUND(O281*(S281-R281)/360*V281*U281,2),0)</f>
        <v>0</v>
      </c>
      <c r="AD281" s="43" t="str">
        <f>IF(N(U281)=0,"",SUMIFS('成交明细'!$L$5:$L$804,'成交明细'!$A$5:$A$804,A281)+AC281)</f>
        <v/>
      </c>
      <c r="AE281" s="44" t="str">
        <f>IF(Y281&lt;&gt;"已平仓","",(SUMIFS('成交明细'!$H$5:$H$804,'成交明细'!$A$5:$A$804,A281,'成交明细'!$D$5:$D$804,"卖")-SUMIFS('成交明细'!$H$5:$H$804,'成交明细'!$A$5:$A$804,A281,'成交明细'!$D$5:$D$804,"买"))*1-AD281)</f>
        <v/>
      </c>
      <c r="AF281" s="45" t="str">
        <f>IF(AND(Y281="已平仓",ISNUMBER(L281)),(SUMIFS('成交明细'!$H$5:$H$804,'成交明细'!$A$5:$A$804,A281,'成交明细'!$D$5:$D$804,"卖")-SUMIFS('成交明细'!$H$5:$H$804,'成交明细'!$A$5:$A$804,A281,'成交明细'!$D$5:$D$804,"买"))*1/L281,"")</f>
        <v/>
      </c>
      <c r="AG281" s="45" t="str">
        <f>IF(AND(Y281="已平仓",ISNUMBER(L281)),AE281/L281,"")</f>
        <v/>
      </c>
      <c r="AH281" s="46" t="str">
        <f>IF(AND(ISNUMBER(V281),ISNUMBER(F281)),IF(E281="空",F281-V281,V281-F281),"")</f>
        <v/>
      </c>
      <c r="AI281" s="46" t="str">
        <f>IF(OR(NOT(ISNUMBER(AE281)),NOT(ISNUMBER(X281))),"",IF(AE281&lt;0,IF(E281="空",X281-G281,G281-X281),IF(NOT(ISNUMBER(H281)),"",IF(E281="空",X281-H281,H281-X281))))</f>
        <v/>
      </c>
      <c r="AJ281" s="32" t="n"/>
      <c r="AK281" s="32" t="n"/>
      <c r="AL281" s="31" t="n"/>
      <c r="AM281" s="45" t="str">
        <f>IF(A281="","",SUM(AG$5:AG281))</f>
        <v/>
      </c>
      <c r="AN281" s="37" t="str">
        <f>IF(A281="","",MAX(0,MAX(AM$5:AM281))-AM281)</f>
        <v/>
      </c>
    </row>
    <row r="282">
      <c r="A282" s="29" t="n"/>
      <c r="B282" s="30" t="n"/>
      <c r="C282" s="31" t="n"/>
      <c r="D282" s="32" t="n"/>
      <c r="E282" s="32" t="n"/>
      <c r="F282" s="33" t="n"/>
      <c r="G282" s="33" t="n"/>
      <c r="H282" s="33" t="n"/>
      <c r="I282" s="34" t="str">
        <f>IF(AND(ISNUMBER(F282),ISNUMBER(G282),ISNUMBER(H282)),IF(OR(AND(E282="多",F282&gt;G282),AND(E282="空",F282&lt;G282)),ABS(H282-F282)/ABS(F282-G282),"止损方向不对"),"")</f>
        <v/>
      </c>
      <c r="J282" s="35" t="str">
        <f>IF(AND(ISNUMBER(F282),ISNUMBER(G282)),IF(F282=G282,"",IF(INT(ROUND('参数'!$C$7/(ABS(F282-G282)*1+2*'参数'!$C$11+N('参数'!$C$14)*F282+N('参数'!$C$15))/1,6))*1&gt;0,INT(ROUND('参数'!$C$7/(ABS(F282-G282)*1+2*'参数'!$C$11+N('参数'!$C$14)*F282+N('参数'!$C$15))/1,6))*1,"预算不足，这笔不做")),"")</f>
        <v/>
      </c>
      <c r="K282" s="36" t="n"/>
      <c r="L282" s="20" t="str">
        <f>IF(AND(ISNUMBER(F282),ISNUMBER(G282),ISNUMBER(K282)),IF(AND(F282&lt;&gt;G282,K282&gt;0),ABS(F282-G282)*K282*1,""),"")</f>
        <v/>
      </c>
      <c r="M282" s="30" t="n"/>
      <c r="N282" s="37" t="str">
        <f>IF(AND(ISNUMBER(L282),ISNUMBER(M282)),IF(E282="空",(G282*(1+'参数'!$C$17)-F282),(F282-G282*(1-'参数'!$C$17)))*K282/L282,"")</f>
        <v/>
      </c>
      <c r="O282" s="38" t="n"/>
      <c r="P282" s="31" t="n"/>
      <c r="Q282" s="32" t="n"/>
      <c r="R282" s="39" t="str">
        <f>IF(N(U282)&gt;0,SUMPRODUCT(LARGE(('成交明细'!$A$5:$A$804=A282)*('成交明细'!$D$5:$D$804=IF(E282="空","卖","买"))*'成交明细'!$B$5:$B$804,COUNTIFS('成交明细'!$A$5:$A$804,A282,'成交明细'!$D$5:$D$804,IF(E282="空","卖","买")))),"")</f>
        <v/>
      </c>
      <c r="S282" s="39" t="str">
        <f>IF(AND(N(U282)&gt;0,N(W282)&gt;=N(U282)),SUMPRODUCT(MAX(('成交明细'!$A$5:$A$804=A282)*('成交明细'!$D$5:$D$804=IF(E282="空","买","卖"))*'成交明细'!$B$5:$B$804)),"")</f>
        <v/>
      </c>
      <c r="T282" s="32" t="n"/>
      <c r="U282" s="35" t="str">
        <f>IF(A282="","",SUMIFS('成交明细'!$F$5:$F$804,'成交明细'!$A$5:$A$804,A282,'成交明细'!$D$5:$D$804,IF(E282="空","卖","买")))</f>
        <v/>
      </c>
      <c r="V282" s="40" t="str">
        <f>IF(N(U282)&gt;0,SUMIFS('成交明细'!$H$5:$H$804,'成交明细'!$A$5:$A$804,A282,'成交明细'!$D$5:$D$804,IF(E282="空","卖","买"))/U282,"")</f>
        <v/>
      </c>
      <c r="W282" s="35" t="str">
        <f>IF(A282="","",SUMIFS('成交明细'!$F$5:$F$804,'成交明细'!$A$5:$A$804,A282,'成交明细'!$D$5:$D$804,IF(E282="空","买","卖")))</f>
        <v/>
      </c>
      <c r="X282" s="40" t="str">
        <f>IF(N(W282)&gt;0,SUMIFS('成交明细'!$H$5:$H$804,'成交明细'!$A$5:$A$804,A282,'成交明细'!$D$5:$D$804,IF(E282="空","买","卖"))/W282,"")</f>
        <v/>
      </c>
      <c r="Y282" s="41" t="str">
        <f>IF(A282="","",IF(Q282&lt;&gt;"已执行",IF(Q282="","未填执行情况",Q282),IF(N(U282)=0,"待录成交",IF(N(W282)&gt;N(U282),"平仓多于开仓",IF(N(W282)&lt;N(U282),"持仓中","已平仓")))))</f>
        <v/>
      </c>
      <c r="Z282" s="41" t="str">
        <f>IF(AND(ISNUMBER(R282),ISNUMBER(S282)),IF(R282=S282,"日内",""),"")</f>
        <v/>
      </c>
      <c r="AA282" s="42" t="str">
        <f>IF(Z282&lt;&gt;"日内","",COUNTIFS($Z$5:$Z$304,"日内",$S$5:$S$304,"&gt;"&amp;WORKDAY(S282,-5),$S$5:$S$304,"&lt;="&amp;S282))</f>
        <v/>
      </c>
      <c r="AB282" s="41" t="str">
        <f>IF(OR(NOT(ISNUMBER(M282)),NOT(ISNUMBER(R282))),"",IF(AND(M282&gt;=R282,OR(NOT(ISNUMBER(S282)),M282&lt;=S282)),"持仓跨财报",""))</f>
        <v/>
      </c>
      <c r="AC282" s="20">
        <f>IF(AND(E282="空",ISNUMBER(O282),ISNUMBER(S282)),ROUND(O282*(S282-R282)/360*V282*U282,2),0)</f>
        <v>0</v>
      </c>
      <c r="AD282" s="43" t="str">
        <f>IF(N(U282)=0,"",SUMIFS('成交明细'!$L$5:$L$804,'成交明细'!$A$5:$A$804,A282)+AC282)</f>
        <v/>
      </c>
      <c r="AE282" s="44" t="str">
        <f>IF(Y282&lt;&gt;"已平仓","",(SUMIFS('成交明细'!$H$5:$H$804,'成交明细'!$A$5:$A$804,A282,'成交明细'!$D$5:$D$804,"卖")-SUMIFS('成交明细'!$H$5:$H$804,'成交明细'!$A$5:$A$804,A282,'成交明细'!$D$5:$D$804,"买"))*1-AD282)</f>
        <v/>
      </c>
      <c r="AF282" s="45" t="str">
        <f>IF(AND(Y282="已平仓",ISNUMBER(L282)),(SUMIFS('成交明细'!$H$5:$H$804,'成交明细'!$A$5:$A$804,A282,'成交明细'!$D$5:$D$804,"卖")-SUMIFS('成交明细'!$H$5:$H$804,'成交明细'!$A$5:$A$804,A282,'成交明细'!$D$5:$D$804,"买"))*1/L282,"")</f>
        <v/>
      </c>
      <c r="AG282" s="45" t="str">
        <f>IF(AND(Y282="已平仓",ISNUMBER(L282)),AE282/L282,"")</f>
        <v/>
      </c>
      <c r="AH282" s="46" t="str">
        <f>IF(AND(ISNUMBER(V282),ISNUMBER(F282)),IF(E282="空",F282-V282,V282-F282),"")</f>
        <v/>
      </c>
      <c r="AI282" s="46" t="str">
        <f>IF(OR(NOT(ISNUMBER(AE282)),NOT(ISNUMBER(X282))),"",IF(AE282&lt;0,IF(E282="空",X282-G282,G282-X282),IF(NOT(ISNUMBER(H282)),"",IF(E282="空",X282-H282,H282-X282))))</f>
        <v/>
      </c>
      <c r="AJ282" s="32" t="n"/>
      <c r="AK282" s="32" t="n"/>
      <c r="AL282" s="31" t="n"/>
      <c r="AM282" s="45" t="str">
        <f>IF(A282="","",SUM(AG$5:AG282))</f>
        <v/>
      </c>
      <c r="AN282" s="37" t="str">
        <f>IF(A282="","",MAX(0,MAX(AM$5:AM282))-AM282)</f>
        <v/>
      </c>
    </row>
    <row r="283">
      <c r="A283" s="29" t="n"/>
      <c r="B283" s="30" t="n"/>
      <c r="C283" s="31" t="n"/>
      <c r="D283" s="32" t="n"/>
      <c r="E283" s="32" t="n"/>
      <c r="F283" s="33" t="n"/>
      <c r="G283" s="33" t="n"/>
      <c r="H283" s="33" t="n"/>
      <c r="I283" s="34" t="str">
        <f>IF(AND(ISNUMBER(F283),ISNUMBER(G283),ISNUMBER(H283)),IF(OR(AND(E283="多",F283&gt;G283),AND(E283="空",F283&lt;G283)),ABS(H283-F283)/ABS(F283-G283),"止损方向不对"),"")</f>
        <v/>
      </c>
      <c r="J283" s="35" t="str">
        <f>IF(AND(ISNUMBER(F283),ISNUMBER(G283)),IF(F283=G283,"",IF(INT(ROUND('参数'!$C$7/(ABS(F283-G283)*1+2*'参数'!$C$11+N('参数'!$C$14)*F283+N('参数'!$C$15))/1,6))*1&gt;0,INT(ROUND('参数'!$C$7/(ABS(F283-G283)*1+2*'参数'!$C$11+N('参数'!$C$14)*F283+N('参数'!$C$15))/1,6))*1,"预算不足，这笔不做")),"")</f>
        <v/>
      </c>
      <c r="K283" s="36" t="n"/>
      <c r="L283" s="20" t="str">
        <f>IF(AND(ISNUMBER(F283),ISNUMBER(G283),ISNUMBER(K283)),IF(AND(F283&lt;&gt;G283,K283&gt;0),ABS(F283-G283)*K283*1,""),"")</f>
        <v/>
      </c>
      <c r="M283" s="30" t="n"/>
      <c r="N283" s="37" t="str">
        <f>IF(AND(ISNUMBER(L283),ISNUMBER(M283)),IF(E283="空",(G283*(1+'参数'!$C$17)-F283),(F283-G283*(1-'参数'!$C$17)))*K283/L283,"")</f>
        <v/>
      </c>
      <c r="O283" s="38" t="n"/>
      <c r="P283" s="31" t="n"/>
      <c r="Q283" s="32" t="n"/>
      <c r="R283" s="39" t="str">
        <f>IF(N(U283)&gt;0,SUMPRODUCT(LARGE(('成交明细'!$A$5:$A$804=A283)*('成交明细'!$D$5:$D$804=IF(E283="空","卖","买"))*'成交明细'!$B$5:$B$804,COUNTIFS('成交明细'!$A$5:$A$804,A283,'成交明细'!$D$5:$D$804,IF(E283="空","卖","买")))),"")</f>
        <v/>
      </c>
      <c r="S283" s="39" t="str">
        <f>IF(AND(N(U283)&gt;0,N(W283)&gt;=N(U283)),SUMPRODUCT(MAX(('成交明细'!$A$5:$A$804=A283)*('成交明细'!$D$5:$D$804=IF(E283="空","买","卖"))*'成交明细'!$B$5:$B$804)),"")</f>
        <v/>
      </c>
      <c r="T283" s="32" t="n"/>
      <c r="U283" s="35" t="str">
        <f>IF(A283="","",SUMIFS('成交明细'!$F$5:$F$804,'成交明细'!$A$5:$A$804,A283,'成交明细'!$D$5:$D$804,IF(E283="空","卖","买")))</f>
        <v/>
      </c>
      <c r="V283" s="40" t="str">
        <f>IF(N(U283)&gt;0,SUMIFS('成交明细'!$H$5:$H$804,'成交明细'!$A$5:$A$804,A283,'成交明细'!$D$5:$D$804,IF(E283="空","卖","买"))/U283,"")</f>
        <v/>
      </c>
      <c r="W283" s="35" t="str">
        <f>IF(A283="","",SUMIFS('成交明细'!$F$5:$F$804,'成交明细'!$A$5:$A$804,A283,'成交明细'!$D$5:$D$804,IF(E283="空","买","卖")))</f>
        <v/>
      </c>
      <c r="X283" s="40" t="str">
        <f>IF(N(W283)&gt;0,SUMIFS('成交明细'!$H$5:$H$804,'成交明细'!$A$5:$A$804,A283,'成交明细'!$D$5:$D$804,IF(E283="空","买","卖"))/W283,"")</f>
        <v/>
      </c>
      <c r="Y283" s="41" t="str">
        <f>IF(A283="","",IF(Q283&lt;&gt;"已执行",IF(Q283="","未填执行情况",Q283),IF(N(U283)=0,"待录成交",IF(N(W283)&gt;N(U283),"平仓多于开仓",IF(N(W283)&lt;N(U283),"持仓中","已平仓")))))</f>
        <v/>
      </c>
      <c r="Z283" s="41" t="str">
        <f>IF(AND(ISNUMBER(R283),ISNUMBER(S283)),IF(R283=S283,"日内",""),"")</f>
        <v/>
      </c>
      <c r="AA283" s="42" t="str">
        <f>IF(Z283&lt;&gt;"日内","",COUNTIFS($Z$5:$Z$304,"日内",$S$5:$S$304,"&gt;"&amp;WORKDAY(S283,-5),$S$5:$S$304,"&lt;="&amp;S283))</f>
        <v/>
      </c>
      <c r="AB283" s="41" t="str">
        <f>IF(OR(NOT(ISNUMBER(M283)),NOT(ISNUMBER(R283))),"",IF(AND(M283&gt;=R283,OR(NOT(ISNUMBER(S283)),M283&lt;=S283)),"持仓跨财报",""))</f>
        <v/>
      </c>
      <c r="AC283" s="20">
        <f>IF(AND(E283="空",ISNUMBER(O283),ISNUMBER(S283)),ROUND(O283*(S283-R283)/360*V283*U283,2),0)</f>
        <v>0</v>
      </c>
      <c r="AD283" s="43" t="str">
        <f>IF(N(U283)=0,"",SUMIFS('成交明细'!$L$5:$L$804,'成交明细'!$A$5:$A$804,A283)+AC283)</f>
        <v/>
      </c>
      <c r="AE283" s="44" t="str">
        <f>IF(Y283&lt;&gt;"已平仓","",(SUMIFS('成交明细'!$H$5:$H$804,'成交明细'!$A$5:$A$804,A283,'成交明细'!$D$5:$D$804,"卖")-SUMIFS('成交明细'!$H$5:$H$804,'成交明细'!$A$5:$A$804,A283,'成交明细'!$D$5:$D$804,"买"))*1-AD283)</f>
        <v/>
      </c>
      <c r="AF283" s="45" t="str">
        <f>IF(AND(Y283="已平仓",ISNUMBER(L283)),(SUMIFS('成交明细'!$H$5:$H$804,'成交明细'!$A$5:$A$804,A283,'成交明细'!$D$5:$D$804,"卖")-SUMIFS('成交明细'!$H$5:$H$804,'成交明细'!$A$5:$A$804,A283,'成交明细'!$D$5:$D$804,"买"))*1/L283,"")</f>
        <v/>
      </c>
      <c r="AG283" s="45" t="str">
        <f>IF(AND(Y283="已平仓",ISNUMBER(L283)),AE283/L283,"")</f>
        <v/>
      </c>
      <c r="AH283" s="46" t="str">
        <f>IF(AND(ISNUMBER(V283),ISNUMBER(F283)),IF(E283="空",F283-V283,V283-F283),"")</f>
        <v/>
      </c>
      <c r="AI283" s="46" t="str">
        <f>IF(OR(NOT(ISNUMBER(AE283)),NOT(ISNUMBER(X283))),"",IF(AE283&lt;0,IF(E283="空",X283-G283,G283-X283),IF(NOT(ISNUMBER(H283)),"",IF(E283="空",X283-H283,H283-X283))))</f>
        <v/>
      </c>
      <c r="AJ283" s="32" t="n"/>
      <c r="AK283" s="32" t="n"/>
      <c r="AL283" s="31" t="n"/>
      <c r="AM283" s="45" t="str">
        <f>IF(A283="","",SUM(AG$5:AG283))</f>
        <v/>
      </c>
      <c r="AN283" s="37" t="str">
        <f>IF(A283="","",MAX(0,MAX(AM$5:AM283))-AM283)</f>
        <v/>
      </c>
    </row>
    <row r="284">
      <c r="A284" s="29" t="n"/>
      <c r="B284" s="30" t="n"/>
      <c r="C284" s="31" t="n"/>
      <c r="D284" s="32" t="n"/>
      <c r="E284" s="32" t="n"/>
      <c r="F284" s="33" t="n"/>
      <c r="G284" s="33" t="n"/>
      <c r="H284" s="33" t="n"/>
      <c r="I284" s="34" t="str">
        <f>IF(AND(ISNUMBER(F284),ISNUMBER(G284),ISNUMBER(H284)),IF(OR(AND(E284="多",F284&gt;G284),AND(E284="空",F284&lt;G284)),ABS(H284-F284)/ABS(F284-G284),"止损方向不对"),"")</f>
        <v/>
      </c>
      <c r="J284" s="35" t="str">
        <f>IF(AND(ISNUMBER(F284),ISNUMBER(G284)),IF(F284=G284,"",IF(INT(ROUND('参数'!$C$7/(ABS(F284-G284)*1+2*'参数'!$C$11+N('参数'!$C$14)*F284+N('参数'!$C$15))/1,6))*1&gt;0,INT(ROUND('参数'!$C$7/(ABS(F284-G284)*1+2*'参数'!$C$11+N('参数'!$C$14)*F284+N('参数'!$C$15))/1,6))*1,"预算不足，这笔不做")),"")</f>
        <v/>
      </c>
      <c r="K284" s="36" t="n"/>
      <c r="L284" s="20" t="str">
        <f>IF(AND(ISNUMBER(F284),ISNUMBER(G284),ISNUMBER(K284)),IF(AND(F284&lt;&gt;G284,K284&gt;0),ABS(F284-G284)*K284*1,""),"")</f>
        <v/>
      </c>
      <c r="M284" s="30" t="n"/>
      <c r="N284" s="37" t="str">
        <f>IF(AND(ISNUMBER(L284),ISNUMBER(M284)),IF(E284="空",(G284*(1+'参数'!$C$17)-F284),(F284-G284*(1-'参数'!$C$17)))*K284/L284,"")</f>
        <v/>
      </c>
      <c r="O284" s="38" t="n"/>
      <c r="P284" s="31" t="n"/>
      <c r="Q284" s="32" t="n"/>
      <c r="R284" s="39" t="str">
        <f>IF(N(U284)&gt;0,SUMPRODUCT(LARGE(('成交明细'!$A$5:$A$804=A284)*('成交明细'!$D$5:$D$804=IF(E284="空","卖","买"))*'成交明细'!$B$5:$B$804,COUNTIFS('成交明细'!$A$5:$A$804,A284,'成交明细'!$D$5:$D$804,IF(E284="空","卖","买")))),"")</f>
        <v/>
      </c>
      <c r="S284" s="39" t="str">
        <f>IF(AND(N(U284)&gt;0,N(W284)&gt;=N(U284)),SUMPRODUCT(MAX(('成交明细'!$A$5:$A$804=A284)*('成交明细'!$D$5:$D$804=IF(E284="空","买","卖"))*'成交明细'!$B$5:$B$804)),"")</f>
        <v/>
      </c>
      <c r="T284" s="32" t="n"/>
      <c r="U284" s="35" t="str">
        <f>IF(A284="","",SUMIFS('成交明细'!$F$5:$F$804,'成交明细'!$A$5:$A$804,A284,'成交明细'!$D$5:$D$804,IF(E284="空","卖","买")))</f>
        <v/>
      </c>
      <c r="V284" s="40" t="str">
        <f>IF(N(U284)&gt;0,SUMIFS('成交明细'!$H$5:$H$804,'成交明细'!$A$5:$A$804,A284,'成交明细'!$D$5:$D$804,IF(E284="空","卖","买"))/U284,"")</f>
        <v/>
      </c>
      <c r="W284" s="35" t="str">
        <f>IF(A284="","",SUMIFS('成交明细'!$F$5:$F$804,'成交明细'!$A$5:$A$804,A284,'成交明细'!$D$5:$D$804,IF(E284="空","买","卖")))</f>
        <v/>
      </c>
      <c r="X284" s="40" t="str">
        <f>IF(N(W284)&gt;0,SUMIFS('成交明细'!$H$5:$H$804,'成交明细'!$A$5:$A$804,A284,'成交明细'!$D$5:$D$804,IF(E284="空","买","卖"))/W284,"")</f>
        <v/>
      </c>
      <c r="Y284" s="41" t="str">
        <f>IF(A284="","",IF(Q284&lt;&gt;"已执行",IF(Q284="","未填执行情况",Q284),IF(N(U284)=0,"待录成交",IF(N(W284)&gt;N(U284),"平仓多于开仓",IF(N(W284)&lt;N(U284),"持仓中","已平仓")))))</f>
        <v/>
      </c>
      <c r="Z284" s="41" t="str">
        <f>IF(AND(ISNUMBER(R284),ISNUMBER(S284)),IF(R284=S284,"日内",""),"")</f>
        <v/>
      </c>
      <c r="AA284" s="42" t="str">
        <f>IF(Z284&lt;&gt;"日内","",COUNTIFS($Z$5:$Z$304,"日内",$S$5:$S$304,"&gt;"&amp;WORKDAY(S284,-5),$S$5:$S$304,"&lt;="&amp;S284))</f>
        <v/>
      </c>
      <c r="AB284" s="41" t="str">
        <f>IF(OR(NOT(ISNUMBER(M284)),NOT(ISNUMBER(R284))),"",IF(AND(M284&gt;=R284,OR(NOT(ISNUMBER(S284)),M284&lt;=S284)),"持仓跨财报",""))</f>
        <v/>
      </c>
      <c r="AC284" s="20">
        <f>IF(AND(E284="空",ISNUMBER(O284),ISNUMBER(S284)),ROUND(O284*(S284-R284)/360*V284*U284,2),0)</f>
        <v>0</v>
      </c>
      <c r="AD284" s="43" t="str">
        <f>IF(N(U284)=0,"",SUMIFS('成交明细'!$L$5:$L$804,'成交明细'!$A$5:$A$804,A284)+AC284)</f>
        <v/>
      </c>
      <c r="AE284" s="44" t="str">
        <f>IF(Y284&lt;&gt;"已平仓","",(SUMIFS('成交明细'!$H$5:$H$804,'成交明细'!$A$5:$A$804,A284,'成交明细'!$D$5:$D$804,"卖")-SUMIFS('成交明细'!$H$5:$H$804,'成交明细'!$A$5:$A$804,A284,'成交明细'!$D$5:$D$804,"买"))*1-AD284)</f>
        <v/>
      </c>
      <c r="AF284" s="45" t="str">
        <f>IF(AND(Y284="已平仓",ISNUMBER(L284)),(SUMIFS('成交明细'!$H$5:$H$804,'成交明细'!$A$5:$A$804,A284,'成交明细'!$D$5:$D$804,"卖")-SUMIFS('成交明细'!$H$5:$H$804,'成交明细'!$A$5:$A$804,A284,'成交明细'!$D$5:$D$804,"买"))*1/L284,"")</f>
        <v/>
      </c>
      <c r="AG284" s="45" t="str">
        <f>IF(AND(Y284="已平仓",ISNUMBER(L284)),AE284/L284,"")</f>
        <v/>
      </c>
      <c r="AH284" s="46" t="str">
        <f>IF(AND(ISNUMBER(V284),ISNUMBER(F284)),IF(E284="空",F284-V284,V284-F284),"")</f>
        <v/>
      </c>
      <c r="AI284" s="46" t="str">
        <f>IF(OR(NOT(ISNUMBER(AE284)),NOT(ISNUMBER(X284))),"",IF(AE284&lt;0,IF(E284="空",X284-G284,G284-X284),IF(NOT(ISNUMBER(H284)),"",IF(E284="空",X284-H284,H284-X284))))</f>
        <v/>
      </c>
      <c r="AJ284" s="32" t="n"/>
      <c r="AK284" s="32" t="n"/>
      <c r="AL284" s="31" t="n"/>
      <c r="AM284" s="45" t="str">
        <f>IF(A284="","",SUM(AG$5:AG284))</f>
        <v/>
      </c>
      <c r="AN284" s="37" t="str">
        <f>IF(A284="","",MAX(0,MAX(AM$5:AM284))-AM284)</f>
        <v/>
      </c>
    </row>
    <row r="285">
      <c r="A285" s="29" t="n"/>
      <c r="B285" s="30" t="n"/>
      <c r="C285" s="31" t="n"/>
      <c r="D285" s="32" t="n"/>
      <c r="E285" s="32" t="n"/>
      <c r="F285" s="33" t="n"/>
      <c r="G285" s="33" t="n"/>
      <c r="H285" s="33" t="n"/>
      <c r="I285" s="34" t="str">
        <f>IF(AND(ISNUMBER(F285),ISNUMBER(G285),ISNUMBER(H285)),IF(OR(AND(E285="多",F285&gt;G285),AND(E285="空",F285&lt;G285)),ABS(H285-F285)/ABS(F285-G285),"止损方向不对"),"")</f>
        <v/>
      </c>
      <c r="J285" s="35" t="str">
        <f>IF(AND(ISNUMBER(F285),ISNUMBER(G285)),IF(F285=G285,"",IF(INT(ROUND('参数'!$C$7/(ABS(F285-G285)*1+2*'参数'!$C$11+N('参数'!$C$14)*F285+N('参数'!$C$15))/1,6))*1&gt;0,INT(ROUND('参数'!$C$7/(ABS(F285-G285)*1+2*'参数'!$C$11+N('参数'!$C$14)*F285+N('参数'!$C$15))/1,6))*1,"预算不足，这笔不做")),"")</f>
        <v/>
      </c>
      <c r="K285" s="36" t="n"/>
      <c r="L285" s="20" t="str">
        <f>IF(AND(ISNUMBER(F285),ISNUMBER(G285),ISNUMBER(K285)),IF(AND(F285&lt;&gt;G285,K285&gt;0),ABS(F285-G285)*K285*1,""),"")</f>
        <v/>
      </c>
      <c r="M285" s="30" t="n"/>
      <c r="N285" s="37" t="str">
        <f>IF(AND(ISNUMBER(L285),ISNUMBER(M285)),IF(E285="空",(G285*(1+'参数'!$C$17)-F285),(F285-G285*(1-'参数'!$C$17)))*K285/L285,"")</f>
        <v/>
      </c>
      <c r="O285" s="38" t="n"/>
      <c r="P285" s="31" t="n"/>
      <c r="Q285" s="32" t="n"/>
      <c r="R285" s="39" t="str">
        <f>IF(N(U285)&gt;0,SUMPRODUCT(LARGE(('成交明细'!$A$5:$A$804=A285)*('成交明细'!$D$5:$D$804=IF(E285="空","卖","买"))*'成交明细'!$B$5:$B$804,COUNTIFS('成交明细'!$A$5:$A$804,A285,'成交明细'!$D$5:$D$804,IF(E285="空","卖","买")))),"")</f>
        <v/>
      </c>
      <c r="S285" s="39" t="str">
        <f>IF(AND(N(U285)&gt;0,N(W285)&gt;=N(U285)),SUMPRODUCT(MAX(('成交明细'!$A$5:$A$804=A285)*('成交明细'!$D$5:$D$804=IF(E285="空","买","卖"))*'成交明细'!$B$5:$B$804)),"")</f>
        <v/>
      </c>
      <c r="T285" s="32" t="n"/>
      <c r="U285" s="35" t="str">
        <f>IF(A285="","",SUMIFS('成交明细'!$F$5:$F$804,'成交明细'!$A$5:$A$804,A285,'成交明细'!$D$5:$D$804,IF(E285="空","卖","买")))</f>
        <v/>
      </c>
      <c r="V285" s="40" t="str">
        <f>IF(N(U285)&gt;0,SUMIFS('成交明细'!$H$5:$H$804,'成交明细'!$A$5:$A$804,A285,'成交明细'!$D$5:$D$804,IF(E285="空","卖","买"))/U285,"")</f>
        <v/>
      </c>
      <c r="W285" s="35" t="str">
        <f>IF(A285="","",SUMIFS('成交明细'!$F$5:$F$804,'成交明细'!$A$5:$A$804,A285,'成交明细'!$D$5:$D$804,IF(E285="空","买","卖")))</f>
        <v/>
      </c>
      <c r="X285" s="40" t="str">
        <f>IF(N(W285)&gt;0,SUMIFS('成交明细'!$H$5:$H$804,'成交明细'!$A$5:$A$804,A285,'成交明细'!$D$5:$D$804,IF(E285="空","买","卖"))/W285,"")</f>
        <v/>
      </c>
      <c r="Y285" s="41" t="str">
        <f>IF(A285="","",IF(Q285&lt;&gt;"已执行",IF(Q285="","未填执行情况",Q285),IF(N(U285)=0,"待录成交",IF(N(W285)&gt;N(U285),"平仓多于开仓",IF(N(W285)&lt;N(U285),"持仓中","已平仓")))))</f>
        <v/>
      </c>
      <c r="Z285" s="41" t="str">
        <f>IF(AND(ISNUMBER(R285),ISNUMBER(S285)),IF(R285=S285,"日内",""),"")</f>
        <v/>
      </c>
      <c r="AA285" s="42" t="str">
        <f>IF(Z285&lt;&gt;"日内","",COUNTIFS($Z$5:$Z$304,"日内",$S$5:$S$304,"&gt;"&amp;WORKDAY(S285,-5),$S$5:$S$304,"&lt;="&amp;S285))</f>
        <v/>
      </c>
      <c r="AB285" s="41" t="str">
        <f>IF(OR(NOT(ISNUMBER(M285)),NOT(ISNUMBER(R285))),"",IF(AND(M285&gt;=R285,OR(NOT(ISNUMBER(S285)),M285&lt;=S285)),"持仓跨财报",""))</f>
        <v/>
      </c>
      <c r="AC285" s="20">
        <f>IF(AND(E285="空",ISNUMBER(O285),ISNUMBER(S285)),ROUND(O285*(S285-R285)/360*V285*U285,2),0)</f>
        <v>0</v>
      </c>
      <c r="AD285" s="43" t="str">
        <f>IF(N(U285)=0,"",SUMIFS('成交明细'!$L$5:$L$804,'成交明细'!$A$5:$A$804,A285)+AC285)</f>
        <v/>
      </c>
      <c r="AE285" s="44" t="str">
        <f>IF(Y285&lt;&gt;"已平仓","",(SUMIFS('成交明细'!$H$5:$H$804,'成交明细'!$A$5:$A$804,A285,'成交明细'!$D$5:$D$804,"卖")-SUMIFS('成交明细'!$H$5:$H$804,'成交明细'!$A$5:$A$804,A285,'成交明细'!$D$5:$D$804,"买"))*1-AD285)</f>
        <v/>
      </c>
      <c r="AF285" s="45" t="str">
        <f>IF(AND(Y285="已平仓",ISNUMBER(L285)),(SUMIFS('成交明细'!$H$5:$H$804,'成交明细'!$A$5:$A$804,A285,'成交明细'!$D$5:$D$804,"卖")-SUMIFS('成交明细'!$H$5:$H$804,'成交明细'!$A$5:$A$804,A285,'成交明细'!$D$5:$D$804,"买"))*1/L285,"")</f>
        <v/>
      </c>
      <c r="AG285" s="45" t="str">
        <f>IF(AND(Y285="已平仓",ISNUMBER(L285)),AE285/L285,"")</f>
        <v/>
      </c>
      <c r="AH285" s="46" t="str">
        <f>IF(AND(ISNUMBER(V285),ISNUMBER(F285)),IF(E285="空",F285-V285,V285-F285),"")</f>
        <v/>
      </c>
      <c r="AI285" s="46" t="str">
        <f>IF(OR(NOT(ISNUMBER(AE285)),NOT(ISNUMBER(X285))),"",IF(AE285&lt;0,IF(E285="空",X285-G285,G285-X285),IF(NOT(ISNUMBER(H285)),"",IF(E285="空",X285-H285,H285-X285))))</f>
        <v/>
      </c>
      <c r="AJ285" s="32" t="n"/>
      <c r="AK285" s="32" t="n"/>
      <c r="AL285" s="31" t="n"/>
      <c r="AM285" s="45" t="str">
        <f>IF(A285="","",SUM(AG$5:AG285))</f>
        <v/>
      </c>
      <c r="AN285" s="37" t="str">
        <f>IF(A285="","",MAX(0,MAX(AM$5:AM285))-AM285)</f>
        <v/>
      </c>
    </row>
    <row r="286">
      <c r="A286" s="29" t="n"/>
      <c r="B286" s="30" t="n"/>
      <c r="C286" s="31" t="n"/>
      <c r="D286" s="32" t="n"/>
      <c r="E286" s="32" t="n"/>
      <c r="F286" s="33" t="n"/>
      <c r="G286" s="33" t="n"/>
      <c r="H286" s="33" t="n"/>
      <c r="I286" s="34" t="str">
        <f>IF(AND(ISNUMBER(F286),ISNUMBER(G286),ISNUMBER(H286)),IF(OR(AND(E286="多",F286&gt;G286),AND(E286="空",F286&lt;G286)),ABS(H286-F286)/ABS(F286-G286),"止损方向不对"),"")</f>
        <v/>
      </c>
      <c r="J286" s="35" t="str">
        <f>IF(AND(ISNUMBER(F286),ISNUMBER(G286)),IF(F286=G286,"",IF(INT(ROUND('参数'!$C$7/(ABS(F286-G286)*1+2*'参数'!$C$11+N('参数'!$C$14)*F286+N('参数'!$C$15))/1,6))*1&gt;0,INT(ROUND('参数'!$C$7/(ABS(F286-G286)*1+2*'参数'!$C$11+N('参数'!$C$14)*F286+N('参数'!$C$15))/1,6))*1,"预算不足，这笔不做")),"")</f>
        <v/>
      </c>
      <c r="K286" s="36" t="n"/>
      <c r="L286" s="20" t="str">
        <f>IF(AND(ISNUMBER(F286),ISNUMBER(G286),ISNUMBER(K286)),IF(AND(F286&lt;&gt;G286,K286&gt;0),ABS(F286-G286)*K286*1,""),"")</f>
        <v/>
      </c>
      <c r="M286" s="30" t="n"/>
      <c r="N286" s="37" t="str">
        <f>IF(AND(ISNUMBER(L286),ISNUMBER(M286)),IF(E286="空",(G286*(1+'参数'!$C$17)-F286),(F286-G286*(1-'参数'!$C$17)))*K286/L286,"")</f>
        <v/>
      </c>
      <c r="O286" s="38" t="n"/>
      <c r="P286" s="31" t="n"/>
      <c r="Q286" s="32" t="n"/>
      <c r="R286" s="39" t="str">
        <f>IF(N(U286)&gt;0,SUMPRODUCT(LARGE(('成交明细'!$A$5:$A$804=A286)*('成交明细'!$D$5:$D$804=IF(E286="空","卖","买"))*'成交明细'!$B$5:$B$804,COUNTIFS('成交明细'!$A$5:$A$804,A286,'成交明细'!$D$5:$D$804,IF(E286="空","卖","买")))),"")</f>
        <v/>
      </c>
      <c r="S286" s="39" t="str">
        <f>IF(AND(N(U286)&gt;0,N(W286)&gt;=N(U286)),SUMPRODUCT(MAX(('成交明细'!$A$5:$A$804=A286)*('成交明细'!$D$5:$D$804=IF(E286="空","买","卖"))*'成交明细'!$B$5:$B$804)),"")</f>
        <v/>
      </c>
      <c r="T286" s="32" t="n"/>
      <c r="U286" s="35" t="str">
        <f>IF(A286="","",SUMIFS('成交明细'!$F$5:$F$804,'成交明细'!$A$5:$A$804,A286,'成交明细'!$D$5:$D$804,IF(E286="空","卖","买")))</f>
        <v/>
      </c>
      <c r="V286" s="40" t="str">
        <f>IF(N(U286)&gt;0,SUMIFS('成交明细'!$H$5:$H$804,'成交明细'!$A$5:$A$804,A286,'成交明细'!$D$5:$D$804,IF(E286="空","卖","买"))/U286,"")</f>
        <v/>
      </c>
      <c r="W286" s="35" t="str">
        <f>IF(A286="","",SUMIFS('成交明细'!$F$5:$F$804,'成交明细'!$A$5:$A$804,A286,'成交明细'!$D$5:$D$804,IF(E286="空","买","卖")))</f>
        <v/>
      </c>
      <c r="X286" s="40" t="str">
        <f>IF(N(W286)&gt;0,SUMIFS('成交明细'!$H$5:$H$804,'成交明细'!$A$5:$A$804,A286,'成交明细'!$D$5:$D$804,IF(E286="空","买","卖"))/W286,"")</f>
        <v/>
      </c>
      <c r="Y286" s="41" t="str">
        <f>IF(A286="","",IF(Q286&lt;&gt;"已执行",IF(Q286="","未填执行情况",Q286),IF(N(U286)=0,"待录成交",IF(N(W286)&gt;N(U286),"平仓多于开仓",IF(N(W286)&lt;N(U286),"持仓中","已平仓")))))</f>
        <v/>
      </c>
      <c r="Z286" s="41" t="str">
        <f>IF(AND(ISNUMBER(R286),ISNUMBER(S286)),IF(R286=S286,"日内",""),"")</f>
        <v/>
      </c>
      <c r="AA286" s="42" t="str">
        <f>IF(Z286&lt;&gt;"日内","",COUNTIFS($Z$5:$Z$304,"日内",$S$5:$S$304,"&gt;"&amp;WORKDAY(S286,-5),$S$5:$S$304,"&lt;="&amp;S286))</f>
        <v/>
      </c>
      <c r="AB286" s="41" t="str">
        <f>IF(OR(NOT(ISNUMBER(M286)),NOT(ISNUMBER(R286))),"",IF(AND(M286&gt;=R286,OR(NOT(ISNUMBER(S286)),M286&lt;=S286)),"持仓跨财报",""))</f>
        <v/>
      </c>
      <c r="AC286" s="20">
        <f>IF(AND(E286="空",ISNUMBER(O286),ISNUMBER(S286)),ROUND(O286*(S286-R286)/360*V286*U286,2),0)</f>
        <v>0</v>
      </c>
      <c r="AD286" s="43" t="str">
        <f>IF(N(U286)=0,"",SUMIFS('成交明细'!$L$5:$L$804,'成交明细'!$A$5:$A$804,A286)+AC286)</f>
        <v/>
      </c>
      <c r="AE286" s="44" t="str">
        <f>IF(Y286&lt;&gt;"已平仓","",(SUMIFS('成交明细'!$H$5:$H$804,'成交明细'!$A$5:$A$804,A286,'成交明细'!$D$5:$D$804,"卖")-SUMIFS('成交明细'!$H$5:$H$804,'成交明细'!$A$5:$A$804,A286,'成交明细'!$D$5:$D$804,"买"))*1-AD286)</f>
        <v/>
      </c>
      <c r="AF286" s="45" t="str">
        <f>IF(AND(Y286="已平仓",ISNUMBER(L286)),(SUMIFS('成交明细'!$H$5:$H$804,'成交明细'!$A$5:$A$804,A286,'成交明细'!$D$5:$D$804,"卖")-SUMIFS('成交明细'!$H$5:$H$804,'成交明细'!$A$5:$A$804,A286,'成交明细'!$D$5:$D$804,"买"))*1/L286,"")</f>
        <v/>
      </c>
      <c r="AG286" s="45" t="str">
        <f>IF(AND(Y286="已平仓",ISNUMBER(L286)),AE286/L286,"")</f>
        <v/>
      </c>
      <c r="AH286" s="46" t="str">
        <f>IF(AND(ISNUMBER(V286),ISNUMBER(F286)),IF(E286="空",F286-V286,V286-F286),"")</f>
        <v/>
      </c>
      <c r="AI286" s="46" t="str">
        <f>IF(OR(NOT(ISNUMBER(AE286)),NOT(ISNUMBER(X286))),"",IF(AE286&lt;0,IF(E286="空",X286-G286,G286-X286),IF(NOT(ISNUMBER(H286)),"",IF(E286="空",X286-H286,H286-X286))))</f>
        <v/>
      </c>
      <c r="AJ286" s="32" t="n"/>
      <c r="AK286" s="32" t="n"/>
      <c r="AL286" s="31" t="n"/>
      <c r="AM286" s="45" t="str">
        <f>IF(A286="","",SUM(AG$5:AG286))</f>
        <v/>
      </c>
      <c r="AN286" s="37" t="str">
        <f>IF(A286="","",MAX(0,MAX(AM$5:AM286))-AM286)</f>
        <v/>
      </c>
    </row>
    <row r="287">
      <c r="A287" s="29" t="n"/>
      <c r="B287" s="30" t="n"/>
      <c r="C287" s="31" t="n"/>
      <c r="D287" s="32" t="n"/>
      <c r="E287" s="32" t="n"/>
      <c r="F287" s="33" t="n"/>
      <c r="G287" s="33" t="n"/>
      <c r="H287" s="33" t="n"/>
      <c r="I287" s="34" t="str">
        <f>IF(AND(ISNUMBER(F287),ISNUMBER(G287),ISNUMBER(H287)),IF(OR(AND(E287="多",F287&gt;G287),AND(E287="空",F287&lt;G287)),ABS(H287-F287)/ABS(F287-G287),"止损方向不对"),"")</f>
        <v/>
      </c>
      <c r="J287" s="35" t="str">
        <f>IF(AND(ISNUMBER(F287),ISNUMBER(G287)),IF(F287=G287,"",IF(INT(ROUND('参数'!$C$7/(ABS(F287-G287)*1+2*'参数'!$C$11+N('参数'!$C$14)*F287+N('参数'!$C$15))/1,6))*1&gt;0,INT(ROUND('参数'!$C$7/(ABS(F287-G287)*1+2*'参数'!$C$11+N('参数'!$C$14)*F287+N('参数'!$C$15))/1,6))*1,"预算不足，这笔不做")),"")</f>
        <v/>
      </c>
      <c r="K287" s="36" t="n"/>
      <c r="L287" s="20" t="str">
        <f>IF(AND(ISNUMBER(F287),ISNUMBER(G287),ISNUMBER(K287)),IF(AND(F287&lt;&gt;G287,K287&gt;0),ABS(F287-G287)*K287*1,""),"")</f>
        <v/>
      </c>
      <c r="M287" s="30" t="n"/>
      <c r="N287" s="37" t="str">
        <f>IF(AND(ISNUMBER(L287),ISNUMBER(M287)),IF(E287="空",(G287*(1+'参数'!$C$17)-F287),(F287-G287*(1-'参数'!$C$17)))*K287/L287,"")</f>
        <v/>
      </c>
      <c r="O287" s="38" t="n"/>
      <c r="P287" s="31" t="n"/>
      <c r="Q287" s="32" t="n"/>
      <c r="R287" s="39" t="str">
        <f>IF(N(U287)&gt;0,SUMPRODUCT(LARGE(('成交明细'!$A$5:$A$804=A287)*('成交明细'!$D$5:$D$804=IF(E287="空","卖","买"))*'成交明细'!$B$5:$B$804,COUNTIFS('成交明细'!$A$5:$A$804,A287,'成交明细'!$D$5:$D$804,IF(E287="空","卖","买")))),"")</f>
        <v/>
      </c>
      <c r="S287" s="39" t="str">
        <f>IF(AND(N(U287)&gt;0,N(W287)&gt;=N(U287)),SUMPRODUCT(MAX(('成交明细'!$A$5:$A$804=A287)*('成交明细'!$D$5:$D$804=IF(E287="空","买","卖"))*'成交明细'!$B$5:$B$804)),"")</f>
        <v/>
      </c>
      <c r="T287" s="32" t="n"/>
      <c r="U287" s="35" t="str">
        <f>IF(A287="","",SUMIFS('成交明细'!$F$5:$F$804,'成交明细'!$A$5:$A$804,A287,'成交明细'!$D$5:$D$804,IF(E287="空","卖","买")))</f>
        <v/>
      </c>
      <c r="V287" s="40" t="str">
        <f>IF(N(U287)&gt;0,SUMIFS('成交明细'!$H$5:$H$804,'成交明细'!$A$5:$A$804,A287,'成交明细'!$D$5:$D$804,IF(E287="空","卖","买"))/U287,"")</f>
        <v/>
      </c>
      <c r="W287" s="35" t="str">
        <f>IF(A287="","",SUMIFS('成交明细'!$F$5:$F$804,'成交明细'!$A$5:$A$804,A287,'成交明细'!$D$5:$D$804,IF(E287="空","买","卖")))</f>
        <v/>
      </c>
      <c r="X287" s="40" t="str">
        <f>IF(N(W287)&gt;0,SUMIFS('成交明细'!$H$5:$H$804,'成交明细'!$A$5:$A$804,A287,'成交明细'!$D$5:$D$804,IF(E287="空","买","卖"))/W287,"")</f>
        <v/>
      </c>
      <c r="Y287" s="41" t="str">
        <f>IF(A287="","",IF(Q287&lt;&gt;"已执行",IF(Q287="","未填执行情况",Q287),IF(N(U287)=0,"待录成交",IF(N(W287)&gt;N(U287),"平仓多于开仓",IF(N(W287)&lt;N(U287),"持仓中","已平仓")))))</f>
        <v/>
      </c>
      <c r="Z287" s="41" t="str">
        <f>IF(AND(ISNUMBER(R287),ISNUMBER(S287)),IF(R287=S287,"日内",""),"")</f>
        <v/>
      </c>
      <c r="AA287" s="42" t="str">
        <f>IF(Z287&lt;&gt;"日内","",COUNTIFS($Z$5:$Z$304,"日内",$S$5:$S$304,"&gt;"&amp;WORKDAY(S287,-5),$S$5:$S$304,"&lt;="&amp;S287))</f>
        <v/>
      </c>
      <c r="AB287" s="41" t="str">
        <f>IF(OR(NOT(ISNUMBER(M287)),NOT(ISNUMBER(R287))),"",IF(AND(M287&gt;=R287,OR(NOT(ISNUMBER(S287)),M287&lt;=S287)),"持仓跨财报",""))</f>
        <v/>
      </c>
      <c r="AC287" s="20">
        <f>IF(AND(E287="空",ISNUMBER(O287),ISNUMBER(S287)),ROUND(O287*(S287-R287)/360*V287*U287,2),0)</f>
        <v>0</v>
      </c>
      <c r="AD287" s="43" t="str">
        <f>IF(N(U287)=0,"",SUMIFS('成交明细'!$L$5:$L$804,'成交明细'!$A$5:$A$804,A287)+AC287)</f>
        <v/>
      </c>
      <c r="AE287" s="44" t="str">
        <f>IF(Y287&lt;&gt;"已平仓","",(SUMIFS('成交明细'!$H$5:$H$804,'成交明细'!$A$5:$A$804,A287,'成交明细'!$D$5:$D$804,"卖")-SUMIFS('成交明细'!$H$5:$H$804,'成交明细'!$A$5:$A$804,A287,'成交明细'!$D$5:$D$804,"买"))*1-AD287)</f>
        <v/>
      </c>
      <c r="AF287" s="45" t="str">
        <f>IF(AND(Y287="已平仓",ISNUMBER(L287)),(SUMIFS('成交明细'!$H$5:$H$804,'成交明细'!$A$5:$A$804,A287,'成交明细'!$D$5:$D$804,"卖")-SUMIFS('成交明细'!$H$5:$H$804,'成交明细'!$A$5:$A$804,A287,'成交明细'!$D$5:$D$804,"买"))*1/L287,"")</f>
        <v/>
      </c>
      <c r="AG287" s="45" t="str">
        <f>IF(AND(Y287="已平仓",ISNUMBER(L287)),AE287/L287,"")</f>
        <v/>
      </c>
      <c r="AH287" s="46" t="str">
        <f>IF(AND(ISNUMBER(V287),ISNUMBER(F287)),IF(E287="空",F287-V287,V287-F287),"")</f>
        <v/>
      </c>
      <c r="AI287" s="46" t="str">
        <f>IF(OR(NOT(ISNUMBER(AE287)),NOT(ISNUMBER(X287))),"",IF(AE287&lt;0,IF(E287="空",X287-G287,G287-X287),IF(NOT(ISNUMBER(H287)),"",IF(E287="空",X287-H287,H287-X287))))</f>
        <v/>
      </c>
      <c r="AJ287" s="32" t="n"/>
      <c r="AK287" s="32" t="n"/>
      <c r="AL287" s="31" t="n"/>
      <c r="AM287" s="45" t="str">
        <f>IF(A287="","",SUM(AG$5:AG287))</f>
        <v/>
      </c>
      <c r="AN287" s="37" t="str">
        <f>IF(A287="","",MAX(0,MAX(AM$5:AM287))-AM287)</f>
        <v/>
      </c>
    </row>
    <row r="288">
      <c r="A288" s="29" t="n"/>
      <c r="B288" s="30" t="n"/>
      <c r="C288" s="31" t="n"/>
      <c r="D288" s="32" t="n"/>
      <c r="E288" s="32" t="n"/>
      <c r="F288" s="33" t="n"/>
      <c r="G288" s="33" t="n"/>
      <c r="H288" s="33" t="n"/>
      <c r="I288" s="34" t="str">
        <f>IF(AND(ISNUMBER(F288),ISNUMBER(G288),ISNUMBER(H288)),IF(OR(AND(E288="多",F288&gt;G288),AND(E288="空",F288&lt;G288)),ABS(H288-F288)/ABS(F288-G288),"止损方向不对"),"")</f>
        <v/>
      </c>
      <c r="J288" s="35" t="str">
        <f>IF(AND(ISNUMBER(F288),ISNUMBER(G288)),IF(F288=G288,"",IF(INT(ROUND('参数'!$C$7/(ABS(F288-G288)*1+2*'参数'!$C$11+N('参数'!$C$14)*F288+N('参数'!$C$15))/1,6))*1&gt;0,INT(ROUND('参数'!$C$7/(ABS(F288-G288)*1+2*'参数'!$C$11+N('参数'!$C$14)*F288+N('参数'!$C$15))/1,6))*1,"预算不足，这笔不做")),"")</f>
        <v/>
      </c>
      <c r="K288" s="36" t="n"/>
      <c r="L288" s="20" t="str">
        <f>IF(AND(ISNUMBER(F288),ISNUMBER(G288),ISNUMBER(K288)),IF(AND(F288&lt;&gt;G288,K288&gt;0),ABS(F288-G288)*K288*1,""),"")</f>
        <v/>
      </c>
      <c r="M288" s="30" t="n"/>
      <c r="N288" s="37" t="str">
        <f>IF(AND(ISNUMBER(L288),ISNUMBER(M288)),IF(E288="空",(G288*(1+'参数'!$C$17)-F288),(F288-G288*(1-'参数'!$C$17)))*K288/L288,"")</f>
        <v/>
      </c>
      <c r="O288" s="38" t="n"/>
      <c r="P288" s="31" t="n"/>
      <c r="Q288" s="32" t="n"/>
      <c r="R288" s="39" t="str">
        <f>IF(N(U288)&gt;0,SUMPRODUCT(LARGE(('成交明细'!$A$5:$A$804=A288)*('成交明细'!$D$5:$D$804=IF(E288="空","卖","买"))*'成交明细'!$B$5:$B$804,COUNTIFS('成交明细'!$A$5:$A$804,A288,'成交明细'!$D$5:$D$804,IF(E288="空","卖","买")))),"")</f>
        <v/>
      </c>
      <c r="S288" s="39" t="str">
        <f>IF(AND(N(U288)&gt;0,N(W288)&gt;=N(U288)),SUMPRODUCT(MAX(('成交明细'!$A$5:$A$804=A288)*('成交明细'!$D$5:$D$804=IF(E288="空","买","卖"))*'成交明细'!$B$5:$B$804)),"")</f>
        <v/>
      </c>
      <c r="T288" s="32" t="n"/>
      <c r="U288" s="35" t="str">
        <f>IF(A288="","",SUMIFS('成交明细'!$F$5:$F$804,'成交明细'!$A$5:$A$804,A288,'成交明细'!$D$5:$D$804,IF(E288="空","卖","买")))</f>
        <v/>
      </c>
      <c r="V288" s="40" t="str">
        <f>IF(N(U288)&gt;0,SUMIFS('成交明细'!$H$5:$H$804,'成交明细'!$A$5:$A$804,A288,'成交明细'!$D$5:$D$804,IF(E288="空","卖","买"))/U288,"")</f>
        <v/>
      </c>
      <c r="W288" s="35" t="str">
        <f>IF(A288="","",SUMIFS('成交明细'!$F$5:$F$804,'成交明细'!$A$5:$A$804,A288,'成交明细'!$D$5:$D$804,IF(E288="空","买","卖")))</f>
        <v/>
      </c>
      <c r="X288" s="40" t="str">
        <f>IF(N(W288)&gt;0,SUMIFS('成交明细'!$H$5:$H$804,'成交明细'!$A$5:$A$804,A288,'成交明细'!$D$5:$D$804,IF(E288="空","买","卖"))/W288,"")</f>
        <v/>
      </c>
      <c r="Y288" s="41" t="str">
        <f>IF(A288="","",IF(Q288&lt;&gt;"已执行",IF(Q288="","未填执行情况",Q288),IF(N(U288)=0,"待录成交",IF(N(W288)&gt;N(U288),"平仓多于开仓",IF(N(W288)&lt;N(U288),"持仓中","已平仓")))))</f>
        <v/>
      </c>
      <c r="Z288" s="41" t="str">
        <f>IF(AND(ISNUMBER(R288),ISNUMBER(S288)),IF(R288=S288,"日内",""),"")</f>
        <v/>
      </c>
      <c r="AA288" s="42" t="str">
        <f>IF(Z288&lt;&gt;"日内","",COUNTIFS($Z$5:$Z$304,"日内",$S$5:$S$304,"&gt;"&amp;WORKDAY(S288,-5),$S$5:$S$304,"&lt;="&amp;S288))</f>
        <v/>
      </c>
      <c r="AB288" s="41" t="str">
        <f>IF(OR(NOT(ISNUMBER(M288)),NOT(ISNUMBER(R288))),"",IF(AND(M288&gt;=R288,OR(NOT(ISNUMBER(S288)),M288&lt;=S288)),"持仓跨财报",""))</f>
        <v/>
      </c>
      <c r="AC288" s="20">
        <f>IF(AND(E288="空",ISNUMBER(O288),ISNUMBER(S288)),ROUND(O288*(S288-R288)/360*V288*U288,2),0)</f>
        <v>0</v>
      </c>
      <c r="AD288" s="43" t="str">
        <f>IF(N(U288)=0,"",SUMIFS('成交明细'!$L$5:$L$804,'成交明细'!$A$5:$A$804,A288)+AC288)</f>
        <v/>
      </c>
      <c r="AE288" s="44" t="str">
        <f>IF(Y288&lt;&gt;"已平仓","",(SUMIFS('成交明细'!$H$5:$H$804,'成交明细'!$A$5:$A$804,A288,'成交明细'!$D$5:$D$804,"卖")-SUMIFS('成交明细'!$H$5:$H$804,'成交明细'!$A$5:$A$804,A288,'成交明细'!$D$5:$D$804,"买"))*1-AD288)</f>
        <v/>
      </c>
      <c r="AF288" s="45" t="str">
        <f>IF(AND(Y288="已平仓",ISNUMBER(L288)),(SUMIFS('成交明细'!$H$5:$H$804,'成交明细'!$A$5:$A$804,A288,'成交明细'!$D$5:$D$804,"卖")-SUMIFS('成交明细'!$H$5:$H$804,'成交明细'!$A$5:$A$804,A288,'成交明细'!$D$5:$D$804,"买"))*1/L288,"")</f>
        <v/>
      </c>
      <c r="AG288" s="45" t="str">
        <f>IF(AND(Y288="已平仓",ISNUMBER(L288)),AE288/L288,"")</f>
        <v/>
      </c>
      <c r="AH288" s="46" t="str">
        <f>IF(AND(ISNUMBER(V288),ISNUMBER(F288)),IF(E288="空",F288-V288,V288-F288),"")</f>
        <v/>
      </c>
      <c r="AI288" s="46" t="str">
        <f>IF(OR(NOT(ISNUMBER(AE288)),NOT(ISNUMBER(X288))),"",IF(AE288&lt;0,IF(E288="空",X288-G288,G288-X288),IF(NOT(ISNUMBER(H288)),"",IF(E288="空",X288-H288,H288-X288))))</f>
        <v/>
      </c>
      <c r="AJ288" s="32" t="n"/>
      <c r="AK288" s="32" t="n"/>
      <c r="AL288" s="31" t="n"/>
      <c r="AM288" s="45" t="str">
        <f>IF(A288="","",SUM(AG$5:AG288))</f>
        <v/>
      </c>
      <c r="AN288" s="37" t="str">
        <f>IF(A288="","",MAX(0,MAX(AM$5:AM288))-AM288)</f>
        <v/>
      </c>
    </row>
    <row r="289">
      <c r="A289" s="29" t="n"/>
      <c r="B289" s="30" t="n"/>
      <c r="C289" s="31" t="n"/>
      <c r="D289" s="32" t="n"/>
      <c r="E289" s="32" t="n"/>
      <c r="F289" s="33" t="n"/>
      <c r="G289" s="33" t="n"/>
      <c r="H289" s="33" t="n"/>
      <c r="I289" s="34" t="str">
        <f>IF(AND(ISNUMBER(F289),ISNUMBER(G289),ISNUMBER(H289)),IF(OR(AND(E289="多",F289&gt;G289),AND(E289="空",F289&lt;G289)),ABS(H289-F289)/ABS(F289-G289),"止损方向不对"),"")</f>
        <v/>
      </c>
      <c r="J289" s="35" t="str">
        <f>IF(AND(ISNUMBER(F289),ISNUMBER(G289)),IF(F289=G289,"",IF(INT(ROUND('参数'!$C$7/(ABS(F289-G289)*1+2*'参数'!$C$11+N('参数'!$C$14)*F289+N('参数'!$C$15))/1,6))*1&gt;0,INT(ROUND('参数'!$C$7/(ABS(F289-G289)*1+2*'参数'!$C$11+N('参数'!$C$14)*F289+N('参数'!$C$15))/1,6))*1,"预算不足，这笔不做")),"")</f>
        <v/>
      </c>
      <c r="K289" s="36" t="n"/>
      <c r="L289" s="20" t="str">
        <f>IF(AND(ISNUMBER(F289),ISNUMBER(G289),ISNUMBER(K289)),IF(AND(F289&lt;&gt;G289,K289&gt;0),ABS(F289-G289)*K289*1,""),"")</f>
        <v/>
      </c>
      <c r="M289" s="30" t="n"/>
      <c r="N289" s="37" t="str">
        <f>IF(AND(ISNUMBER(L289),ISNUMBER(M289)),IF(E289="空",(G289*(1+'参数'!$C$17)-F289),(F289-G289*(1-'参数'!$C$17)))*K289/L289,"")</f>
        <v/>
      </c>
      <c r="O289" s="38" t="n"/>
      <c r="P289" s="31" t="n"/>
      <c r="Q289" s="32" t="n"/>
      <c r="R289" s="39" t="str">
        <f>IF(N(U289)&gt;0,SUMPRODUCT(LARGE(('成交明细'!$A$5:$A$804=A289)*('成交明细'!$D$5:$D$804=IF(E289="空","卖","买"))*'成交明细'!$B$5:$B$804,COUNTIFS('成交明细'!$A$5:$A$804,A289,'成交明细'!$D$5:$D$804,IF(E289="空","卖","买")))),"")</f>
        <v/>
      </c>
      <c r="S289" s="39" t="str">
        <f>IF(AND(N(U289)&gt;0,N(W289)&gt;=N(U289)),SUMPRODUCT(MAX(('成交明细'!$A$5:$A$804=A289)*('成交明细'!$D$5:$D$804=IF(E289="空","买","卖"))*'成交明细'!$B$5:$B$804)),"")</f>
        <v/>
      </c>
      <c r="T289" s="32" t="n"/>
      <c r="U289" s="35" t="str">
        <f>IF(A289="","",SUMIFS('成交明细'!$F$5:$F$804,'成交明细'!$A$5:$A$804,A289,'成交明细'!$D$5:$D$804,IF(E289="空","卖","买")))</f>
        <v/>
      </c>
      <c r="V289" s="40" t="str">
        <f>IF(N(U289)&gt;0,SUMIFS('成交明细'!$H$5:$H$804,'成交明细'!$A$5:$A$804,A289,'成交明细'!$D$5:$D$804,IF(E289="空","卖","买"))/U289,"")</f>
        <v/>
      </c>
      <c r="W289" s="35" t="str">
        <f>IF(A289="","",SUMIFS('成交明细'!$F$5:$F$804,'成交明细'!$A$5:$A$804,A289,'成交明细'!$D$5:$D$804,IF(E289="空","买","卖")))</f>
        <v/>
      </c>
      <c r="X289" s="40" t="str">
        <f>IF(N(W289)&gt;0,SUMIFS('成交明细'!$H$5:$H$804,'成交明细'!$A$5:$A$804,A289,'成交明细'!$D$5:$D$804,IF(E289="空","买","卖"))/W289,"")</f>
        <v/>
      </c>
      <c r="Y289" s="41" t="str">
        <f>IF(A289="","",IF(Q289&lt;&gt;"已执行",IF(Q289="","未填执行情况",Q289),IF(N(U289)=0,"待录成交",IF(N(W289)&gt;N(U289),"平仓多于开仓",IF(N(W289)&lt;N(U289),"持仓中","已平仓")))))</f>
        <v/>
      </c>
      <c r="Z289" s="41" t="str">
        <f>IF(AND(ISNUMBER(R289),ISNUMBER(S289)),IF(R289=S289,"日内",""),"")</f>
        <v/>
      </c>
      <c r="AA289" s="42" t="str">
        <f>IF(Z289&lt;&gt;"日内","",COUNTIFS($Z$5:$Z$304,"日内",$S$5:$S$304,"&gt;"&amp;WORKDAY(S289,-5),$S$5:$S$304,"&lt;="&amp;S289))</f>
        <v/>
      </c>
      <c r="AB289" s="41" t="str">
        <f>IF(OR(NOT(ISNUMBER(M289)),NOT(ISNUMBER(R289))),"",IF(AND(M289&gt;=R289,OR(NOT(ISNUMBER(S289)),M289&lt;=S289)),"持仓跨财报",""))</f>
        <v/>
      </c>
      <c r="AC289" s="20">
        <f>IF(AND(E289="空",ISNUMBER(O289),ISNUMBER(S289)),ROUND(O289*(S289-R289)/360*V289*U289,2),0)</f>
        <v>0</v>
      </c>
      <c r="AD289" s="43" t="str">
        <f>IF(N(U289)=0,"",SUMIFS('成交明细'!$L$5:$L$804,'成交明细'!$A$5:$A$804,A289)+AC289)</f>
        <v/>
      </c>
      <c r="AE289" s="44" t="str">
        <f>IF(Y289&lt;&gt;"已平仓","",(SUMIFS('成交明细'!$H$5:$H$804,'成交明细'!$A$5:$A$804,A289,'成交明细'!$D$5:$D$804,"卖")-SUMIFS('成交明细'!$H$5:$H$804,'成交明细'!$A$5:$A$804,A289,'成交明细'!$D$5:$D$804,"买"))*1-AD289)</f>
        <v/>
      </c>
      <c r="AF289" s="45" t="str">
        <f>IF(AND(Y289="已平仓",ISNUMBER(L289)),(SUMIFS('成交明细'!$H$5:$H$804,'成交明细'!$A$5:$A$804,A289,'成交明细'!$D$5:$D$804,"卖")-SUMIFS('成交明细'!$H$5:$H$804,'成交明细'!$A$5:$A$804,A289,'成交明细'!$D$5:$D$804,"买"))*1/L289,"")</f>
        <v/>
      </c>
      <c r="AG289" s="45" t="str">
        <f>IF(AND(Y289="已平仓",ISNUMBER(L289)),AE289/L289,"")</f>
        <v/>
      </c>
      <c r="AH289" s="46" t="str">
        <f>IF(AND(ISNUMBER(V289),ISNUMBER(F289)),IF(E289="空",F289-V289,V289-F289),"")</f>
        <v/>
      </c>
      <c r="AI289" s="46" t="str">
        <f>IF(OR(NOT(ISNUMBER(AE289)),NOT(ISNUMBER(X289))),"",IF(AE289&lt;0,IF(E289="空",X289-G289,G289-X289),IF(NOT(ISNUMBER(H289)),"",IF(E289="空",X289-H289,H289-X289))))</f>
        <v/>
      </c>
      <c r="AJ289" s="32" t="n"/>
      <c r="AK289" s="32" t="n"/>
      <c r="AL289" s="31" t="n"/>
      <c r="AM289" s="45" t="str">
        <f>IF(A289="","",SUM(AG$5:AG289))</f>
        <v/>
      </c>
      <c r="AN289" s="37" t="str">
        <f>IF(A289="","",MAX(0,MAX(AM$5:AM289))-AM289)</f>
        <v/>
      </c>
    </row>
    <row r="290">
      <c r="A290" s="29" t="n"/>
      <c r="B290" s="30" t="n"/>
      <c r="C290" s="31" t="n"/>
      <c r="D290" s="32" t="n"/>
      <c r="E290" s="32" t="n"/>
      <c r="F290" s="33" t="n"/>
      <c r="G290" s="33" t="n"/>
      <c r="H290" s="33" t="n"/>
      <c r="I290" s="34" t="str">
        <f>IF(AND(ISNUMBER(F290),ISNUMBER(G290),ISNUMBER(H290)),IF(OR(AND(E290="多",F290&gt;G290),AND(E290="空",F290&lt;G290)),ABS(H290-F290)/ABS(F290-G290),"止损方向不对"),"")</f>
        <v/>
      </c>
      <c r="J290" s="35" t="str">
        <f>IF(AND(ISNUMBER(F290),ISNUMBER(G290)),IF(F290=G290,"",IF(INT(ROUND('参数'!$C$7/(ABS(F290-G290)*1+2*'参数'!$C$11+N('参数'!$C$14)*F290+N('参数'!$C$15))/1,6))*1&gt;0,INT(ROUND('参数'!$C$7/(ABS(F290-G290)*1+2*'参数'!$C$11+N('参数'!$C$14)*F290+N('参数'!$C$15))/1,6))*1,"预算不足，这笔不做")),"")</f>
        <v/>
      </c>
      <c r="K290" s="36" t="n"/>
      <c r="L290" s="20" t="str">
        <f>IF(AND(ISNUMBER(F290),ISNUMBER(G290),ISNUMBER(K290)),IF(AND(F290&lt;&gt;G290,K290&gt;0),ABS(F290-G290)*K290*1,""),"")</f>
        <v/>
      </c>
      <c r="M290" s="30" t="n"/>
      <c r="N290" s="37" t="str">
        <f>IF(AND(ISNUMBER(L290),ISNUMBER(M290)),IF(E290="空",(G290*(1+'参数'!$C$17)-F290),(F290-G290*(1-'参数'!$C$17)))*K290/L290,"")</f>
        <v/>
      </c>
      <c r="O290" s="38" t="n"/>
      <c r="P290" s="31" t="n"/>
      <c r="Q290" s="32" t="n"/>
      <c r="R290" s="39" t="str">
        <f>IF(N(U290)&gt;0,SUMPRODUCT(LARGE(('成交明细'!$A$5:$A$804=A290)*('成交明细'!$D$5:$D$804=IF(E290="空","卖","买"))*'成交明细'!$B$5:$B$804,COUNTIFS('成交明细'!$A$5:$A$804,A290,'成交明细'!$D$5:$D$804,IF(E290="空","卖","买")))),"")</f>
        <v/>
      </c>
      <c r="S290" s="39" t="str">
        <f>IF(AND(N(U290)&gt;0,N(W290)&gt;=N(U290)),SUMPRODUCT(MAX(('成交明细'!$A$5:$A$804=A290)*('成交明细'!$D$5:$D$804=IF(E290="空","买","卖"))*'成交明细'!$B$5:$B$804)),"")</f>
        <v/>
      </c>
      <c r="T290" s="32" t="n"/>
      <c r="U290" s="35" t="str">
        <f>IF(A290="","",SUMIFS('成交明细'!$F$5:$F$804,'成交明细'!$A$5:$A$804,A290,'成交明细'!$D$5:$D$804,IF(E290="空","卖","买")))</f>
        <v/>
      </c>
      <c r="V290" s="40" t="str">
        <f>IF(N(U290)&gt;0,SUMIFS('成交明细'!$H$5:$H$804,'成交明细'!$A$5:$A$804,A290,'成交明细'!$D$5:$D$804,IF(E290="空","卖","买"))/U290,"")</f>
        <v/>
      </c>
      <c r="W290" s="35" t="str">
        <f>IF(A290="","",SUMIFS('成交明细'!$F$5:$F$804,'成交明细'!$A$5:$A$804,A290,'成交明细'!$D$5:$D$804,IF(E290="空","买","卖")))</f>
        <v/>
      </c>
      <c r="X290" s="40" t="str">
        <f>IF(N(W290)&gt;0,SUMIFS('成交明细'!$H$5:$H$804,'成交明细'!$A$5:$A$804,A290,'成交明细'!$D$5:$D$804,IF(E290="空","买","卖"))/W290,"")</f>
        <v/>
      </c>
      <c r="Y290" s="41" t="str">
        <f>IF(A290="","",IF(Q290&lt;&gt;"已执行",IF(Q290="","未填执行情况",Q290),IF(N(U290)=0,"待录成交",IF(N(W290)&gt;N(U290),"平仓多于开仓",IF(N(W290)&lt;N(U290),"持仓中","已平仓")))))</f>
        <v/>
      </c>
      <c r="Z290" s="41" t="str">
        <f>IF(AND(ISNUMBER(R290),ISNUMBER(S290)),IF(R290=S290,"日内",""),"")</f>
        <v/>
      </c>
      <c r="AA290" s="42" t="str">
        <f>IF(Z290&lt;&gt;"日内","",COUNTIFS($Z$5:$Z$304,"日内",$S$5:$S$304,"&gt;"&amp;WORKDAY(S290,-5),$S$5:$S$304,"&lt;="&amp;S290))</f>
        <v/>
      </c>
      <c r="AB290" s="41" t="str">
        <f>IF(OR(NOT(ISNUMBER(M290)),NOT(ISNUMBER(R290))),"",IF(AND(M290&gt;=R290,OR(NOT(ISNUMBER(S290)),M290&lt;=S290)),"持仓跨财报",""))</f>
        <v/>
      </c>
      <c r="AC290" s="20">
        <f>IF(AND(E290="空",ISNUMBER(O290),ISNUMBER(S290)),ROUND(O290*(S290-R290)/360*V290*U290,2),0)</f>
        <v>0</v>
      </c>
      <c r="AD290" s="43" t="str">
        <f>IF(N(U290)=0,"",SUMIFS('成交明细'!$L$5:$L$804,'成交明细'!$A$5:$A$804,A290)+AC290)</f>
        <v/>
      </c>
      <c r="AE290" s="44" t="str">
        <f>IF(Y290&lt;&gt;"已平仓","",(SUMIFS('成交明细'!$H$5:$H$804,'成交明细'!$A$5:$A$804,A290,'成交明细'!$D$5:$D$804,"卖")-SUMIFS('成交明细'!$H$5:$H$804,'成交明细'!$A$5:$A$804,A290,'成交明细'!$D$5:$D$804,"买"))*1-AD290)</f>
        <v/>
      </c>
      <c r="AF290" s="45" t="str">
        <f>IF(AND(Y290="已平仓",ISNUMBER(L290)),(SUMIFS('成交明细'!$H$5:$H$804,'成交明细'!$A$5:$A$804,A290,'成交明细'!$D$5:$D$804,"卖")-SUMIFS('成交明细'!$H$5:$H$804,'成交明细'!$A$5:$A$804,A290,'成交明细'!$D$5:$D$804,"买"))*1/L290,"")</f>
        <v/>
      </c>
      <c r="AG290" s="45" t="str">
        <f>IF(AND(Y290="已平仓",ISNUMBER(L290)),AE290/L290,"")</f>
        <v/>
      </c>
      <c r="AH290" s="46" t="str">
        <f>IF(AND(ISNUMBER(V290),ISNUMBER(F290)),IF(E290="空",F290-V290,V290-F290),"")</f>
        <v/>
      </c>
      <c r="AI290" s="46" t="str">
        <f>IF(OR(NOT(ISNUMBER(AE290)),NOT(ISNUMBER(X290))),"",IF(AE290&lt;0,IF(E290="空",X290-G290,G290-X290),IF(NOT(ISNUMBER(H290)),"",IF(E290="空",X290-H290,H290-X290))))</f>
        <v/>
      </c>
      <c r="AJ290" s="32" t="n"/>
      <c r="AK290" s="32" t="n"/>
      <c r="AL290" s="31" t="n"/>
      <c r="AM290" s="45" t="str">
        <f>IF(A290="","",SUM(AG$5:AG290))</f>
        <v/>
      </c>
      <c r="AN290" s="37" t="str">
        <f>IF(A290="","",MAX(0,MAX(AM$5:AM290))-AM290)</f>
        <v/>
      </c>
    </row>
    <row r="291">
      <c r="A291" s="29" t="n"/>
      <c r="B291" s="30" t="n"/>
      <c r="C291" s="31" t="n"/>
      <c r="D291" s="32" t="n"/>
      <c r="E291" s="32" t="n"/>
      <c r="F291" s="33" t="n"/>
      <c r="G291" s="33" t="n"/>
      <c r="H291" s="33" t="n"/>
      <c r="I291" s="34" t="str">
        <f>IF(AND(ISNUMBER(F291),ISNUMBER(G291),ISNUMBER(H291)),IF(OR(AND(E291="多",F291&gt;G291),AND(E291="空",F291&lt;G291)),ABS(H291-F291)/ABS(F291-G291),"止损方向不对"),"")</f>
        <v/>
      </c>
      <c r="J291" s="35" t="str">
        <f>IF(AND(ISNUMBER(F291),ISNUMBER(G291)),IF(F291=G291,"",IF(INT(ROUND('参数'!$C$7/(ABS(F291-G291)*1+2*'参数'!$C$11+N('参数'!$C$14)*F291+N('参数'!$C$15))/1,6))*1&gt;0,INT(ROUND('参数'!$C$7/(ABS(F291-G291)*1+2*'参数'!$C$11+N('参数'!$C$14)*F291+N('参数'!$C$15))/1,6))*1,"预算不足，这笔不做")),"")</f>
        <v/>
      </c>
      <c r="K291" s="36" t="n"/>
      <c r="L291" s="20" t="str">
        <f>IF(AND(ISNUMBER(F291),ISNUMBER(G291),ISNUMBER(K291)),IF(AND(F291&lt;&gt;G291,K291&gt;0),ABS(F291-G291)*K291*1,""),"")</f>
        <v/>
      </c>
      <c r="M291" s="30" t="n"/>
      <c r="N291" s="37" t="str">
        <f>IF(AND(ISNUMBER(L291),ISNUMBER(M291)),IF(E291="空",(G291*(1+'参数'!$C$17)-F291),(F291-G291*(1-'参数'!$C$17)))*K291/L291,"")</f>
        <v/>
      </c>
      <c r="O291" s="38" t="n"/>
      <c r="P291" s="31" t="n"/>
      <c r="Q291" s="32" t="n"/>
      <c r="R291" s="39" t="str">
        <f>IF(N(U291)&gt;0,SUMPRODUCT(LARGE(('成交明细'!$A$5:$A$804=A291)*('成交明细'!$D$5:$D$804=IF(E291="空","卖","买"))*'成交明细'!$B$5:$B$804,COUNTIFS('成交明细'!$A$5:$A$804,A291,'成交明细'!$D$5:$D$804,IF(E291="空","卖","买")))),"")</f>
        <v/>
      </c>
      <c r="S291" s="39" t="str">
        <f>IF(AND(N(U291)&gt;0,N(W291)&gt;=N(U291)),SUMPRODUCT(MAX(('成交明细'!$A$5:$A$804=A291)*('成交明细'!$D$5:$D$804=IF(E291="空","买","卖"))*'成交明细'!$B$5:$B$804)),"")</f>
        <v/>
      </c>
      <c r="T291" s="32" t="n"/>
      <c r="U291" s="35" t="str">
        <f>IF(A291="","",SUMIFS('成交明细'!$F$5:$F$804,'成交明细'!$A$5:$A$804,A291,'成交明细'!$D$5:$D$804,IF(E291="空","卖","买")))</f>
        <v/>
      </c>
      <c r="V291" s="40" t="str">
        <f>IF(N(U291)&gt;0,SUMIFS('成交明细'!$H$5:$H$804,'成交明细'!$A$5:$A$804,A291,'成交明细'!$D$5:$D$804,IF(E291="空","卖","买"))/U291,"")</f>
        <v/>
      </c>
      <c r="W291" s="35" t="str">
        <f>IF(A291="","",SUMIFS('成交明细'!$F$5:$F$804,'成交明细'!$A$5:$A$804,A291,'成交明细'!$D$5:$D$804,IF(E291="空","买","卖")))</f>
        <v/>
      </c>
      <c r="X291" s="40" t="str">
        <f>IF(N(W291)&gt;0,SUMIFS('成交明细'!$H$5:$H$804,'成交明细'!$A$5:$A$804,A291,'成交明细'!$D$5:$D$804,IF(E291="空","买","卖"))/W291,"")</f>
        <v/>
      </c>
      <c r="Y291" s="41" t="str">
        <f>IF(A291="","",IF(Q291&lt;&gt;"已执行",IF(Q291="","未填执行情况",Q291),IF(N(U291)=0,"待录成交",IF(N(W291)&gt;N(U291),"平仓多于开仓",IF(N(W291)&lt;N(U291),"持仓中","已平仓")))))</f>
        <v/>
      </c>
      <c r="Z291" s="41" t="str">
        <f>IF(AND(ISNUMBER(R291),ISNUMBER(S291)),IF(R291=S291,"日内",""),"")</f>
        <v/>
      </c>
      <c r="AA291" s="42" t="str">
        <f>IF(Z291&lt;&gt;"日内","",COUNTIFS($Z$5:$Z$304,"日内",$S$5:$S$304,"&gt;"&amp;WORKDAY(S291,-5),$S$5:$S$304,"&lt;="&amp;S291))</f>
        <v/>
      </c>
      <c r="AB291" s="41" t="str">
        <f>IF(OR(NOT(ISNUMBER(M291)),NOT(ISNUMBER(R291))),"",IF(AND(M291&gt;=R291,OR(NOT(ISNUMBER(S291)),M291&lt;=S291)),"持仓跨财报",""))</f>
        <v/>
      </c>
      <c r="AC291" s="20">
        <f>IF(AND(E291="空",ISNUMBER(O291),ISNUMBER(S291)),ROUND(O291*(S291-R291)/360*V291*U291,2),0)</f>
        <v>0</v>
      </c>
      <c r="AD291" s="43" t="str">
        <f>IF(N(U291)=0,"",SUMIFS('成交明细'!$L$5:$L$804,'成交明细'!$A$5:$A$804,A291)+AC291)</f>
        <v/>
      </c>
      <c r="AE291" s="44" t="str">
        <f>IF(Y291&lt;&gt;"已平仓","",(SUMIFS('成交明细'!$H$5:$H$804,'成交明细'!$A$5:$A$804,A291,'成交明细'!$D$5:$D$804,"卖")-SUMIFS('成交明细'!$H$5:$H$804,'成交明细'!$A$5:$A$804,A291,'成交明细'!$D$5:$D$804,"买"))*1-AD291)</f>
        <v/>
      </c>
      <c r="AF291" s="45" t="str">
        <f>IF(AND(Y291="已平仓",ISNUMBER(L291)),(SUMIFS('成交明细'!$H$5:$H$804,'成交明细'!$A$5:$A$804,A291,'成交明细'!$D$5:$D$804,"卖")-SUMIFS('成交明细'!$H$5:$H$804,'成交明细'!$A$5:$A$804,A291,'成交明细'!$D$5:$D$804,"买"))*1/L291,"")</f>
        <v/>
      </c>
      <c r="AG291" s="45" t="str">
        <f>IF(AND(Y291="已平仓",ISNUMBER(L291)),AE291/L291,"")</f>
        <v/>
      </c>
      <c r="AH291" s="46" t="str">
        <f>IF(AND(ISNUMBER(V291),ISNUMBER(F291)),IF(E291="空",F291-V291,V291-F291),"")</f>
        <v/>
      </c>
      <c r="AI291" s="46" t="str">
        <f>IF(OR(NOT(ISNUMBER(AE291)),NOT(ISNUMBER(X291))),"",IF(AE291&lt;0,IF(E291="空",X291-G291,G291-X291),IF(NOT(ISNUMBER(H291)),"",IF(E291="空",X291-H291,H291-X291))))</f>
        <v/>
      </c>
      <c r="AJ291" s="32" t="n"/>
      <c r="AK291" s="32" t="n"/>
      <c r="AL291" s="31" t="n"/>
      <c r="AM291" s="45" t="str">
        <f>IF(A291="","",SUM(AG$5:AG291))</f>
        <v/>
      </c>
      <c r="AN291" s="37" t="str">
        <f>IF(A291="","",MAX(0,MAX(AM$5:AM291))-AM291)</f>
        <v/>
      </c>
    </row>
    <row r="292">
      <c r="A292" s="29" t="n"/>
      <c r="B292" s="30" t="n"/>
      <c r="C292" s="31" t="n"/>
      <c r="D292" s="32" t="n"/>
      <c r="E292" s="32" t="n"/>
      <c r="F292" s="33" t="n"/>
      <c r="G292" s="33" t="n"/>
      <c r="H292" s="33" t="n"/>
      <c r="I292" s="34" t="str">
        <f>IF(AND(ISNUMBER(F292),ISNUMBER(G292),ISNUMBER(H292)),IF(OR(AND(E292="多",F292&gt;G292),AND(E292="空",F292&lt;G292)),ABS(H292-F292)/ABS(F292-G292),"止损方向不对"),"")</f>
        <v/>
      </c>
      <c r="J292" s="35" t="str">
        <f>IF(AND(ISNUMBER(F292),ISNUMBER(G292)),IF(F292=G292,"",IF(INT(ROUND('参数'!$C$7/(ABS(F292-G292)*1+2*'参数'!$C$11+N('参数'!$C$14)*F292+N('参数'!$C$15))/1,6))*1&gt;0,INT(ROUND('参数'!$C$7/(ABS(F292-G292)*1+2*'参数'!$C$11+N('参数'!$C$14)*F292+N('参数'!$C$15))/1,6))*1,"预算不足，这笔不做")),"")</f>
        <v/>
      </c>
      <c r="K292" s="36" t="n"/>
      <c r="L292" s="20" t="str">
        <f>IF(AND(ISNUMBER(F292),ISNUMBER(G292),ISNUMBER(K292)),IF(AND(F292&lt;&gt;G292,K292&gt;0),ABS(F292-G292)*K292*1,""),"")</f>
        <v/>
      </c>
      <c r="M292" s="30" t="n"/>
      <c r="N292" s="37" t="str">
        <f>IF(AND(ISNUMBER(L292),ISNUMBER(M292)),IF(E292="空",(G292*(1+'参数'!$C$17)-F292),(F292-G292*(1-'参数'!$C$17)))*K292/L292,"")</f>
        <v/>
      </c>
      <c r="O292" s="38" t="n"/>
      <c r="P292" s="31" t="n"/>
      <c r="Q292" s="32" t="n"/>
      <c r="R292" s="39" t="str">
        <f>IF(N(U292)&gt;0,SUMPRODUCT(LARGE(('成交明细'!$A$5:$A$804=A292)*('成交明细'!$D$5:$D$804=IF(E292="空","卖","买"))*'成交明细'!$B$5:$B$804,COUNTIFS('成交明细'!$A$5:$A$804,A292,'成交明细'!$D$5:$D$804,IF(E292="空","卖","买")))),"")</f>
        <v/>
      </c>
      <c r="S292" s="39" t="str">
        <f>IF(AND(N(U292)&gt;0,N(W292)&gt;=N(U292)),SUMPRODUCT(MAX(('成交明细'!$A$5:$A$804=A292)*('成交明细'!$D$5:$D$804=IF(E292="空","买","卖"))*'成交明细'!$B$5:$B$804)),"")</f>
        <v/>
      </c>
      <c r="T292" s="32" t="n"/>
      <c r="U292" s="35" t="str">
        <f>IF(A292="","",SUMIFS('成交明细'!$F$5:$F$804,'成交明细'!$A$5:$A$804,A292,'成交明细'!$D$5:$D$804,IF(E292="空","卖","买")))</f>
        <v/>
      </c>
      <c r="V292" s="40" t="str">
        <f>IF(N(U292)&gt;0,SUMIFS('成交明细'!$H$5:$H$804,'成交明细'!$A$5:$A$804,A292,'成交明细'!$D$5:$D$804,IF(E292="空","卖","买"))/U292,"")</f>
        <v/>
      </c>
      <c r="W292" s="35" t="str">
        <f>IF(A292="","",SUMIFS('成交明细'!$F$5:$F$804,'成交明细'!$A$5:$A$804,A292,'成交明细'!$D$5:$D$804,IF(E292="空","买","卖")))</f>
        <v/>
      </c>
      <c r="X292" s="40" t="str">
        <f>IF(N(W292)&gt;0,SUMIFS('成交明细'!$H$5:$H$804,'成交明细'!$A$5:$A$804,A292,'成交明细'!$D$5:$D$804,IF(E292="空","买","卖"))/W292,"")</f>
        <v/>
      </c>
      <c r="Y292" s="41" t="str">
        <f>IF(A292="","",IF(Q292&lt;&gt;"已执行",IF(Q292="","未填执行情况",Q292),IF(N(U292)=0,"待录成交",IF(N(W292)&gt;N(U292),"平仓多于开仓",IF(N(W292)&lt;N(U292),"持仓中","已平仓")))))</f>
        <v/>
      </c>
      <c r="Z292" s="41" t="str">
        <f>IF(AND(ISNUMBER(R292),ISNUMBER(S292)),IF(R292=S292,"日内",""),"")</f>
        <v/>
      </c>
      <c r="AA292" s="42" t="str">
        <f>IF(Z292&lt;&gt;"日内","",COUNTIFS($Z$5:$Z$304,"日内",$S$5:$S$304,"&gt;"&amp;WORKDAY(S292,-5),$S$5:$S$304,"&lt;="&amp;S292))</f>
        <v/>
      </c>
      <c r="AB292" s="41" t="str">
        <f>IF(OR(NOT(ISNUMBER(M292)),NOT(ISNUMBER(R292))),"",IF(AND(M292&gt;=R292,OR(NOT(ISNUMBER(S292)),M292&lt;=S292)),"持仓跨财报",""))</f>
        <v/>
      </c>
      <c r="AC292" s="20">
        <f>IF(AND(E292="空",ISNUMBER(O292),ISNUMBER(S292)),ROUND(O292*(S292-R292)/360*V292*U292,2),0)</f>
        <v>0</v>
      </c>
      <c r="AD292" s="43" t="str">
        <f>IF(N(U292)=0,"",SUMIFS('成交明细'!$L$5:$L$804,'成交明细'!$A$5:$A$804,A292)+AC292)</f>
        <v/>
      </c>
      <c r="AE292" s="44" t="str">
        <f>IF(Y292&lt;&gt;"已平仓","",(SUMIFS('成交明细'!$H$5:$H$804,'成交明细'!$A$5:$A$804,A292,'成交明细'!$D$5:$D$804,"卖")-SUMIFS('成交明细'!$H$5:$H$804,'成交明细'!$A$5:$A$804,A292,'成交明细'!$D$5:$D$804,"买"))*1-AD292)</f>
        <v/>
      </c>
      <c r="AF292" s="45" t="str">
        <f>IF(AND(Y292="已平仓",ISNUMBER(L292)),(SUMIFS('成交明细'!$H$5:$H$804,'成交明细'!$A$5:$A$804,A292,'成交明细'!$D$5:$D$804,"卖")-SUMIFS('成交明细'!$H$5:$H$804,'成交明细'!$A$5:$A$804,A292,'成交明细'!$D$5:$D$804,"买"))*1/L292,"")</f>
        <v/>
      </c>
      <c r="AG292" s="45" t="str">
        <f>IF(AND(Y292="已平仓",ISNUMBER(L292)),AE292/L292,"")</f>
        <v/>
      </c>
      <c r="AH292" s="46" t="str">
        <f>IF(AND(ISNUMBER(V292),ISNUMBER(F292)),IF(E292="空",F292-V292,V292-F292),"")</f>
        <v/>
      </c>
      <c r="AI292" s="46" t="str">
        <f>IF(OR(NOT(ISNUMBER(AE292)),NOT(ISNUMBER(X292))),"",IF(AE292&lt;0,IF(E292="空",X292-G292,G292-X292),IF(NOT(ISNUMBER(H292)),"",IF(E292="空",X292-H292,H292-X292))))</f>
        <v/>
      </c>
      <c r="AJ292" s="32" t="n"/>
      <c r="AK292" s="32" t="n"/>
      <c r="AL292" s="31" t="n"/>
      <c r="AM292" s="45" t="str">
        <f>IF(A292="","",SUM(AG$5:AG292))</f>
        <v/>
      </c>
      <c r="AN292" s="37" t="str">
        <f>IF(A292="","",MAX(0,MAX(AM$5:AM292))-AM292)</f>
        <v/>
      </c>
    </row>
    <row r="293">
      <c r="A293" s="29" t="n"/>
      <c r="B293" s="30" t="n"/>
      <c r="C293" s="31" t="n"/>
      <c r="D293" s="32" t="n"/>
      <c r="E293" s="32" t="n"/>
      <c r="F293" s="33" t="n"/>
      <c r="G293" s="33" t="n"/>
      <c r="H293" s="33" t="n"/>
      <c r="I293" s="34" t="str">
        <f>IF(AND(ISNUMBER(F293),ISNUMBER(G293),ISNUMBER(H293)),IF(OR(AND(E293="多",F293&gt;G293),AND(E293="空",F293&lt;G293)),ABS(H293-F293)/ABS(F293-G293),"止损方向不对"),"")</f>
        <v/>
      </c>
      <c r="J293" s="35" t="str">
        <f>IF(AND(ISNUMBER(F293),ISNUMBER(G293)),IF(F293=G293,"",IF(INT(ROUND('参数'!$C$7/(ABS(F293-G293)*1+2*'参数'!$C$11+N('参数'!$C$14)*F293+N('参数'!$C$15))/1,6))*1&gt;0,INT(ROUND('参数'!$C$7/(ABS(F293-G293)*1+2*'参数'!$C$11+N('参数'!$C$14)*F293+N('参数'!$C$15))/1,6))*1,"预算不足，这笔不做")),"")</f>
        <v/>
      </c>
      <c r="K293" s="36" t="n"/>
      <c r="L293" s="20" t="str">
        <f>IF(AND(ISNUMBER(F293),ISNUMBER(G293),ISNUMBER(K293)),IF(AND(F293&lt;&gt;G293,K293&gt;0),ABS(F293-G293)*K293*1,""),"")</f>
        <v/>
      </c>
      <c r="M293" s="30" t="n"/>
      <c r="N293" s="37" t="str">
        <f>IF(AND(ISNUMBER(L293),ISNUMBER(M293)),IF(E293="空",(G293*(1+'参数'!$C$17)-F293),(F293-G293*(1-'参数'!$C$17)))*K293/L293,"")</f>
        <v/>
      </c>
      <c r="O293" s="38" t="n"/>
      <c r="P293" s="31" t="n"/>
      <c r="Q293" s="32" t="n"/>
      <c r="R293" s="39" t="str">
        <f>IF(N(U293)&gt;0,SUMPRODUCT(LARGE(('成交明细'!$A$5:$A$804=A293)*('成交明细'!$D$5:$D$804=IF(E293="空","卖","买"))*'成交明细'!$B$5:$B$804,COUNTIFS('成交明细'!$A$5:$A$804,A293,'成交明细'!$D$5:$D$804,IF(E293="空","卖","买")))),"")</f>
        <v/>
      </c>
      <c r="S293" s="39" t="str">
        <f>IF(AND(N(U293)&gt;0,N(W293)&gt;=N(U293)),SUMPRODUCT(MAX(('成交明细'!$A$5:$A$804=A293)*('成交明细'!$D$5:$D$804=IF(E293="空","买","卖"))*'成交明细'!$B$5:$B$804)),"")</f>
        <v/>
      </c>
      <c r="T293" s="32" t="n"/>
      <c r="U293" s="35" t="str">
        <f>IF(A293="","",SUMIFS('成交明细'!$F$5:$F$804,'成交明细'!$A$5:$A$804,A293,'成交明细'!$D$5:$D$804,IF(E293="空","卖","买")))</f>
        <v/>
      </c>
      <c r="V293" s="40" t="str">
        <f>IF(N(U293)&gt;0,SUMIFS('成交明细'!$H$5:$H$804,'成交明细'!$A$5:$A$804,A293,'成交明细'!$D$5:$D$804,IF(E293="空","卖","买"))/U293,"")</f>
        <v/>
      </c>
      <c r="W293" s="35" t="str">
        <f>IF(A293="","",SUMIFS('成交明细'!$F$5:$F$804,'成交明细'!$A$5:$A$804,A293,'成交明细'!$D$5:$D$804,IF(E293="空","买","卖")))</f>
        <v/>
      </c>
      <c r="X293" s="40" t="str">
        <f>IF(N(W293)&gt;0,SUMIFS('成交明细'!$H$5:$H$804,'成交明细'!$A$5:$A$804,A293,'成交明细'!$D$5:$D$804,IF(E293="空","买","卖"))/W293,"")</f>
        <v/>
      </c>
      <c r="Y293" s="41" t="str">
        <f>IF(A293="","",IF(Q293&lt;&gt;"已执行",IF(Q293="","未填执行情况",Q293),IF(N(U293)=0,"待录成交",IF(N(W293)&gt;N(U293),"平仓多于开仓",IF(N(W293)&lt;N(U293),"持仓中","已平仓")))))</f>
        <v/>
      </c>
      <c r="Z293" s="41" t="str">
        <f>IF(AND(ISNUMBER(R293),ISNUMBER(S293)),IF(R293=S293,"日内",""),"")</f>
        <v/>
      </c>
      <c r="AA293" s="42" t="str">
        <f>IF(Z293&lt;&gt;"日内","",COUNTIFS($Z$5:$Z$304,"日内",$S$5:$S$304,"&gt;"&amp;WORKDAY(S293,-5),$S$5:$S$304,"&lt;="&amp;S293))</f>
        <v/>
      </c>
      <c r="AB293" s="41" t="str">
        <f>IF(OR(NOT(ISNUMBER(M293)),NOT(ISNUMBER(R293))),"",IF(AND(M293&gt;=R293,OR(NOT(ISNUMBER(S293)),M293&lt;=S293)),"持仓跨财报",""))</f>
        <v/>
      </c>
      <c r="AC293" s="20">
        <f>IF(AND(E293="空",ISNUMBER(O293),ISNUMBER(S293)),ROUND(O293*(S293-R293)/360*V293*U293,2),0)</f>
        <v>0</v>
      </c>
      <c r="AD293" s="43" t="str">
        <f>IF(N(U293)=0,"",SUMIFS('成交明细'!$L$5:$L$804,'成交明细'!$A$5:$A$804,A293)+AC293)</f>
        <v/>
      </c>
      <c r="AE293" s="44" t="str">
        <f>IF(Y293&lt;&gt;"已平仓","",(SUMIFS('成交明细'!$H$5:$H$804,'成交明细'!$A$5:$A$804,A293,'成交明细'!$D$5:$D$804,"卖")-SUMIFS('成交明细'!$H$5:$H$804,'成交明细'!$A$5:$A$804,A293,'成交明细'!$D$5:$D$804,"买"))*1-AD293)</f>
        <v/>
      </c>
      <c r="AF293" s="45" t="str">
        <f>IF(AND(Y293="已平仓",ISNUMBER(L293)),(SUMIFS('成交明细'!$H$5:$H$804,'成交明细'!$A$5:$A$804,A293,'成交明细'!$D$5:$D$804,"卖")-SUMIFS('成交明细'!$H$5:$H$804,'成交明细'!$A$5:$A$804,A293,'成交明细'!$D$5:$D$804,"买"))*1/L293,"")</f>
        <v/>
      </c>
      <c r="AG293" s="45" t="str">
        <f>IF(AND(Y293="已平仓",ISNUMBER(L293)),AE293/L293,"")</f>
        <v/>
      </c>
      <c r="AH293" s="46" t="str">
        <f>IF(AND(ISNUMBER(V293),ISNUMBER(F293)),IF(E293="空",F293-V293,V293-F293),"")</f>
        <v/>
      </c>
      <c r="AI293" s="46" t="str">
        <f>IF(OR(NOT(ISNUMBER(AE293)),NOT(ISNUMBER(X293))),"",IF(AE293&lt;0,IF(E293="空",X293-G293,G293-X293),IF(NOT(ISNUMBER(H293)),"",IF(E293="空",X293-H293,H293-X293))))</f>
        <v/>
      </c>
      <c r="AJ293" s="32" t="n"/>
      <c r="AK293" s="32" t="n"/>
      <c r="AL293" s="31" t="n"/>
      <c r="AM293" s="45" t="str">
        <f>IF(A293="","",SUM(AG$5:AG293))</f>
        <v/>
      </c>
      <c r="AN293" s="37" t="str">
        <f>IF(A293="","",MAX(0,MAX(AM$5:AM293))-AM293)</f>
        <v/>
      </c>
    </row>
    <row r="294">
      <c r="A294" s="29" t="n"/>
      <c r="B294" s="30" t="n"/>
      <c r="C294" s="31" t="n"/>
      <c r="D294" s="32" t="n"/>
      <c r="E294" s="32" t="n"/>
      <c r="F294" s="33" t="n"/>
      <c r="G294" s="33" t="n"/>
      <c r="H294" s="33" t="n"/>
      <c r="I294" s="34" t="str">
        <f>IF(AND(ISNUMBER(F294),ISNUMBER(G294),ISNUMBER(H294)),IF(OR(AND(E294="多",F294&gt;G294),AND(E294="空",F294&lt;G294)),ABS(H294-F294)/ABS(F294-G294),"止损方向不对"),"")</f>
        <v/>
      </c>
      <c r="J294" s="35" t="str">
        <f>IF(AND(ISNUMBER(F294),ISNUMBER(G294)),IF(F294=G294,"",IF(INT(ROUND('参数'!$C$7/(ABS(F294-G294)*1+2*'参数'!$C$11+N('参数'!$C$14)*F294+N('参数'!$C$15))/1,6))*1&gt;0,INT(ROUND('参数'!$C$7/(ABS(F294-G294)*1+2*'参数'!$C$11+N('参数'!$C$14)*F294+N('参数'!$C$15))/1,6))*1,"预算不足，这笔不做")),"")</f>
        <v/>
      </c>
      <c r="K294" s="36" t="n"/>
      <c r="L294" s="20" t="str">
        <f>IF(AND(ISNUMBER(F294),ISNUMBER(G294),ISNUMBER(K294)),IF(AND(F294&lt;&gt;G294,K294&gt;0),ABS(F294-G294)*K294*1,""),"")</f>
        <v/>
      </c>
      <c r="M294" s="30" t="n"/>
      <c r="N294" s="37" t="str">
        <f>IF(AND(ISNUMBER(L294),ISNUMBER(M294)),IF(E294="空",(G294*(1+'参数'!$C$17)-F294),(F294-G294*(1-'参数'!$C$17)))*K294/L294,"")</f>
        <v/>
      </c>
      <c r="O294" s="38" t="n"/>
      <c r="P294" s="31" t="n"/>
      <c r="Q294" s="32" t="n"/>
      <c r="R294" s="39" t="str">
        <f>IF(N(U294)&gt;0,SUMPRODUCT(LARGE(('成交明细'!$A$5:$A$804=A294)*('成交明细'!$D$5:$D$804=IF(E294="空","卖","买"))*'成交明细'!$B$5:$B$804,COUNTIFS('成交明细'!$A$5:$A$804,A294,'成交明细'!$D$5:$D$804,IF(E294="空","卖","买")))),"")</f>
        <v/>
      </c>
      <c r="S294" s="39" t="str">
        <f>IF(AND(N(U294)&gt;0,N(W294)&gt;=N(U294)),SUMPRODUCT(MAX(('成交明细'!$A$5:$A$804=A294)*('成交明细'!$D$5:$D$804=IF(E294="空","买","卖"))*'成交明细'!$B$5:$B$804)),"")</f>
        <v/>
      </c>
      <c r="T294" s="32" t="n"/>
      <c r="U294" s="35" t="str">
        <f>IF(A294="","",SUMIFS('成交明细'!$F$5:$F$804,'成交明细'!$A$5:$A$804,A294,'成交明细'!$D$5:$D$804,IF(E294="空","卖","买")))</f>
        <v/>
      </c>
      <c r="V294" s="40" t="str">
        <f>IF(N(U294)&gt;0,SUMIFS('成交明细'!$H$5:$H$804,'成交明细'!$A$5:$A$804,A294,'成交明细'!$D$5:$D$804,IF(E294="空","卖","买"))/U294,"")</f>
        <v/>
      </c>
      <c r="W294" s="35" t="str">
        <f>IF(A294="","",SUMIFS('成交明细'!$F$5:$F$804,'成交明细'!$A$5:$A$804,A294,'成交明细'!$D$5:$D$804,IF(E294="空","买","卖")))</f>
        <v/>
      </c>
      <c r="X294" s="40" t="str">
        <f>IF(N(W294)&gt;0,SUMIFS('成交明细'!$H$5:$H$804,'成交明细'!$A$5:$A$804,A294,'成交明细'!$D$5:$D$804,IF(E294="空","买","卖"))/W294,"")</f>
        <v/>
      </c>
      <c r="Y294" s="41" t="str">
        <f>IF(A294="","",IF(Q294&lt;&gt;"已执行",IF(Q294="","未填执行情况",Q294),IF(N(U294)=0,"待录成交",IF(N(W294)&gt;N(U294),"平仓多于开仓",IF(N(W294)&lt;N(U294),"持仓中","已平仓")))))</f>
        <v/>
      </c>
      <c r="Z294" s="41" t="str">
        <f>IF(AND(ISNUMBER(R294),ISNUMBER(S294)),IF(R294=S294,"日内",""),"")</f>
        <v/>
      </c>
      <c r="AA294" s="42" t="str">
        <f>IF(Z294&lt;&gt;"日内","",COUNTIFS($Z$5:$Z$304,"日内",$S$5:$S$304,"&gt;"&amp;WORKDAY(S294,-5),$S$5:$S$304,"&lt;="&amp;S294))</f>
        <v/>
      </c>
      <c r="AB294" s="41" t="str">
        <f>IF(OR(NOT(ISNUMBER(M294)),NOT(ISNUMBER(R294))),"",IF(AND(M294&gt;=R294,OR(NOT(ISNUMBER(S294)),M294&lt;=S294)),"持仓跨财报",""))</f>
        <v/>
      </c>
      <c r="AC294" s="20">
        <f>IF(AND(E294="空",ISNUMBER(O294),ISNUMBER(S294)),ROUND(O294*(S294-R294)/360*V294*U294,2),0)</f>
        <v>0</v>
      </c>
      <c r="AD294" s="43" t="str">
        <f>IF(N(U294)=0,"",SUMIFS('成交明细'!$L$5:$L$804,'成交明细'!$A$5:$A$804,A294)+AC294)</f>
        <v/>
      </c>
      <c r="AE294" s="44" t="str">
        <f>IF(Y294&lt;&gt;"已平仓","",(SUMIFS('成交明细'!$H$5:$H$804,'成交明细'!$A$5:$A$804,A294,'成交明细'!$D$5:$D$804,"卖")-SUMIFS('成交明细'!$H$5:$H$804,'成交明细'!$A$5:$A$804,A294,'成交明细'!$D$5:$D$804,"买"))*1-AD294)</f>
        <v/>
      </c>
      <c r="AF294" s="45" t="str">
        <f>IF(AND(Y294="已平仓",ISNUMBER(L294)),(SUMIFS('成交明细'!$H$5:$H$804,'成交明细'!$A$5:$A$804,A294,'成交明细'!$D$5:$D$804,"卖")-SUMIFS('成交明细'!$H$5:$H$804,'成交明细'!$A$5:$A$804,A294,'成交明细'!$D$5:$D$804,"买"))*1/L294,"")</f>
        <v/>
      </c>
      <c r="AG294" s="45" t="str">
        <f>IF(AND(Y294="已平仓",ISNUMBER(L294)),AE294/L294,"")</f>
        <v/>
      </c>
      <c r="AH294" s="46" t="str">
        <f>IF(AND(ISNUMBER(V294),ISNUMBER(F294)),IF(E294="空",F294-V294,V294-F294),"")</f>
        <v/>
      </c>
      <c r="AI294" s="46" t="str">
        <f>IF(OR(NOT(ISNUMBER(AE294)),NOT(ISNUMBER(X294))),"",IF(AE294&lt;0,IF(E294="空",X294-G294,G294-X294),IF(NOT(ISNUMBER(H294)),"",IF(E294="空",X294-H294,H294-X294))))</f>
        <v/>
      </c>
      <c r="AJ294" s="32" t="n"/>
      <c r="AK294" s="32" t="n"/>
      <c r="AL294" s="31" t="n"/>
      <c r="AM294" s="45" t="str">
        <f>IF(A294="","",SUM(AG$5:AG294))</f>
        <v/>
      </c>
      <c r="AN294" s="37" t="str">
        <f>IF(A294="","",MAX(0,MAX(AM$5:AM294))-AM294)</f>
        <v/>
      </c>
    </row>
    <row r="295">
      <c r="A295" s="29" t="n"/>
      <c r="B295" s="30" t="n"/>
      <c r="C295" s="31" t="n"/>
      <c r="D295" s="32" t="n"/>
      <c r="E295" s="32" t="n"/>
      <c r="F295" s="33" t="n"/>
      <c r="G295" s="33" t="n"/>
      <c r="H295" s="33" t="n"/>
      <c r="I295" s="34" t="str">
        <f>IF(AND(ISNUMBER(F295),ISNUMBER(G295),ISNUMBER(H295)),IF(OR(AND(E295="多",F295&gt;G295),AND(E295="空",F295&lt;G295)),ABS(H295-F295)/ABS(F295-G295),"止损方向不对"),"")</f>
        <v/>
      </c>
      <c r="J295" s="35" t="str">
        <f>IF(AND(ISNUMBER(F295),ISNUMBER(G295)),IF(F295=G295,"",IF(INT(ROUND('参数'!$C$7/(ABS(F295-G295)*1+2*'参数'!$C$11+N('参数'!$C$14)*F295+N('参数'!$C$15))/1,6))*1&gt;0,INT(ROUND('参数'!$C$7/(ABS(F295-G295)*1+2*'参数'!$C$11+N('参数'!$C$14)*F295+N('参数'!$C$15))/1,6))*1,"预算不足，这笔不做")),"")</f>
        <v/>
      </c>
      <c r="K295" s="36" t="n"/>
      <c r="L295" s="20" t="str">
        <f>IF(AND(ISNUMBER(F295),ISNUMBER(G295),ISNUMBER(K295)),IF(AND(F295&lt;&gt;G295,K295&gt;0),ABS(F295-G295)*K295*1,""),"")</f>
        <v/>
      </c>
      <c r="M295" s="30" t="n"/>
      <c r="N295" s="37" t="str">
        <f>IF(AND(ISNUMBER(L295),ISNUMBER(M295)),IF(E295="空",(G295*(1+'参数'!$C$17)-F295),(F295-G295*(1-'参数'!$C$17)))*K295/L295,"")</f>
        <v/>
      </c>
      <c r="O295" s="38" t="n"/>
      <c r="P295" s="31" t="n"/>
      <c r="Q295" s="32" t="n"/>
      <c r="R295" s="39" t="str">
        <f>IF(N(U295)&gt;0,SUMPRODUCT(LARGE(('成交明细'!$A$5:$A$804=A295)*('成交明细'!$D$5:$D$804=IF(E295="空","卖","买"))*'成交明细'!$B$5:$B$804,COUNTIFS('成交明细'!$A$5:$A$804,A295,'成交明细'!$D$5:$D$804,IF(E295="空","卖","买")))),"")</f>
        <v/>
      </c>
      <c r="S295" s="39" t="str">
        <f>IF(AND(N(U295)&gt;0,N(W295)&gt;=N(U295)),SUMPRODUCT(MAX(('成交明细'!$A$5:$A$804=A295)*('成交明细'!$D$5:$D$804=IF(E295="空","买","卖"))*'成交明细'!$B$5:$B$804)),"")</f>
        <v/>
      </c>
      <c r="T295" s="32" t="n"/>
      <c r="U295" s="35" t="str">
        <f>IF(A295="","",SUMIFS('成交明细'!$F$5:$F$804,'成交明细'!$A$5:$A$804,A295,'成交明细'!$D$5:$D$804,IF(E295="空","卖","买")))</f>
        <v/>
      </c>
      <c r="V295" s="40" t="str">
        <f>IF(N(U295)&gt;0,SUMIFS('成交明细'!$H$5:$H$804,'成交明细'!$A$5:$A$804,A295,'成交明细'!$D$5:$D$804,IF(E295="空","卖","买"))/U295,"")</f>
        <v/>
      </c>
      <c r="W295" s="35" t="str">
        <f>IF(A295="","",SUMIFS('成交明细'!$F$5:$F$804,'成交明细'!$A$5:$A$804,A295,'成交明细'!$D$5:$D$804,IF(E295="空","买","卖")))</f>
        <v/>
      </c>
      <c r="X295" s="40" t="str">
        <f>IF(N(W295)&gt;0,SUMIFS('成交明细'!$H$5:$H$804,'成交明细'!$A$5:$A$804,A295,'成交明细'!$D$5:$D$804,IF(E295="空","买","卖"))/W295,"")</f>
        <v/>
      </c>
      <c r="Y295" s="41" t="str">
        <f>IF(A295="","",IF(Q295&lt;&gt;"已执行",IF(Q295="","未填执行情况",Q295),IF(N(U295)=0,"待录成交",IF(N(W295)&gt;N(U295),"平仓多于开仓",IF(N(W295)&lt;N(U295),"持仓中","已平仓")))))</f>
        <v/>
      </c>
      <c r="Z295" s="41" t="str">
        <f>IF(AND(ISNUMBER(R295),ISNUMBER(S295)),IF(R295=S295,"日内",""),"")</f>
        <v/>
      </c>
      <c r="AA295" s="42" t="str">
        <f>IF(Z295&lt;&gt;"日内","",COUNTIFS($Z$5:$Z$304,"日内",$S$5:$S$304,"&gt;"&amp;WORKDAY(S295,-5),$S$5:$S$304,"&lt;="&amp;S295))</f>
        <v/>
      </c>
      <c r="AB295" s="41" t="str">
        <f>IF(OR(NOT(ISNUMBER(M295)),NOT(ISNUMBER(R295))),"",IF(AND(M295&gt;=R295,OR(NOT(ISNUMBER(S295)),M295&lt;=S295)),"持仓跨财报",""))</f>
        <v/>
      </c>
      <c r="AC295" s="20">
        <f>IF(AND(E295="空",ISNUMBER(O295),ISNUMBER(S295)),ROUND(O295*(S295-R295)/360*V295*U295,2),0)</f>
        <v>0</v>
      </c>
      <c r="AD295" s="43" t="str">
        <f>IF(N(U295)=0,"",SUMIFS('成交明细'!$L$5:$L$804,'成交明细'!$A$5:$A$804,A295)+AC295)</f>
        <v/>
      </c>
      <c r="AE295" s="44" t="str">
        <f>IF(Y295&lt;&gt;"已平仓","",(SUMIFS('成交明细'!$H$5:$H$804,'成交明细'!$A$5:$A$804,A295,'成交明细'!$D$5:$D$804,"卖")-SUMIFS('成交明细'!$H$5:$H$804,'成交明细'!$A$5:$A$804,A295,'成交明细'!$D$5:$D$804,"买"))*1-AD295)</f>
        <v/>
      </c>
      <c r="AF295" s="45" t="str">
        <f>IF(AND(Y295="已平仓",ISNUMBER(L295)),(SUMIFS('成交明细'!$H$5:$H$804,'成交明细'!$A$5:$A$804,A295,'成交明细'!$D$5:$D$804,"卖")-SUMIFS('成交明细'!$H$5:$H$804,'成交明细'!$A$5:$A$804,A295,'成交明细'!$D$5:$D$804,"买"))*1/L295,"")</f>
        <v/>
      </c>
      <c r="AG295" s="45" t="str">
        <f>IF(AND(Y295="已平仓",ISNUMBER(L295)),AE295/L295,"")</f>
        <v/>
      </c>
      <c r="AH295" s="46" t="str">
        <f>IF(AND(ISNUMBER(V295),ISNUMBER(F295)),IF(E295="空",F295-V295,V295-F295),"")</f>
        <v/>
      </c>
      <c r="AI295" s="46" t="str">
        <f>IF(OR(NOT(ISNUMBER(AE295)),NOT(ISNUMBER(X295))),"",IF(AE295&lt;0,IF(E295="空",X295-G295,G295-X295),IF(NOT(ISNUMBER(H295)),"",IF(E295="空",X295-H295,H295-X295))))</f>
        <v/>
      </c>
      <c r="AJ295" s="32" t="n"/>
      <c r="AK295" s="32" t="n"/>
      <c r="AL295" s="31" t="n"/>
      <c r="AM295" s="45" t="str">
        <f>IF(A295="","",SUM(AG$5:AG295))</f>
        <v/>
      </c>
      <c r="AN295" s="37" t="str">
        <f>IF(A295="","",MAX(0,MAX(AM$5:AM295))-AM295)</f>
        <v/>
      </c>
    </row>
    <row r="296">
      <c r="A296" s="29" t="n"/>
      <c r="B296" s="30" t="n"/>
      <c r="C296" s="31" t="n"/>
      <c r="D296" s="32" t="n"/>
      <c r="E296" s="32" t="n"/>
      <c r="F296" s="33" t="n"/>
      <c r="G296" s="33" t="n"/>
      <c r="H296" s="33" t="n"/>
      <c r="I296" s="34" t="str">
        <f>IF(AND(ISNUMBER(F296),ISNUMBER(G296),ISNUMBER(H296)),IF(OR(AND(E296="多",F296&gt;G296),AND(E296="空",F296&lt;G296)),ABS(H296-F296)/ABS(F296-G296),"止损方向不对"),"")</f>
        <v/>
      </c>
      <c r="J296" s="35" t="str">
        <f>IF(AND(ISNUMBER(F296),ISNUMBER(G296)),IF(F296=G296,"",IF(INT(ROUND('参数'!$C$7/(ABS(F296-G296)*1+2*'参数'!$C$11+N('参数'!$C$14)*F296+N('参数'!$C$15))/1,6))*1&gt;0,INT(ROUND('参数'!$C$7/(ABS(F296-G296)*1+2*'参数'!$C$11+N('参数'!$C$14)*F296+N('参数'!$C$15))/1,6))*1,"预算不足，这笔不做")),"")</f>
        <v/>
      </c>
      <c r="K296" s="36" t="n"/>
      <c r="L296" s="20" t="str">
        <f>IF(AND(ISNUMBER(F296),ISNUMBER(G296),ISNUMBER(K296)),IF(AND(F296&lt;&gt;G296,K296&gt;0),ABS(F296-G296)*K296*1,""),"")</f>
        <v/>
      </c>
      <c r="M296" s="30" t="n"/>
      <c r="N296" s="37" t="str">
        <f>IF(AND(ISNUMBER(L296),ISNUMBER(M296)),IF(E296="空",(G296*(1+'参数'!$C$17)-F296),(F296-G296*(1-'参数'!$C$17)))*K296/L296,"")</f>
        <v/>
      </c>
      <c r="O296" s="38" t="n"/>
      <c r="P296" s="31" t="n"/>
      <c r="Q296" s="32" t="n"/>
      <c r="R296" s="39" t="str">
        <f>IF(N(U296)&gt;0,SUMPRODUCT(LARGE(('成交明细'!$A$5:$A$804=A296)*('成交明细'!$D$5:$D$804=IF(E296="空","卖","买"))*'成交明细'!$B$5:$B$804,COUNTIFS('成交明细'!$A$5:$A$804,A296,'成交明细'!$D$5:$D$804,IF(E296="空","卖","买")))),"")</f>
        <v/>
      </c>
      <c r="S296" s="39" t="str">
        <f>IF(AND(N(U296)&gt;0,N(W296)&gt;=N(U296)),SUMPRODUCT(MAX(('成交明细'!$A$5:$A$804=A296)*('成交明细'!$D$5:$D$804=IF(E296="空","买","卖"))*'成交明细'!$B$5:$B$804)),"")</f>
        <v/>
      </c>
      <c r="T296" s="32" t="n"/>
      <c r="U296" s="35" t="str">
        <f>IF(A296="","",SUMIFS('成交明细'!$F$5:$F$804,'成交明细'!$A$5:$A$804,A296,'成交明细'!$D$5:$D$804,IF(E296="空","卖","买")))</f>
        <v/>
      </c>
      <c r="V296" s="40" t="str">
        <f>IF(N(U296)&gt;0,SUMIFS('成交明细'!$H$5:$H$804,'成交明细'!$A$5:$A$804,A296,'成交明细'!$D$5:$D$804,IF(E296="空","卖","买"))/U296,"")</f>
        <v/>
      </c>
      <c r="W296" s="35" t="str">
        <f>IF(A296="","",SUMIFS('成交明细'!$F$5:$F$804,'成交明细'!$A$5:$A$804,A296,'成交明细'!$D$5:$D$804,IF(E296="空","买","卖")))</f>
        <v/>
      </c>
      <c r="X296" s="40" t="str">
        <f>IF(N(W296)&gt;0,SUMIFS('成交明细'!$H$5:$H$804,'成交明细'!$A$5:$A$804,A296,'成交明细'!$D$5:$D$804,IF(E296="空","买","卖"))/W296,"")</f>
        <v/>
      </c>
      <c r="Y296" s="41" t="str">
        <f>IF(A296="","",IF(Q296&lt;&gt;"已执行",IF(Q296="","未填执行情况",Q296),IF(N(U296)=0,"待录成交",IF(N(W296)&gt;N(U296),"平仓多于开仓",IF(N(W296)&lt;N(U296),"持仓中","已平仓")))))</f>
        <v/>
      </c>
      <c r="Z296" s="41" t="str">
        <f>IF(AND(ISNUMBER(R296),ISNUMBER(S296)),IF(R296=S296,"日内",""),"")</f>
        <v/>
      </c>
      <c r="AA296" s="42" t="str">
        <f>IF(Z296&lt;&gt;"日内","",COUNTIFS($Z$5:$Z$304,"日内",$S$5:$S$304,"&gt;"&amp;WORKDAY(S296,-5),$S$5:$S$304,"&lt;="&amp;S296))</f>
        <v/>
      </c>
      <c r="AB296" s="41" t="str">
        <f>IF(OR(NOT(ISNUMBER(M296)),NOT(ISNUMBER(R296))),"",IF(AND(M296&gt;=R296,OR(NOT(ISNUMBER(S296)),M296&lt;=S296)),"持仓跨财报",""))</f>
        <v/>
      </c>
      <c r="AC296" s="20">
        <f>IF(AND(E296="空",ISNUMBER(O296),ISNUMBER(S296)),ROUND(O296*(S296-R296)/360*V296*U296,2),0)</f>
        <v>0</v>
      </c>
      <c r="AD296" s="43" t="str">
        <f>IF(N(U296)=0,"",SUMIFS('成交明细'!$L$5:$L$804,'成交明细'!$A$5:$A$804,A296)+AC296)</f>
        <v/>
      </c>
      <c r="AE296" s="44" t="str">
        <f>IF(Y296&lt;&gt;"已平仓","",(SUMIFS('成交明细'!$H$5:$H$804,'成交明细'!$A$5:$A$804,A296,'成交明细'!$D$5:$D$804,"卖")-SUMIFS('成交明细'!$H$5:$H$804,'成交明细'!$A$5:$A$804,A296,'成交明细'!$D$5:$D$804,"买"))*1-AD296)</f>
        <v/>
      </c>
      <c r="AF296" s="45" t="str">
        <f>IF(AND(Y296="已平仓",ISNUMBER(L296)),(SUMIFS('成交明细'!$H$5:$H$804,'成交明细'!$A$5:$A$804,A296,'成交明细'!$D$5:$D$804,"卖")-SUMIFS('成交明细'!$H$5:$H$804,'成交明细'!$A$5:$A$804,A296,'成交明细'!$D$5:$D$804,"买"))*1/L296,"")</f>
        <v/>
      </c>
      <c r="AG296" s="45" t="str">
        <f>IF(AND(Y296="已平仓",ISNUMBER(L296)),AE296/L296,"")</f>
        <v/>
      </c>
      <c r="AH296" s="46" t="str">
        <f>IF(AND(ISNUMBER(V296),ISNUMBER(F296)),IF(E296="空",F296-V296,V296-F296),"")</f>
        <v/>
      </c>
      <c r="AI296" s="46" t="str">
        <f>IF(OR(NOT(ISNUMBER(AE296)),NOT(ISNUMBER(X296))),"",IF(AE296&lt;0,IF(E296="空",X296-G296,G296-X296),IF(NOT(ISNUMBER(H296)),"",IF(E296="空",X296-H296,H296-X296))))</f>
        <v/>
      </c>
      <c r="AJ296" s="32" t="n"/>
      <c r="AK296" s="32" t="n"/>
      <c r="AL296" s="31" t="n"/>
      <c r="AM296" s="45" t="str">
        <f>IF(A296="","",SUM(AG$5:AG296))</f>
        <v/>
      </c>
      <c r="AN296" s="37" t="str">
        <f>IF(A296="","",MAX(0,MAX(AM$5:AM296))-AM296)</f>
        <v/>
      </c>
    </row>
    <row r="297">
      <c r="A297" s="29" t="n"/>
      <c r="B297" s="30" t="n"/>
      <c r="C297" s="31" t="n"/>
      <c r="D297" s="32" t="n"/>
      <c r="E297" s="32" t="n"/>
      <c r="F297" s="33" t="n"/>
      <c r="G297" s="33" t="n"/>
      <c r="H297" s="33" t="n"/>
      <c r="I297" s="34" t="str">
        <f>IF(AND(ISNUMBER(F297),ISNUMBER(G297),ISNUMBER(H297)),IF(OR(AND(E297="多",F297&gt;G297),AND(E297="空",F297&lt;G297)),ABS(H297-F297)/ABS(F297-G297),"止损方向不对"),"")</f>
        <v/>
      </c>
      <c r="J297" s="35" t="str">
        <f>IF(AND(ISNUMBER(F297),ISNUMBER(G297)),IF(F297=G297,"",IF(INT(ROUND('参数'!$C$7/(ABS(F297-G297)*1+2*'参数'!$C$11+N('参数'!$C$14)*F297+N('参数'!$C$15))/1,6))*1&gt;0,INT(ROUND('参数'!$C$7/(ABS(F297-G297)*1+2*'参数'!$C$11+N('参数'!$C$14)*F297+N('参数'!$C$15))/1,6))*1,"预算不足，这笔不做")),"")</f>
        <v/>
      </c>
      <c r="K297" s="36" t="n"/>
      <c r="L297" s="20" t="str">
        <f>IF(AND(ISNUMBER(F297),ISNUMBER(G297),ISNUMBER(K297)),IF(AND(F297&lt;&gt;G297,K297&gt;0),ABS(F297-G297)*K297*1,""),"")</f>
        <v/>
      </c>
      <c r="M297" s="30" t="n"/>
      <c r="N297" s="37" t="str">
        <f>IF(AND(ISNUMBER(L297),ISNUMBER(M297)),IF(E297="空",(G297*(1+'参数'!$C$17)-F297),(F297-G297*(1-'参数'!$C$17)))*K297/L297,"")</f>
        <v/>
      </c>
      <c r="O297" s="38" t="n"/>
      <c r="P297" s="31" t="n"/>
      <c r="Q297" s="32" t="n"/>
      <c r="R297" s="39" t="str">
        <f>IF(N(U297)&gt;0,SUMPRODUCT(LARGE(('成交明细'!$A$5:$A$804=A297)*('成交明细'!$D$5:$D$804=IF(E297="空","卖","买"))*'成交明细'!$B$5:$B$804,COUNTIFS('成交明细'!$A$5:$A$804,A297,'成交明细'!$D$5:$D$804,IF(E297="空","卖","买")))),"")</f>
        <v/>
      </c>
      <c r="S297" s="39" t="str">
        <f>IF(AND(N(U297)&gt;0,N(W297)&gt;=N(U297)),SUMPRODUCT(MAX(('成交明细'!$A$5:$A$804=A297)*('成交明细'!$D$5:$D$804=IF(E297="空","买","卖"))*'成交明细'!$B$5:$B$804)),"")</f>
        <v/>
      </c>
      <c r="T297" s="32" t="n"/>
      <c r="U297" s="35" t="str">
        <f>IF(A297="","",SUMIFS('成交明细'!$F$5:$F$804,'成交明细'!$A$5:$A$804,A297,'成交明细'!$D$5:$D$804,IF(E297="空","卖","买")))</f>
        <v/>
      </c>
      <c r="V297" s="40" t="str">
        <f>IF(N(U297)&gt;0,SUMIFS('成交明细'!$H$5:$H$804,'成交明细'!$A$5:$A$804,A297,'成交明细'!$D$5:$D$804,IF(E297="空","卖","买"))/U297,"")</f>
        <v/>
      </c>
      <c r="W297" s="35" t="str">
        <f>IF(A297="","",SUMIFS('成交明细'!$F$5:$F$804,'成交明细'!$A$5:$A$804,A297,'成交明细'!$D$5:$D$804,IF(E297="空","买","卖")))</f>
        <v/>
      </c>
      <c r="X297" s="40" t="str">
        <f>IF(N(W297)&gt;0,SUMIFS('成交明细'!$H$5:$H$804,'成交明细'!$A$5:$A$804,A297,'成交明细'!$D$5:$D$804,IF(E297="空","买","卖"))/W297,"")</f>
        <v/>
      </c>
      <c r="Y297" s="41" t="str">
        <f>IF(A297="","",IF(Q297&lt;&gt;"已执行",IF(Q297="","未填执行情况",Q297),IF(N(U297)=0,"待录成交",IF(N(W297)&gt;N(U297),"平仓多于开仓",IF(N(W297)&lt;N(U297),"持仓中","已平仓")))))</f>
        <v/>
      </c>
      <c r="Z297" s="41" t="str">
        <f>IF(AND(ISNUMBER(R297),ISNUMBER(S297)),IF(R297=S297,"日内",""),"")</f>
        <v/>
      </c>
      <c r="AA297" s="42" t="str">
        <f>IF(Z297&lt;&gt;"日内","",COUNTIFS($Z$5:$Z$304,"日内",$S$5:$S$304,"&gt;"&amp;WORKDAY(S297,-5),$S$5:$S$304,"&lt;="&amp;S297))</f>
        <v/>
      </c>
      <c r="AB297" s="41" t="str">
        <f>IF(OR(NOT(ISNUMBER(M297)),NOT(ISNUMBER(R297))),"",IF(AND(M297&gt;=R297,OR(NOT(ISNUMBER(S297)),M297&lt;=S297)),"持仓跨财报",""))</f>
        <v/>
      </c>
      <c r="AC297" s="20">
        <f>IF(AND(E297="空",ISNUMBER(O297),ISNUMBER(S297)),ROUND(O297*(S297-R297)/360*V297*U297,2),0)</f>
        <v>0</v>
      </c>
      <c r="AD297" s="43" t="str">
        <f>IF(N(U297)=0,"",SUMIFS('成交明细'!$L$5:$L$804,'成交明细'!$A$5:$A$804,A297)+AC297)</f>
        <v/>
      </c>
      <c r="AE297" s="44" t="str">
        <f>IF(Y297&lt;&gt;"已平仓","",(SUMIFS('成交明细'!$H$5:$H$804,'成交明细'!$A$5:$A$804,A297,'成交明细'!$D$5:$D$804,"卖")-SUMIFS('成交明细'!$H$5:$H$804,'成交明细'!$A$5:$A$804,A297,'成交明细'!$D$5:$D$804,"买"))*1-AD297)</f>
        <v/>
      </c>
      <c r="AF297" s="45" t="str">
        <f>IF(AND(Y297="已平仓",ISNUMBER(L297)),(SUMIFS('成交明细'!$H$5:$H$804,'成交明细'!$A$5:$A$804,A297,'成交明细'!$D$5:$D$804,"卖")-SUMIFS('成交明细'!$H$5:$H$804,'成交明细'!$A$5:$A$804,A297,'成交明细'!$D$5:$D$804,"买"))*1/L297,"")</f>
        <v/>
      </c>
      <c r="AG297" s="45" t="str">
        <f>IF(AND(Y297="已平仓",ISNUMBER(L297)),AE297/L297,"")</f>
        <v/>
      </c>
      <c r="AH297" s="46" t="str">
        <f>IF(AND(ISNUMBER(V297),ISNUMBER(F297)),IF(E297="空",F297-V297,V297-F297),"")</f>
        <v/>
      </c>
      <c r="AI297" s="46" t="str">
        <f>IF(OR(NOT(ISNUMBER(AE297)),NOT(ISNUMBER(X297))),"",IF(AE297&lt;0,IF(E297="空",X297-G297,G297-X297),IF(NOT(ISNUMBER(H297)),"",IF(E297="空",X297-H297,H297-X297))))</f>
        <v/>
      </c>
      <c r="AJ297" s="32" t="n"/>
      <c r="AK297" s="32" t="n"/>
      <c r="AL297" s="31" t="n"/>
      <c r="AM297" s="45" t="str">
        <f>IF(A297="","",SUM(AG$5:AG297))</f>
        <v/>
      </c>
      <c r="AN297" s="37" t="str">
        <f>IF(A297="","",MAX(0,MAX(AM$5:AM297))-AM297)</f>
        <v/>
      </c>
    </row>
    <row r="298">
      <c r="A298" s="29" t="n"/>
      <c r="B298" s="30" t="n"/>
      <c r="C298" s="31" t="n"/>
      <c r="D298" s="32" t="n"/>
      <c r="E298" s="32" t="n"/>
      <c r="F298" s="33" t="n"/>
      <c r="G298" s="33" t="n"/>
      <c r="H298" s="33" t="n"/>
      <c r="I298" s="34" t="str">
        <f>IF(AND(ISNUMBER(F298),ISNUMBER(G298),ISNUMBER(H298)),IF(OR(AND(E298="多",F298&gt;G298),AND(E298="空",F298&lt;G298)),ABS(H298-F298)/ABS(F298-G298),"止损方向不对"),"")</f>
        <v/>
      </c>
      <c r="J298" s="35" t="str">
        <f>IF(AND(ISNUMBER(F298),ISNUMBER(G298)),IF(F298=G298,"",IF(INT(ROUND('参数'!$C$7/(ABS(F298-G298)*1+2*'参数'!$C$11+N('参数'!$C$14)*F298+N('参数'!$C$15))/1,6))*1&gt;0,INT(ROUND('参数'!$C$7/(ABS(F298-G298)*1+2*'参数'!$C$11+N('参数'!$C$14)*F298+N('参数'!$C$15))/1,6))*1,"预算不足，这笔不做")),"")</f>
        <v/>
      </c>
      <c r="K298" s="36" t="n"/>
      <c r="L298" s="20" t="str">
        <f>IF(AND(ISNUMBER(F298),ISNUMBER(G298),ISNUMBER(K298)),IF(AND(F298&lt;&gt;G298,K298&gt;0),ABS(F298-G298)*K298*1,""),"")</f>
        <v/>
      </c>
      <c r="M298" s="30" t="n"/>
      <c r="N298" s="37" t="str">
        <f>IF(AND(ISNUMBER(L298),ISNUMBER(M298)),IF(E298="空",(G298*(1+'参数'!$C$17)-F298),(F298-G298*(1-'参数'!$C$17)))*K298/L298,"")</f>
        <v/>
      </c>
      <c r="O298" s="38" t="n"/>
      <c r="P298" s="31" t="n"/>
      <c r="Q298" s="32" t="n"/>
      <c r="R298" s="39" t="str">
        <f>IF(N(U298)&gt;0,SUMPRODUCT(LARGE(('成交明细'!$A$5:$A$804=A298)*('成交明细'!$D$5:$D$804=IF(E298="空","卖","买"))*'成交明细'!$B$5:$B$804,COUNTIFS('成交明细'!$A$5:$A$804,A298,'成交明细'!$D$5:$D$804,IF(E298="空","卖","买")))),"")</f>
        <v/>
      </c>
      <c r="S298" s="39" t="str">
        <f>IF(AND(N(U298)&gt;0,N(W298)&gt;=N(U298)),SUMPRODUCT(MAX(('成交明细'!$A$5:$A$804=A298)*('成交明细'!$D$5:$D$804=IF(E298="空","买","卖"))*'成交明细'!$B$5:$B$804)),"")</f>
        <v/>
      </c>
      <c r="T298" s="32" t="n"/>
      <c r="U298" s="35" t="str">
        <f>IF(A298="","",SUMIFS('成交明细'!$F$5:$F$804,'成交明细'!$A$5:$A$804,A298,'成交明细'!$D$5:$D$804,IF(E298="空","卖","买")))</f>
        <v/>
      </c>
      <c r="V298" s="40" t="str">
        <f>IF(N(U298)&gt;0,SUMIFS('成交明细'!$H$5:$H$804,'成交明细'!$A$5:$A$804,A298,'成交明细'!$D$5:$D$804,IF(E298="空","卖","买"))/U298,"")</f>
        <v/>
      </c>
      <c r="W298" s="35" t="str">
        <f>IF(A298="","",SUMIFS('成交明细'!$F$5:$F$804,'成交明细'!$A$5:$A$804,A298,'成交明细'!$D$5:$D$804,IF(E298="空","买","卖")))</f>
        <v/>
      </c>
      <c r="X298" s="40" t="str">
        <f>IF(N(W298)&gt;0,SUMIFS('成交明细'!$H$5:$H$804,'成交明细'!$A$5:$A$804,A298,'成交明细'!$D$5:$D$804,IF(E298="空","买","卖"))/W298,"")</f>
        <v/>
      </c>
      <c r="Y298" s="41" t="str">
        <f>IF(A298="","",IF(Q298&lt;&gt;"已执行",IF(Q298="","未填执行情况",Q298),IF(N(U298)=0,"待录成交",IF(N(W298)&gt;N(U298),"平仓多于开仓",IF(N(W298)&lt;N(U298),"持仓中","已平仓")))))</f>
        <v/>
      </c>
      <c r="Z298" s="41" t="str">
        <f>IF(AND(ISNUMBER(R298),ISNUMBER(S298)),IF(R298=S298,"日内",""),"")</f>
        <v/>
      </c>
      <c r="AA298" s="42" t="str">
        <f>IF(Z298&lt;&gt;"日内","",COUNTIFS($Z$5:$Z$304,"日内",$S$5:$S$304,"&gt;"&amp;WORKDAY(S298,-5),$S$5:$S$304,"&lt;="&amp;S298))</f>
        <v/>
      </c>
      <c r="AB298" s="41" t="str">
        <f>IF(OR(NOT(ISNUMBER(M298)),NOT(ISNUMBER(R298))),"",IF(AND(M298&gt;=R298,OR(NOT(ISNUMBER(S298)),M298&lt;=S298)),"持仓跨财报",""))</f>
        <v/>
      </c>
      <c r="AC298" s="20">
        <f>IF(AND(E298="空",ISNUMBER(O298),ISNUMBER(S298)),ROUND(O298*(S298-R298)/360*V298*U298,2),0)</f>
        <v>0</v>
      </c>
      <c r="AD298" s="43" t="str">
        <f>IF(N(U298)=0,"",SUMIFS('成交明细'!$L$5:$L$804,'成交明细'!$A$5:$A$804,A298)+AC298)</f>
        <v/>
      </c>
      <c r="AE298" s="44" t="str">
        <f>IF(Y298&lt;&gt;"已平仓","",(SUMIFS('成交明细'!$H$5:$H$804,'成交明细'!$A$5:$A$804,A298,'成交明细'!$D$5:$D$804,"卖")-SUMIFS('成交明细'!$H$5:$H$804,'成交明细'!$A$5:$A$804,A298,'成交明细'!$D$5:$D$804,"买"))*1-AD298)</f>
        <v/>
      </c>
      <c r="AF298" s="45" t="str">
        <f>IF(AND(Y298="已平仓",ISNUMBER(L298)),(SUMIFS('成交明细'!$H$5:$H$804,'成交明细'!$A$5:$A$804,A298,'成交明细'!$D$5:$D$804,"卖")-SUMIFS('成交明细'!$H$5:$H$804,'成交明细'!$A$5:$A$804,A298,'成交明细'!$D$5:$D$804,"买"))*1/L298,"")</f>
        <v/>
      </c>
      <c r="AG298" s="45" t="str">
        <f>IF(AND(Y298="已平仓",ISNUMBER(L298)),AE298/L298,"")</f>
        <v/>
      </c>
      <c r="AH298" s="46" t="str">
        <f>IF(AND(ISNUMBER(V298),ISNUMBER(F298)),IF(E298="空",F298-V298,V298-F298),"")</f>
        <v/>
      </c>
      <c r="AI298" s="46" t="str">
        <f>IF(OR(NOT(ISNUMBER(AE298)),NOT(ISNUMBER(X298))),"",IF(AE298&lt;0,IF(E298="空",X298-G298,G298-X298),IF(NOT(ISNUMBER(H298)),"",IF(E298="空",X298-H298,H298-X298))))</f>
        <v/>
      </c>
      <c r="AJ298" s="32" t="n"/>
      <c r="AK298" s="32" t="n"/>
      <c r="AL298" s="31" t="n"/>
      <c r="AM298" s="45" t="str">
        <f>IF(A298="","",SUM(AG$5:AG298))</f>
        <v/>
      </c>
      <c r="AN298" s="37" t="str">
        <f>IF(A298="","",MAX(0,MAX(AM$5:AM298))-AM298)</f>
        <v/>
      </c>
    </row>
    <row r="299">
      <c r="A299" s="29" t="n"/>
      <c r="B299" s="30" t="n"/>
      <c r="C299" s="31" t="n"/>
      <c r="D299" s="32" t="n"/>
      <c r="E299" s="32" t="n"/>
      <c r="F299" s="33" t="n"/>
      <c r="G299" s="33" t="n"/>
      <c r="H299" s="33" t="n"/>
      <c r="I299" s="34" t="str">
        <f>IF(AND(ISNUMBER(F299),ISNUMBER(G299),ISNUMBER(H299)),IF(OR(AND(E299="多",F299&gt;G299),AND(E299="空",F299&lt;G299)),ABS(H299-F299)/ABS(F299-G299),"止损方向不对"),"")</f>
        <v/>
      </c>
      <c r="J299" s="35" t="str">
        <f>IF(AND(ISNUMBER(F299),ISNUMBER(G299)),IF(F299=G299,"",IF(INT(ROUND('参数'!$C$7/(ABS(F299-G299)*1+2*'参数'!$C$11+N('参数'!$C$14)*F299+N('参数'!$C$15))/1,6))*1&gt;0,INT(ROUND('参数'!$C$7/(ABS(F299-G299)*1+2*'参数'!$C$11+N('参数'!$C$14)*F299+N('参数'!$C$15))/1,6))*1,"预算不足，这笔不做")),"")</f>
        <v/>
      </c>
      <c r="K299" s="36" t="n"/>
      <c r="L299" s="20" t="str">
        <f>IF(AND(ISNUMBER(F299),ISNUMBER(G299),ISNUMBER(K299)),IF(AND(F299&lt;&gt;G299,K299&gt;0),ABS(F299-G299)*K299*1,""),"")</f>
        <v/>
      </c>
      <c r="M299" s="30" t="n"/>
      <c r="N299" s="37" t="str">
        <f>IF(AND(ISNUMBER(L299),ISNUMBER(M299)),IF(E299="空",(G299*(1+'参数'!$C$17)-F299),(F299-G299*(1-'参数'!$C$17)))*K299/L299,"")</f>
        <v/>
      </c>
      <c r="O299" s="38" t="n"/>
      <c r="P299" s="31" t="n"/>
      <c r="Q299" s="32" t="n"/>
      <c r="R299" s="39" t="str">
        <f>IF(N(U299)&gt;0,SUMPRODUCT(LARGE(('成交明细'!$A$5:$A$804=A299)*('成交明细'!$D$5:$D$804=IF(E299="空","卖","买"))*'成交明细'!$B$5:$B$804,COUNTIFS('成交明细'!$A$5:$A$804,A299,'成交明细'!$D$5:$D$804,IF(E299="空","卖","买")))),"")</f>
        <v/>
      </c>
      <c r="S299" s="39" t="str">
        <f>IF(AND(N(U299)&gt;0,N(W299)&gt;=N(U299)),SUMPRODUCT(MAX(('成交明细'!$A$5:$A$804=A299)*('成交明细'!$D$5:$D$804=IF(E299="空","买","卖"))*'成交明细'!$B$5:$B$804)),"")</f>
        <v/>
      </c>
      <c r="T299" s="32" t="n"/>
      <c r="U299" s="35" t="str">
        <f>IF(A299="","",SUMIFS('成交明细'!$F$5:$F$804,'成交明细'!$A$5:$A$804,A299,'成交明细'!$D$5:$D$804,IF(E299="空","卖","买")))</f>
        <v/>
      </c>
      <c r="V299" s="40" t="str">
        <f>IF(N(U299)&gt;0,SUMIFS('成交明细'!$H$5:$H$804,'成交明细'!$A$5:$A$804,A299,'成交明细'!$D$5:$D$804,IF(E299="空","卖","买"))/U299,"")</f>
        <v/>
      </c>
      <c r="W299" s="35" t="str">
        <f>IF(A299="","",SUMIFS('成交明细'!$F$5:$F$804,'成交明细'!$A$5:$A$804,A299,'成交明细'!$D$5:$D$804,IF(E299="空","买","卖")))</f>
        <v/>
      </c>
      <c r="X299" s="40" t="str">
        <f>IF(N(W299)&gt;0,SUMIFS('成交明细'!$H$5:$H$804,'成交明细'!$A$5:$A$804,A299,'成交明细'!$D$5:$D$804,IF(E299="空","买","卖"))/W299,"")</f>
        <v/>
      </c>
      <c r="Y299" s="41" t="str">
        <f>IF(A299="","",IF(Q299&lt;&gt;"已执行",IF(Q299="","未填执行情况",Q299),IF(N(U299)=0,"待录成交",IF(N(W299)&gt;N(U299),"平仓多于开仓",IF(N(W299)&lt;N(U299),"持仓中","已平仓")))))</f>
        <v/>
      </c>
      <c r="Z299" s="41" t="str">
        <f>IF(AND(ISNUMBER(R299),ISNUMBER(S299)),IF(R299=S299,"日内",""),"")</f>
        <v/>
      </c>
      <c r="AA299" s="42" t="str">
        <f>IF(Z299&lt;&gt;"日内","",COUNTIFS($Z$5:$Z$304,"日内",$S$5:$S$304,"&gt;"&amp;WORKDAY(S299,-5),$S$5:$S$304,"&lt;="&amp;S299))</f>
        <v/>
      </c>
      <c r="AB299" s="41" t="str">
        <f>IF(OR(NOT(ISNUMBER(M299)),NOT(ISNUMBER(R299))),"",IF(AND(M299&gt;=R299,OR(NOT(ISNUMBER(S299)),M299&lt;=S299)),"持仓跨财报",""))</f>
        <v/>
      </c>
      <c r="AC299" s="20">
        <f>IF(AND(E299="空",ISNUMBER(O299),ISNUMBER(S299)),ROUND(O299*(S299-R299)/360*V299*U299,2),0)</f>
        <v>0</v>
      </c>
      <c r="AD299" s="43" t="str">
        <f>IF(N(U299)=0,"",SUMIFS('成交明细'!$L$5:$L$804,'成交明细'!$A$5:$A$804,A299)+AC299)</f>
        <v/>
      </c>
      <c r="AE299" s="44" t="str">
        <f>IF(Y299&lt;&gt;"已平仓","",(SUMIFS('成交明细'!$H$5:$H$804,'成交明细'!$A$5:$A$804,A299,'成交明细'!$D$5:$D$804,"卖")-SUMIFS('成交明细'!$H$5:$H$804,'成交明细'!$A$5:$A$804,A299,'成交明细'!$D$5:$D$804,"买"))*1-AD299)</f>
        <v/>
      </c>
      <c r="AF299" s="45" t="str">
        <f>IF(AND(Y299="已平仓",ISNUMBER(L299)),(SUMIFS('成交明细'!$H$5:$H$804,'成交明细'!$A$5:$A$804,A299,'成交明细'!$D$5:$D$804,"卖")-SUMIFS('成交明细'!$H$5:$H$804,'成交明细'!$A$5:$A$804,A299,'成交明细'!$D$5:$D$804,"买"))*1/L299,"")</f>
        <v/>
      </c>
      <c r="AG299" s="45" t="str">
        <f>IF(AND(Y299="已平仓",ISNUMBER(L299)),AE299/L299,"")</f>
        <v/>
      </c>
      <c r="AH299" s="46" t="str">
        <f>IF(AND(ISNUMBER(V299),ISNUMBER(F299)),IF(E299="空",F299-V299,V299-F299),"")</f>
        <v/>
      </c>
      <c r="AI299" s="46" t="str">
        <f>IF(OR(NOT(ISNUMBER(AE299)),NOT(ISNUMBER(X299))),"",IF(AE299&lt;0,IF(E299="空",X299-G299,G299-X299),IF(NOT(ISNUMBER(H299)),"",IF(E299="空",X299-H299,H299-X299))))</f>
        <v/>
      </c>
      <c r="AJ299" s="32" t="n"/>
      <c r="AK299" s="32" t="n"/>
      <c r="AL299" s="31" t="n"/>
      <c r="AM299" s="45" t="str">
        <f>IF(A299="","",SUM(AG$5:AG299))</f>
        <v/>
      </c>
      <c r="AN299" s="37" t="str">
        <f>IF(A299="","",MAX(0,MAX(AM$5:AM299))-AM299)</f>
        <v/>
      </c>
    </row>
    <row r="300">
      <c r="A300" s="29" t="n"/>
      <c r="B300" s="30" t="n"/>
      <c r="C300" s="31" t="n"/>
      <c r="D300" s="32" t="n"/>
      <c r="E300" s="32" t="n"/>
      <c r="F300" s="33" t="n"/>
      <c r="G300" s="33" t="n"/>
      <c r="H300" s="33" t="n"/>
      <c r="I300" s="34" t="str">
        <f>IF(AND(ISNUMBER(F300),ISNUMBER(G300),ISNUMBER(H300)),IF(OR(AND(E300="多",F300&gt;G300),AND(E300="空",F300&lt;G300)),ABS(H300-F300)/ABS(F300-G300),"止损方向不对"),"")</f>
        <v/>
      </c>
      <c r="J300" s="35" t="str">
        <f>IF(AND(ISNUMBER(F300),ISNUMBER(G300)),IF(F300=G300,"",IF(INT(ROUND('参数'!$C$7/(ABS(F300-G300)*1+2*'参数'!$C$11+N('参数'!$C$14)*F300+N('参数'!$C$15))/1,6))*1&gt;0,INT(ROUND('参数'!$C$7/(ABS(F300-G300)*1+2*'参数'!$C$11+N('参数'!$C$14)*F300+N('参数'!$C$15))/1,6))*1,"预算不足，这笔不做")),"")</f>
        <v/>
      </c>
      <c r="K300" s="36" t="n"/>
      <c r="L300" s="20" t="str">
        <f>IF(AND(ISNUMBER(F300),ISNUMBER(G300),ISNUMBER(K300)),IF(AND(F300&lt;&gt;G300,K300&gt;0),ABS(F300-G300)*K300*1,""),"")</f>
        <v/>
      </c>
      <c r="M300" s="30" t="n"/>
      <c r="N300" s="37" t="str">
        <f>IF(AND(ISNUMBER(L300),ISNUMBER(M300)),IF(E300="空",(G300*(1+'参数'!$C$17)-F300),(F300-G300*(1-'参数'!$C$17)))*K300/L300,"")</f>
        <v/>
      </c>
      <c r="O300" s="38" t="n"/>
      <c r="P300" s="31" t="n"/>
      <c r="Q300" s="32" t="n"/>
      <c r="R300" s="39" t="str">
        <f>IF(N(U300)&gt;0,SUMPRODUCT(LARGE(('成交明细'!$A$5:$A$804=A300)*('成交明细'!$D$5:$D$804=IF(E300="空","卖","买"))*'成交明细'!$B$5:$B$804,COUNTIFS('成交明细'!$A$5:$A$804,A300,'成交明细'!$D$5:$D$804,IF(E300="空","卖","买")))),"")</f>
        <v/>
      </c>
      <c r="S300" s="39" t="str">
        <f>IF(AND(N(U300)&gt;0,N(W300)&gt;=N(U300)),SUMPRODUCT(MAX(('成交明细'!$A$5:$A$804=A300)*('成交明细'!$D$5:$D$804=IF(E300="空","买","卖"))*'成交明细'!$B$5:$B$804)),"")</f>
        <v/>
      </c>
      <c r="T300" s="32" t="n"/>
      <c r="U300" s="35" t="str">
        <f>IF(A300="","",SUMIFS('成交明细'!$F$5:$F$804,'成交明细'!$A$5:$A$804,A300,'成交明细'!$D$5:$D$804,IF(E300="空","卖","买")))</f>
        <v/>
      </c>
      <c r="V300" s="40" t="str">
        <f>IF(N(U300)&gt;0,SUMIFS('成交明细'!$H$5:$H$804,'成交明细'!$A$5:$A$804,A300,'成交明细'!$D$5:$D$804,IF(E300="空","卖","买"))/U300,"")</f>
        <v/>
      </c>
      <c r="W300" s="35" t="str">
        <f>IF(A300="","",SUMIFS('成交明细'!$F$5:$F$804,'成交明细'!$A$5:$A$804,A300,'成交明细'!$D$5:$D$804,IF(E300="空","买","卖")))</f>
        <v/>
      </c>
      <c r="X300" s="40" t="str">
        <f>IF(N(W300)&gt;0,SUMIFS('成交明细'!$H$5:$H$804,'成交明细'!$A$5:$A$804,A300,'成交明细'!$D$5:$D$804,IF(E300="空","买","卖"))/W300,"")</f>
        <v/>
      </c>
      <c r="Y300" s="41" t="str">
        <f>IF(A300="","",IF(Q300&lt;&gt;"已执行",IF(Q300="","未填执行情况",Q300),IF(N(U300)=0,"待录成交",IF(N(W300)&gt;N(U300),"平仓多于开仓",IF(N(W300)&lt;N(U300),"持仓中","已平仓")))))</f>
        <v/>
      </c>
      <c r="Z300" s="41" t="str">
        <f>IF(AND(ISNUMBER(R300),ISNUMBER(S300)),IF(R300=S300,"日内",""),"")</f>
        <v/>
      </c>
      <c r="AA300" s="42" t="str">
        <f>IF(Z300&lt;&gt;"日内","",COUNTIFS($Z$5:$Z$304,"日内",$S$5:$S$304,"&gt;"&amp;WORKDAY(S300,-5),$S$5:$S$304,"&lt;="&amp;S300))</f>
        <v/>
      </c>
      <c r="AB300" s="41" t="str">
        <f>IF(OR(NOT(ISNUMBER(M300)),NOT(ISNUMBER(R300))),"",IF(AND(M300&gt;=R300,OR(NOT(ISNUMBER(S300)),M300&lt;=S300)),"持仓跨财报",""))</f>
        <v/>
      </c>
      <c r="AC300" s="20">
        <f>IF(AND(E300="空",ISNUMBER(O300),ISNUMBER(S300)),ROUND(O300*(S300-R300)/360*V300*U300,2),0)</f>
        <v>0</v>
      </c>
      <c r="AD300" s="43" t="str">
        <f>IF(N(U300)=0,"",SUMIFS('成交明细'!$L$5:$L$804,'成交明细'!$A$5:$A$804,A300)+AC300)</f>
        <v/>
      </c>
      <c r="AE300" s="44" t="str">
        <f>IF(Y300&lt;&gt;"已平仓","",(SUMIFS('成交明细'!$H$5:$H$804,'成交明细'!$A$5:$A$804,A300,'成交明细'!$D$5:$D$804,"卖")-SUMIFS('成交明细'!$H$5:$H$804,'成交明细'!$A$5:$A$804,A300,'成交明细'!$D$5:$D$804,"买"))*1-AD300)</f>
        <v/>
      </c>
      <c r="AF300" s="45" t="str">
        <f>IF(AND(Y300="已平仓",ISNUMBER(L300)),(SUMIFS('成交明细'!$H$5:$H$804,'成交明细'!$A$5:$A$804,A300,'成交明细'!$D$5:$D$804,"卖")-SUMIFS('成交明细'!$H$5:$H$804,'成交明细'!$A$5:$A$804,A300,'成交明细'!$D$5:$D$804,"买"))*1/L300,"")</f>
        <v/>
      </c>
      <c r="AG300" s="45" t="str">
        <f>IF(AND(Y300="已平仓",ISNUMBER(L300)),AE300/L300,"")</f>
        <v/>
      </c>
      <c r="AH300" s="46" t="str">
        <f>IF(AND(ISNUMBER(V300),ISNUMBER(F300)),IF(E300="空",F300-V300,V300-F300),"")</f>
        <v/>
      </c>
      <c r="AI300" s="46" t="str">
        <f>IF(OR(NOT(ISNUMBER(AE300)),NOT(ISNUMBER(X300))),"",IF(AE300&lt;0,IF(E300="空",X300-G300,G300-X300),IF(NOT(ISNUMBER(H300)),"",IF(E300="空",X300-H300,H300-X300))))</f>
        <v/>
      </c>
      <c r="AJ300" s="32" t="n"/>
      <c r="AK300" s="32" t="n"/>
      <c r="AL300" s="31" t="n"/>
      <c r="AM300" s="45" t="str">
        <f>IF(A300="","",SUM(AG$5:AG300))</f>
        <v/>
      </c>
      <c r="AN300" s="37" t="str">
        <f>IF(A300="","",MAX(0,MAX(AM$5:AM300))-AM300)</f>
        <v/>
      </c>
    </row>
    <row r="301">
      <c r="A301" s="29" t="n"/>
      <c r="B301" s="30" t="n"/>
      <c r="C301" s="31" t="n"/>
      <c r="D301" s="32" t="n"/>
      <c r="E301" s="32" t="n"/>
      <c r="F301" s="33" t="n"/>
      <c r="G301" s="33" t="n"/>
      <c r="H301" s="33" t="n"/>
      <c r="I301" s="34" t="str">
        <f>IF(AND(ISNUMBER(F301),ISNUMBER(G301),ISNUMBER(H301)),IF(OR(AND(E301="多",F301&gt;G301),AND(E301="空",F301&lt;G301)),ABS(H301-F301)/ABS(F301-G301),"止损方向不对"),"")</f>
        <v/>
      </c>
      <c r="J301" s="35" t="str">
        <f>IF(AND(ISNUMBER(F301),ISNUMBER(G301)),IF(F301=G301,"",IF(INT(ROUND('参数'!$C$7/(ABS(F301-G301)*1+2*'参数'!$C$11+N('参数'!$C$14)*F301+N('参数'!$C$15))/1,6))*1&gt;0,INT(ROUND('参数'!$C$7/(ABS(F301-G301)*1+2*'参数'!$C$11+N('参数'!$C$14)*F301+N('参数'!$C$15))/1,6))*1,"预算不足，这笔不做")),"")</f>
        <v/>
      </c>
      <c r="K301" s="36" t="n"/>
      <c r="L301" s="20" t="str">
        <f>IF(AND(ISNUMBER(F301),ISNUMBER(G301),ISNUMBER(K301)),IF(AND(F301&lt;&gt;G301,K301&gt;0),ABS(F301-G301)*K301*1,""),"")</f>
        <v/>
      </c>
      <c r="M301" s="30" t="n"/>
      <c r="N301" s="37" t="str">
        <f>IF(AND(ISNUMBER(L301),ISNUMBER(M301)),IF(E301="空",(G301*(1+'参数'!$C$17)-F301),(F301-G301*(1-'参数'!$C$17)))*K301/L301,"")</f>
        <v/>
      </c>
      <c r="O301" s="38" t="n"/>
      <c r="P301" s="31" t="n"/>
      <c r="Q301" s="32" t="n"/>
      <c r="R301" s="39" t="str">
        <f>IF(N(U301)&gt;0,SUMPRODUCT(LARGE(('成交明细'!$A$5:$A$804=A301)*('成交明细'!$D$5:$D$804=IF(E301="空","卖","买"))*'成交明细'!$B$5:$B$804,COUNTIFS('成交明细'!$A$5:$A$804,A301,'成交明细'!$D$5:$D$804,IF(E301="空","卖","买")))),"")</f>
        <v/>
      </c>
      <c r="S301" s="39" t="str">
        <f>IF(AND(N(U301)&gt;0,N(W301)&gt;=N(U301)),SUMPRODUCT(MAX(('成交明细'!$A$5:$A$804=A301)*('成交明细'!$D$5:$D$804=IF(E301="空","买","卖"))*'成交明细'!$B$5:$B$804)),"")</f>
        <v/>
      </c>
      <c r="T301" s="32" t="n"/>
      <c r="U301" s="35" t="str">
        <f>IF(A301="","",SUMIFS('成交明细'!$F$5:$F$804,'成交明细'!$A$5:$A$804,A301,'成交明细'!$D$5:$D$804,IF(E301="空","卖","买")))</f>
        <v/>
      </c>
      <c r="V301" s="40" t="str">
        <f>IF(N(U301)&gt;0,SUMIFS('成交明细'!$H$5:$H$804,'成交明细'!$A$5:$A$804,A301,'成交明细'!$D$5:$D$804,IF(E301="空","卖","买"))/U301,"")</f>
        <v/>
      </c>
      <c r="W301" s="35" t="str">
        <f>IF(A301="","",SUMIFS('成交明细'!$F$5:$F$804,'成交明细'!$A$5:$A$804,A301,'成交明细'!$D$5:$D$804,IF(E301="空","买","卖")))</f>
        <v/>
      </c>
      <c r="X301" s="40" t="str">
        <f>IF(N(W301)&gt;0,SUMIFS('成交明细'!$H$5:$H$804,'成交明细'!$A$5:$A$804,A301,'成交明细'!$D$5:$D$804,IF(E301="空","买","卖"))/W301,"")</f>
        <v/>
      </c>
      <c r="Y301" s="41" t="str">
        <f>IF(A301="","",IF(Q301&lt;&gt;"已执行",IF(Q301="","未填执行情况",Q301),IF(N(U301)=0,"待录成交",IF(N(W301)&gt;N(U301),"平仓多于开仓",IF(N(W301)&lt;N(U301),"持仓中","已平仓")))))</f>
        <v/>
      </c>
      <c r="Z301" s="41" t="str">
        <f>IF(AND(ISNUMBER(R301),ISNUMBER(S301)),IF(R301=S301,"日内",""),"")</f>
        <v/>
      </c>
      <c r="AA301" s="42" t="str">
        <f>IF(Z301&lt;&gt;"日内","",COUNTIFS($Z$5:$Z$304,"日内",$S$5:$S$304,"&gt;"&amp;WORKDAY(S301,-5),$S$5:$S$304,"&lt;="&amp;S301))</f>
        <v/>
      </c>
      <c r="AB301" s="41" t="str">
        <f>IF(OR(NOT(ISNUMBER(M301)),NOT(ISNUMBER(R301))),"",IF(AND(M301&gt;=R301,OR(NOT(ISNUMBER(S301)),M301&lt;=S301)),"持仓跨财报",""))</f>
        <v/>
      </c>
      <c r="AC301" s="20">
        <f>IF(AND(E301="空",ISNUMBER(O301),ISNUMBER(S301)),ROUND(O301*(S301-R301)/360*V301*U301,2),0)</f>
        <v>0</v>
      </c>
      <c r="AD301" s="43" t="str">
        <f>IF(N(U301)=0,"",SUMIFS('成交明细'!$L$5:$L$804,'成交明细'!$A$5:$A$804,A301)+AC301)</f>
        <v/>
      </c>
      <c r="AE301" s="44" t="str">
        <f>IF(Y301&lt;&gt;"已平仓","",(SUMIFS('成交明细'!$H$5:$H$804,'成交明细'!$A$5:$A$804,A301,'成交明细'!$D$5:$D$804,"卖")-SUMIFS('成交明细'!$H$5:$H$804,'成交明细'!$A$5:$A$804,A301,'成交明细'!$D$5:$D$804,"买"))*1-AD301)</f>
        <v/>
      </c>
      <c r="AF301" s="45" t="str">
        <f>IF(AND(Y301="已平仓",ISNUMBER(L301)),(SUMIFS('成交明细'!$H$5:$H$804,'成交明细'!$A$5:$A$804,A301,'成交明细'!$D$5:$D$804,"卖")-SUMIFS('成交明细'!$H$5:$H$804,'成交明细'!$A$5:$A$804,A301,'成交明细'!$D$5:$D$804,"买"))*1/L301,"")</f>
        <v/>
      </c>
      <c r="AG301" s="45" t="str">
        <f>IF(AND(Y301="已平仓",ISNUMBER(L301)),AE301/L301,"")</f>
        <v/>
      </c>
      <c r="AH301" s="46" t="str">
        <f>IF(AND(ISNUMBER(V301),ISNUMBER(F301)),IF(E301="空",F301-V301,V301-F301),"")</f>
        <v/>
      </c>
      <c r="AI301" s="46" t="str">
        <f>IF(OR(NOT(ISNUMBER(AE301)),NOT(ISNUMBER(X301))),"",IF(AE301&lt;0,IF(E301="空",X301-G301,G301-X301),IF(NOT(ISNUMBER(H301)),"",IF(E301="空",X301-H301,H301-X301))))</f>
        <v/>
      </c>
      <c r="AJ301" s="32" t="n"/>
      <c r="AK301" s="32" t="n"/>
      <c r="AL301" s="31" t="n"/>
      <c r="AM301" s="45" t="str">
        <f>IF(A301="","",SUM(AG$5:AG301))</f>
        <v/>
      </c>
      <c r="AN301" s="37" t="str">
        <f>IF(A301="","",MAX(0,MAX(AM$5:AM301))-AM301)</f>
        <v/>
      </c>
    </row>
    <row r="302">
      <c r="A302" s="29" t="n"/>
      <c r="B302" s="30" t="n"/>
      <c r="C302" s="31" t="n"/>
      <c r="D302" s="32" t="n"/>
      <c r="E302" s="32" t="n"/>
      <c r="F302" s="33" t="n"/>
      <c r="G302" s="33" t="n"/>
      <c r="H302" s="33" t="n"/>
      <c r="I302" s="34" t="str">
        <f>IF(AND(ISNUMBER(F302),ISNUMBER(G302),ISNUMBER(H302)),IF(OR(AND(E302="多",F302&gt;G302),AND(E302="空",F302&lt;G302)),ABS(H302-F302)/ABS(F302-G302),"止损方向不对"),"")</f>
        <v/>
      </c>
      <c r="J302" s="35" t="str">
        <f>IF(AND(ISNUMBER(F302),ISNUMBER(G302)),IF(F302=G302,"",IF(INT(ROUND('参数'!$C$7/(ABS(F302-G302)*1+2*'参数'!$C$11+N('参数'!$C$14)*F302+N('参数'!$C$15))/1,6))*1&gt;0,INT(ROUND('参数'!$C$7/(ABS(F302-G302)*1+2*'参数'!$C$11+N('参数'!$C$14)*F302+N('参数'!$C$15))/1,6))*1,"预算不足，这笔不做")),"")</f>
        <v/>
      </c>
      <c r="K302" s="36" t="n"/>
      <c r="L302" s="20" t="str">
        <f>IF(AND(ISNUMBER(F302),ISNUMBER(G302),ISNUMBER(K302)),IF(AND(F302&lt;&gt;G302,K302&gt;0),ABS(F302-G302)*K302*1,""),"")</f>
        <v/>
      </c>
      <c r="M302" s="30" t="n"/>
      <c r="N302" s="37" t="str">
        <f>IF(AND(ISNUMBER(L302),ISNUMBER(M302)),IF(E302="空",(G302*(1+'参数'!$C$17)-F302),(F302-G302*(1-'参数'!$C$17)))*K302/L302,"")</f>
        <v/>
      </c>
      <c r="O302" s="38" t="n"/>
      <c r="P302" s="31" t="n"/>
      <c r="Q302" s="32" t="n"/>
      <c r="R302" s="39" t="str">
        <f>IF(N(U302)&gt;0,SUMPRODUCT(LARGE(('成交明细'!$A$5:$A$804=A302)*('成交明细'!$D$5:$D$804=IF(E302="空","卖","买"))*'成交明细'!$B$5:$B$804,COUNTIFS('成交明细'!$A$5:$A$804,A302,'成交明细'!$D$5:$D$804,IF(E302="空","卖","买")))),"")</f>
        <v/>
      </c>
      <c r="S302" s="39" t="str">
        <f>IF(AND(N(U302)&gt;0,N(W302)&gt;=N(U302)),SUMPRODUCT(MAX(('成交明细'!$A$5:$A$804=A302)*('成交明细'!$D$5:$D$804=IF(E302="空","买","卖"))*'成交明细'!$B$5:$B$804)),"")</f>
        <v/>
      </c>
      <c r="T302" s="32" t="n"/>
      <c r="U302" s="35" t="str">
        <f>IF(A302="","",SUMIFS('成交明细'!$F$5:$F$804,'成交明细'!$A$5:$A$804,A302,'成交明细'!$D$5:$D$804,IF(E302="空","卖","买")))</f>
        <v/>
      </c>
      <c r="V302" s="40" t="str">
        <f>IF(N(U302)&gt;0,SUMIFS('成交明细'!$H$5:$H$804,'成交明细'!$A$5:$A$804,A302,'成交明细'!$D$5:$D$804,IF(E302="空","卖","买"))/U302,"")</f>
        <v/>
      </c>
      <c r="W302" s="35" t="str">
        <f>IF(A302="","",SUMIFS('成交明细'!$F$5:$F$804,'成交明细'!$A$5:$A$804,A302,'成交明细'!$D$5:$D$804,IF(E302="空","买","卖")))</f>
        <v/>
      </c>
      <c r="X302" s="40" t="str">
        <f>IF(N(W302)&gt;0,SUMIFS('成交明细'!$H$5:$H$804,'成交明细'!$A$5:$A$804,A302,'成交明细'!$D$5:$D$804,IF(E302="空","买","卖"))/W302,"")</f>
        <v/>
      </c>
      <c r="Y302" s="41" t="str">
        <f>IF(A302="","",IF(Q302&lt;&gt;"已执行",IF(Q302="","未填执行情况",Q302),IF(N(U302)=0,"待录成交",IF(N(W302)&gt;N(U302),"平仓多于开仓",IF(N(W302)&lt;N(U302),"持仓中","已平仓")))))</f>
        <v/>
      </c>
      <c r="Z302" s="41" t="str">
        <f>IF(AND(ISNUMBER(R302),ISNUMBER(S302)),IF(R302=S302,"日内",""),"")</f>
        <v/>
      </c>
      <c r="AA302" s="42" t="str">
        <f>IF(Z302&lt;&gt;"日内","",COUNTIFS($Z$5:$Z$304,"日内",$S$5:$S$304,"&gt;"&amp;WORKDAY(S302,-5),$S$5:$S$304,"&lt;="&amp;S302))</f>
        <v/>
      </c>
      <c r="AB302" s="41" t="str">
        <f>IF(OR(NOT(ISNUMBER(M302)),NOT(ISNUMBER(R302))),"",IF(AND(M302&gt;=R302,OR(NOT(ISNUMBER(S302)),M302&lt;=S302)),"持仓跨财报",""))</f>
        <v/>
      </c>
      <c r="AC302" s="20">
        <f>IF(AND(E302="空",ISNUMBER(O302),ISNUMBER(S302)),ROUND(O302*(S302-R302)/360*V302*U302,2),0)</f>
        <v>0</v>
      </c>
      <c r="AD302" s="43" t="str">
        <f>IF(N(U302)=0,"",SUMIFS('成交明细'!$L$5:$L$804,'成交明细'!$A$5:$A$804,A302)+AC302)</f>
        <v/>
      </c>
      <c r="AE302" s="44" t="str">
        <f>IF(Y302&lt;&gt;"已平仓","",(SUMIFS('成交明细'!$H$5:$H$804,'成交明细'!$A$5:$A$804,A302,'成交明细'!$D$5:$D$804,"卖")-SUMIFS('成交明细'!$H$5:$H$804,'成交明细'!$A$5:$A$804,A302,'成交明细'!$D$5:$D$804,"买"))*1-AD302)</f>
        <v/>
      </c>
      <c r="AF302" s="45" t="str">
        <f>IF(AND(Y302="已平仓",ISNUMBER(L302)),(SUMIFS('成交明细'!$H$5:$H$804,'成交明细'!$A$5:$A$804,A302,'成交明细'!$D$5:$D$804,"卖")-SUMIFS('成交明细'!$H$5:$H$804,'成交明细'!$A$5:$A$804,A302,'成交明细'!$D$5:$D$804,"买"))*1/L302,"")</f>
        <v/>
      </c>
      <c r="AG302" s="45" t="str">
        <f>IF(AND(Y302="已平仓",ISNUMBER(L302)),AE302/L302,"")</f>
        <v/>
      </c>
      <c r="AH302" s="46" t="str">
        <f>IF(AND(ISNUMBER(V302),ISNUMBER(F302)),IF(E302="空",F302-V302,V302-F302),"")</f>
        <v/>
      </c>
      <c r="AI302" s="46" t="str">
        <f>IF(OR(NOT(ISNUMBER(AE302)),NOT(ISNUMBER(X302))),"",IF(AE302&lt;0,IF(E302="空",X302-G302,G302-X302),IF(NOT(ISNUMBER(H302)),"",IF(E302="空",X302-H302,H302-X302))))</f>
        <v/>
      </c>
      <c r="AJ302" s="32" t="n"/>
      <c r="AK302" s="32" t="n"/>
      <c r="AL302" s="31" t="n"/>
      <c r="AM302" s="45" t="str">
        <f>IF(A302="","",SUM(AG$5:AG302))</f>
        <v/>
      </c>
      <c r="AN302" s="37" t="str">
        <f>IF(A302="","",MAX(0,MAX(AM$5:AM302))-AM302)</f>
        <v/>
      </c>
    </row>
    <row r="303">
      <c r="A303" s="29" t="n"/>
      <c r="B303" s="30" t="n"/>
      <c r="C303" s="31" t="n"/>
      <c r="D303" s="32" t="n"/>
      <c r="E303" s="32" t="n"/>
      <c r="F303" s="33" t="n"/>
      <c r="G303" s="33" t="n"/>
      <c r="H303" s="33" t="n"/>
      <c r="I303" s="34" t="str">
        <f>IF(AND(ISNUMBER(F303),ISNUMBER(G303),ISNUMBER(H303)),IF(OR(AND(E303="多",F303&gt;G303),AND(E303="空",F303&lt;G303)),ABS(H303-F303)/ABS(F303-G303),"止损方向不对"),"")</f>
        <v/>
      </c>
      <c r="J303" s="35" t="str">
        <f>IF(AND(ISNUMBER(F303),ISNUMBER(G303)),IF(F303=G303,"",IF(INT(ROUND('参数'!$C$7/(ABS(F303-G303)*1+2*'参数'!$C$11+N('参数'!$C$14)*F303+N('参数'!$C$15))/1,6))*1&gt;0,INT(ROUND('参数'!$C$7/(ABS(F303-G303)*1+2*'参数'!$C$11+N('参数'!$C$14)*F303+N('参数'!$C$15))/1,6))*1,"预算不足，这笔不做")),"")</f>
        <v/>
      </c>
      <c r="K303" s="36" t="n"/>
      <c r="L303" s="20" t="str">
        <f>IF(AND(ISNUMBER(F303),ISNUMBER(G303),ISNUMBER(K303)),IF(AND(F303&lt;&gt;G303,K303&gt;0),ABS(F303-G303)*K303*1,""),"")</f>
        <v/>
      </c>
      <c r="M303" s="30" t="n"/>
      <c r="N303" s="37" t="str">
        <f>IF(AND(ISNUMBER(L303),ISNUMBER(M303)),IF(E303="空",(G303*(1+'参数'!$C$17)-F303),(F303-G303*(1-'参数'!$C$17)))*K303/L303,"")</f>
        <v/>
      </c>
      <c r="O303" s="38" t="n"/>
      <c r="P303" s="31" t="n"/>
      <c r="Q303" s="32" t="n"/>
      <c r="R303" s="39" t="str">
        <f>IF(N(U303)&gt;0,SUMPRODUCT(LARGE(('成交明细'!$A$5:$A$804=A303)*('成交明细'!$D$5:$D$804=IF(E303="空","卖","买"))*'成交明细'!$B$5:$B$804,COUNTIFS('成交明细'!$A$5:$A$804,A303,'成交明细'!$D$5:$D$804,IF(E303="空","卖","买")))),"")</f>
        <v/>
      </c>
      <c r="S303" s="39" t="str">
        <f>IF(AND(N(U303)&gt;0,N(W303)&gt;=N(U303)),SUMPRODUCT(MAX(('成交明细'!$A$5:$A$804=A303)*('成交明细'!$D$5:$D$804=IF(E303="空","买","卖"))*'成交明细'!$B$5:$B$804)),"")</f>
        <v/>
      </c>
      <c r="T303" s="32" t="n"/>
      <c r="U303" s="35" t="str">
        <f>IF(A303="","",SUMIFS('成交明细'!$F$5:$F$804,'成交明细'!$A$5:$A$804,A303,'成交明细'!$D$5:$D$804,IF(E303="空","卖","买")))</f>
        <v/>
      </c>
      <c r="V303" s="40" t="str">
        <f>IF(N(U303)&gt;0,SUMIFS('成交明细'!$H$5:$H$804,'成交明细'!$A$5:$A$804,A303,'成交明细'!$D$5:$D$804,IF(E303="空","卖","买"))/U303,"")</f>
        <v/>
      </c>
      <c r="W303" s="35" t="str">
        <f>IF(A303="","",SUMIFS('成交明细'!$F$5:$F$804,'成交明细'!$A$5:$A$804,A303,'成交明细'!$D$5:$D$804,IF(E303="空","买","卖")))</f>
        <v/>
      </c>
      <c r="X303" s="40" t="str">
        <f>IF(N(W303)&gt;0,SUMIFS('成交明细'!$H$5:$H$804,'成交明细'!$A$5:$A$804,A303,'成交明细'!$D$5:$D$804,IF(E303="空","买","卖"))/W303,"")</f>
        <v/>
      </c>
      <c r="Y303" s="41" t="str">
        <f>IF(A303="","",IF(Q303&lt;&gt;"已执行",IF(Q303="","未填执行情况",Q303),IF(N(U303)=0,"待录成交",IF(N(W303)&gt;N(U303),"平仓多于开仓",IF(N(W303)&lt;N(U303),"持仓中","已平仓")))))</f>
        <v/>
      </c>
      <c r="Z303" s="41" t="str">
        <f>IF(AND(ISNUMBER(R303),ISNUMBER(S303)),IF(R303=S303,"日内",""),"")</f>
        <v/>
      </c>
      <c r="AA303" s="42" t="str">
        <f>IF(Z303&lt;&gt;"日内","",COUNTIFS($Z$5:$Z$304,"日内",$S$5:$S$304,"&gt;"&amp;WORKDAY(S303,-5),$S$5:$S$304,"&lt;="&amp;S303))</f>
        <v/>
      </c>
      <c r="AB303" s="41" t="str">
        <f>IF(OR(NOT(ISNUMBER(M303)),NOT(ISNUMBER(R303))),"",IF(AND(M303&gt;=R303,OR(NOT(ISNUMBER(S303)),M303&lt;=S303)),"持仓跨财报",""))</f>
        <v/>
      </c>
      <c r="AC303" s="20">
        <f>IF(AND(E303="空",ISNUMBER(O303),ISNUMBER(S303)),ROUND(O303*(S303-R303)/360*V303*U303,2),0)</f>
        <v>0</v>
      </c>
      <c r="AD303" s="43" t="str">
        <f>IF(N(U303)=0,"",SUMIFS('成交明细'!$L$5:$L$804,'成交明细'!$A$5:$A$804,A303)+AC303)</f>
        <v/>
      </c>
      <c r="AE303" s="44" t="str">
        <f>IF(Y303&lt;&gt;"已平仓","",(SUMIFS('成交明细'!$H$5:$H$804,'成交明细'!$A$5:$A$804,A303,'成交明细'!$D$5:$D$804,"卖")-SUMIFS('成交明细'!$H$5:$H$804,'成交明细'!$A$5:$A$804,A303,'成交明细'!$D$5:$D$804,"买"))*1-AD303)</f>
        <v/>
      </c>
      <c r="AF303" s="45" t="str">
        <f>IF(AND(Y303="已平仓",ISNUMBER(L303)),(SUMIFS('成交明细'!$H$5:$H$804,'成交明细'!$A$5:$A$804,A303,'成交明细'!$D$5:$D$804,"卖")-SUMIFS('成交明细'!$H$5:$H$804,'成交明细'!$A$5:$A$804,A303,'成交明细'!$D$5:$D$804,"买"))*1/L303,"")</f>
        <v/>
      </c>
      <c r="AG303" s="45" t="str">
        <f>IF(AND(Y303="已平仓",ISNUMBER(L303)),AE303/L303,"")</f>
        <v/>
      </c>
      <c r="AH303" s="46" t="str">
        <f>IF(AND(ISNUMBER(V303),ISNUMBER(F303)),IF(E303="空",F303-V303,V303-F303),"")</f>
        <v/>
      </c>
      <c r="AI303" s="46" t="str">
        <f>IF(OR(NOT(ISNUMBER(AE303)),NOT(ISNUMBER(X303))),"",IF(AE303&lt;0,IF(E303="空",X303-G303,G303-X303),IF(NOT(ISNUMBER(H303)),"",IF(E303="空",X303-H303,H303-X303))))</f>
        <v/>
      </c>
      <c r="AJ303" s="32" t="n"/>
      <c r="AK303" s="32" t="n"/>
      <c r="AL303" s="31" t="n"/>
      <c r="AM303" s="45" t="str">
        <f>IF(A303="","",SUM(AG$5:AG303))</f>
        <v/>
      </c>
      <c r="AN303" s="37" t="str">
        <f>IF(A303="","",MAX(0,MAX(AM$5:AM303))-AM303)</f>
        <v/>
      </c>
    </row>
    <row r="304">
      <c r="A304" s="29" t="n"/>
      <c r="B304" s="30" t="n"/>
      <c r="C304" s="31" t="n"/>
      <c r="D304" s="32" t="n"/>
      <c r="E304" s="32" t="n"/>
      <c r="F304" s="33" t="n"/>
      <c r="G304" s="33" t="n"/>
      <c r="H304" s="33" t="n"/>
      <c r="I304" s="34" t="str">
        <f>IF(AND(ISNUMBER(F304),ISNUMBER(G304),ISNUMBER(H304)),IF(OR(AND(E304="多",F304&gt;G304),AND(E304="空",F304&lt;G304)),ABS(H304-F304)/ABS(F304-G304),"止损方向不对"),"")</f>
        <v/>
      </c>
      <c r="J304" s="35" t="str">
        <f>IF(AND(ISNUMBER(F304),ISNUMBER(G304)),IF(F304=G304,"",IF(INT(ROUND('参数'!$C$7/(ABS(F304-G304)*1+2*'参数'!$C$11+N('参数'!$C$14)*F304+N('参数'!$C$15))/1,6))*1&gt;0,INT(ROUND('参数'!$C$7/(ABS(F304-G304)*1+2*'参数'!$C$11+N('参数'!$C$14)*F304+N('参数'!$C$15))/1,6))*1,"预算不足，这笔不做")),"")</f>
        <v/>
      </c>
      <c r="K304" s="36" t="n"/>
      <c r="L304" s="20" t="str">
        <f>IF(AND(ISNUMBER(F304),ISNUMBER(G304),ISNUMBER(K304)),IF(AND(F304&lt;&gt;G304,K304&gt;0),ABS(F304-G304)*K304*1,""),"")</f>
        <v/>
      </c>
      <c r="M304" s="30" t="n"/>
      <c r="N304" s="37" t="str">
        <f>IF(AND(ISNUMBER(L304),ISNUMBER(M304)),IF(E304="空",(G304*(1+'参数'!$C$17)-F304),(F304-G304*(1-'参数'!$C$17)))*K304/L304,"")</f>
        <v/>
      </c>
      <c r="O304" s="38" t="n"/>
      <c r="P304" s="31" t="n"/>
      <c r="Q304" s="32" t="n"/>
      <c r="R304" s="39" t="str">
        <f>IF(N(U304)&gt;0,SUMPRODUCT(LARGE(('成交明细'!$A$5:$A$804=A304)*('成交明细'!$D$5:$D$804=IF(E304="空","卖","买"))*'成交明细'!$B$5:$B$804,COUNTIFS('成交明细'!$A$5:$A$804,A304,'成交明细'!$D$5:$D$804,IF(E304="空","卖","买")))),"")</f>
        <v/>
      </c>
      <c r="S304" s="39" t="str">
        <f>IF(AND(N(U304)&gt;0,N(W304)&gt;=N(U304)),SUMPRODUCT(MAX(('成交明细'!$A$5:$A$804=A304)*('成交明细'!$D$5:$D$804=IF(E304="空","买","卖"))*'成交明细'!$B$5:$B$804)),"")</f>
        <v/>
      </c>
      <c r="T304" s="32" t="n"/>
      <c r="U304" s="35" t="str">
        <f>IF(A304="","",SUMIFS('成交明细'!$F$5:$F$804,'成交明细'!$A$5:$A$804,A304,'成交明细'!$D$5:$D$804,IF(E304="空","卖","买")))</f>
        <v/>
      </c>
      <c r="V304" s="40" t="str">
        <f>IF(N(U304)&gt;0,SUMIFS('成交明细'!$H$5:$H$804,'成交明细'!$A$5:$A$804,A304,'成交明细'!$D$5:$D$804,IF(E304="空","卖","买"))/U304,"")</f>
        <v/>
      </c>
      <c r="W304" s="35" t="str">
        <f>IF(A304="","",SUMIFS('成交明细'!$F$5:$F$804,'成交明细'!$A$5:$A$804,A304,'成交明细'!$D$5:$D$804,IF(E304="空","买","卖")))</f>
        <v/>
      </c>
      <c r="X304" s="40" t="str">
        <f>IF(N(W304)&gt;0,SUMIFS('成交明细'!$H$5:$H$804,'成交明细'!$A$5:$A$804,A304,'成交明细'!$D$5:$D$804,IF(E304="空","买","卖"))/W304,"")</f>
        <v/>
      </c>
      <c r="Y304" s="41" t="str">
        <f>IF(A304="","",IF(Q304&lt;&gt;"已执行",IF(Q304="","未填执行情况",Q304),IF(N(U304)=0,"待录成交",IF(N(W304)&gt;N(U304),"平仓多于开仓",IF(N(W304)&lt;N(U304),"持仓中","已平仓")))))</f>
        <v/>
      </c>
      <c r="Z304" s="41" t="str">
        <f>IF(AND(ISNUMBER(R304),ISNUMBER(S304)),IF(R304=S304,"日内",""),"")</f>
        <v/>
      </c>
      <c r="AA304" s="42" t="str">
        <f>IF(Z304&lt;&gt;"日内","",COUNTIFS($Z$5:$Z$304,"日内",$S$5:$S$304,"&gt;"&amp;WORKDAY(S304,-5),$S$5:$S$304,"&lt;="&amp;S304))</f>
        <v/>
      </c>
      <c r="AB304" s="41" t="str">
        <f>IF(OR(NOT(ISNUMBER(M304)),NOT(ISNUMBER(R304))),"",IF(AND(M304&gt;=R304,OR(NOT(ISNUMBER(S304)),M304&lt;=S304)),"持仓跨财报",""))</f>
        <v/>
      </c>
      <c r="AC304" s="20">
        <f>IF(AND(E304="空",ISNUMBER(O304),ISNUMBER(S304)),ROUND(O304*(S304-R304)/360*V304*U304,2),0)</f>
        <v>0</v>
      </c>
      <c r="AD304" s="43" t="str">
        <f>IF(N(U304)=0,"",SUMIFS('成交明细'!$L$5:$L$804,'成交明细'!$A$5:$A$804,A304)+AC304)</f>
        <v/>
      </c>
      <c r="AE304" s="44" t="str">
        <f>IF(Y304&lt;&gt;"已平仓","",(SUMIFS('成交明细'!$H$5:$H$804,'成交明细'!$A$5:$A$804,A304,'成交明细'!$D$5:$D$804,"卖")-SUMIFS('成交明细'!$H$5:$H$804,'成交明细'!$A$5:$A$804,A304,'成交明细'!$D$5:$D$804,"买"))*1-AD304)</f>
        <v/>
      </c>
      <c r="AF304" s="45" t="str">
        <f>IF(AND(Y304="已平仓",ISNUMBER(L304)),(SUMIFS('成交明细'!$H$5:$H$804,'成交明细'!$A$5:$A$804,A304,'成交明细'!$D$5:$D$804,"卖")-SUMIFS('成交明细'!$H$5:$H$804,'成交明细'!$A$5:$A$804,A304,'成交明细'!$D$5:$D$804,"买"))*1/L304,"")</f>
        <v/>
      </c>
      <c r="AG304" s="45" t="str">
        <f>IF(AND(Y304="已平仓",ISNUMBER(L304)),AE304/L304,"")</f>
        <v/>
      </c>
      <c r="AH304" s="46" t="str">
        <f>IF(AND(ISNUMBER(V304),ISNUMBER(F304)),IF(E304="空",F304-V304,V304-F304),"")</f>
        <v/>
      </c>
      <c r="AI304" s="46" t="str">
        <f>IF(OR(NOT(ISNUMBER(AE304)),NOT(ISNUMBER(X304))),"",IF(AE304&lt;0,IF(E304="空",X304-G304,G304-X304),IF(NOT(ISNUMBER(H304)),"",IF(E304="空",X304-H304,H304-X304))))</f>
        <v/>
      </c>
      <c r="AJ304" s="32" t="n"/>
      <c r="AK304" s="32" t="n"/>
      <c r="AL304" s="31" t="n"/>
      <c r="AM304" s="45" t="str">
        <f>IF(A304="","",SUM(AG$5:AG304))</f>
        <v/>
      </c>
      <c r="AN304" s="37" t="str">
        <f>IF(A304="","",MAX(0,MAX(AM$5:AM304))-AM304)</f>
        <v/>
      </c>
    </row>
  </sheetData>
  <mergeCells count="9">
    <mergeCell ref="Q3:AB3"/>
    <mergeCell ref="AL1:AN1"/>
    <mergeCell ref="A2:AN2"/>
    <mergeCell ref="AM3:AN3"/>
    <mergeCell ref="M3:O3"/>
    <mergeCell ref="AC3:AI3"/>
    <mergeCell ref="AJ3:AL3"/>
    <mergeCell ref="A1:AK1"/>
    <mergeCell ref="A3:L3"/>
  </mergeCells>
  <conditionalFormatting sqref="AE5:AE30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AF5:AF304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AG5:AG304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AM5:AM304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Y5:Y304">
    <cfRule type="cellIs" priority="9" operator="equal" dxfId="2">
      <formula>"持仓中"</formula>
    </cfRule>
    <cfRule type="expression" priority="10" dxfId="3">
      <formula>OR($Y5="待录成交",$Y5="平仓多于开仓",$Y5="未填执行情况")</formula>
    </cfRule>
  </conditionalFormatting>
  <conditionalFormatting sqref="J5:J304">
    <cfRule type="cellIs" priority="11" operator="equal" dxfId="3">
      <formula>"预算不足，这笔不做"</formula>
    </cfRule>
  </conditionalFormatting>
  <conditionalFormatting sqref="I5:I304">
    <cfRule type="cellIs" priority="12" operator="equal" dxfId="3">
      <formula>"止损方向不对"</formula>
    </cfRule>
  </conditionalFormatting>
  <conditionalFormatting sqref="K5:K304">
    <cfRule type="expression" priority="13" dxfId="4">
      <formula>AND(ISNUMBER($K5),ISNUMBER($J5),$K5&gt;$J5)</formula>
    </cfRule>
  </conditionalFormatting>
  <conditionalFormatting sqref="AJ5:AK304">
    <cfRule type="expression" priority="14" dxfId="5">
      <formula>AND(OR($AJ5="C",$AJ5="D"),N($AG5)&gt;0)</formula>
    </cfRule>
  </conditionalFormatting>
  <conditionalFormatting sqref="AH5:AH304">
    <cfRule type="expression" priority="15" dxfId="4">
      <formula>AND(ISNUMBER($AH5),$AH5&gt;ABS($F5)*0.01)</formula>
    </cfRule>
  </conditionalFormatting>
  <conditionalFormatting sqref="AB5:AB304">
    <cfRule type="cellIs" priority="16" operator="equal" dxfId="4">
      <formula>"持仓跨财报"</formula>
    </cfRule>
  </conditionalFormatting>
  <conditionalFormatting sqref="AA5:AA304">
    <cfRule type="cellIs" priority="17" operator="greaterThanOrEqual" dxfId="4">
      <formula>4</formula>
    </cfRule>
  </conditionalFormatting>
  <dataValidations count="9">
    <dataValidation sqref="A5:A304" showDropDown="0" showInputMessage="1" showErrorMessage="1" allowBlank="1" errorTitle="格式不对" error="编号请用数字（1、2、3…），成交明细里填同一个数字。" promptTitle="怎么填" prompt="用数字编号，成交明细里填同一个数字。" type="whole" errorStyle="stop" operator="greaterThanOrEqual">
      <formula1>1</formula1>
    </dataValidation>
    <dataValidation sqref="B5:B30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5:D304" showDropDown="0" showInputMessage="0" showErrorMessage="1" allowBlank="1" errorTitle="不在选项里" error="请从下拉里选；要加新选项，先去参数页的下拉选项里加。" type="list" errorStyle="warning">
      <formula1>'参数'!$B$22:$B$33</formula1>
    </dataValidation>
    <dataValidation sqref="E5:E304" showDropDown="0" showInputMessage="1" showErrorMessage="1" allowBlank="1" errorTitle="不在选项里" error="请从下拉里选；要加新选项，先去参数页的下拉选项里加。" promptTitle="怎么填" prompt="多：先买后卖。空：先卖后买。" type="list" errorStyle="stop">
      <formula1>'参数'!$C$22:$C$33</formula1>
    </dataValidation>
    <dataValidation sqref="Q5:Q304" showDropDown="0" showInputMessage="1" showErrorMessage="1" allowBlank="1" errorTitle="不在选项里" error="请从下拉里选；要加新选项，先去参数页的下拉选项里加。" promptTitle="怎么填" prompt="已执行：有成交。未成交：挂了没成交。主动放弃：按规则不做。漏单：该做没做。" type="list" errorStyle="stop">
      <formula1>'参数'!$D$22:$D$33</formula1>
    </dataValidation>
    <dataValidation sqref="AJ5:AJ304" showDropDown="0" showInputMessage="1" showErrorMessage="1" allowBlank="1" errorTitle="不在选项里" error="请从下拉里选；要加新选项，先去参数页的下拉选项里加。" promptTitle="怎么填" prompt="A 完全照计划；B 小偏差；C 违反一条规则；D 没有计划就下单。只看过程，不看赚亏。" type="list" errorStyle="stop">
      <formula1>'参数'!$E$22:$E$33</formula1>
    </dataValidation>
    <dataValidation sqref="AK5:AK304" showDropDown="0" showInputMessage="0" showErrorMessage="1" allowBlank="1" errorTitle="不在选项里" error="请从下拉里选；要加新选项，先去参数页的下拉选项里加。" type="list" errorStyle="warning">
      <formula1>'参数'!$F$22:$F$33</formula1>
    </dataValidation>
    <dataValidation sqref="T5:T304" showDropDown="0" showInputMessage="1" showErrorMessage="1" allowBlank="1" errorTitle="不在选项里" error="请从下拉里选；要加新选项，先去参数页的下拉选项里加。" promptTitle="怎么填" prompt="开仓那笔在盘前、常规时段还是盘后成交。盘前盘后成交稀，滑点和跳空都更大。" type="list" errorStyle="stop">
      <formula1>'参数'!$I$22:$I$33</formula1>
    </dataValidation>
    <dataValidation sqref="M5:M304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landscape" paperSize="9" scale="62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  <colBreaks count="1" manualBreakCount="1">
    <brk id="16" min="0" max="16383" man="1"/>
  </colBreaks>
</worksheet>
</file>

<file path=xl/worksheets/sheet4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O80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.5" customWidth="1" min="2" max="2"/>
    <col width="6.5" customWidth="1" min="3" max="3"/>
    <col width="5" customWidth="1" min="4" max="4"/>
    <col width="8" customWidth="1" min="5" max="5"/>
    <col width="8" customWidth="1" min="6" max="6"/>
    <col width="8.5" customWidth="1" min="7" max="7"/>
    <col width="10" customWidth="1" min="8" max="8"/>
    <col width="8" customWidth="1" min="9" max="9"/>
    <col width="8" customWidth="1" min="10" max="10"/>
    <col width="9" customWidth="1" min="11" max="11"/>
    <col width="8" customWidth="1" min="12" max="12"/>
    <col width="8.5" customWidth="1" min="13" max="13"/>
    <col width="10" customWidth="1" min="14" max="14"/>
    <col width="20" customWidth="1" min="15" max="15"/>
  </cols>
  <sheetData>
    <row r="1" ht="30" customHeight="1">
      <c r="A1" s="13" t="inlineStr">
        <is>
          <t>美股交易日志：成交明细（每成交一笔记一行）</t>
        </is>
      </c>
      <c r="M1" s="14" t="inlineStr">
        <is>
          <t>TradeLearn · XtradingTime 交易内训</t>
        </is>
      </c>
    </row>
    <row r="2" ht="20" customHeight="1">
      <c r="A2" s="2" t="inlineStr">
        <is>
          <t>照成交单抄。佣金按参数页估算，卖出时的监管费参数留空就不估；成交单上有实际费用就填实际数，表会优先用它。</t>
        </is>
      </c>
    </row>
    <row r="3" ht="18" customHeight="1">
      <c r="A3" s="28" t="inlineStr">
        <is>
          <t>成交（照成交单抄）</t>
        </is>
      </c>
      <c r="B3" s="28" t="n"/>
      <c r="C3" s="28" t="n"/>
      <c r="D3" s="28" t="n"/>
      <c r="E3" s="28" t="n"/>
      <c r="F3" s="28" t="n"/>
      <c r="G3" s="28" t="n"/>
      <c r="H3" s="28" t="inlineStr">
        <is>
          <t>金额与费用</t>
        </is>
      </c>
      <c r="I3" s="28" t="n"/>
      <c r="J3" s="28" t="n"/>
      <c r="K3" s="28" t="n"/>
      <c r="L3" s="28" t="n"/>
      <c r="M3" s="28" t="n"/>
      <c r="N3" s="28" t="inlineStr">
        <is>
          <t>核对</t>
        </is>
      </c>
      <c r="O3" s="28" t="n"/>
    </row>
    <row r="4" ht="54.4" customHeight="1">
      <c r="A4" s="26" t="inlineStr">
        <is>
          <t>交易编号</t>
        </is>
      </c>
      <c r="B4" s="26" t="inlineStr">
        <is>
          <t>成交日期</t>
        </is>
      </c>
      <c r="C4" s="26" t="inlineStr">
        <is>
          <t>时间</t>
        </is>
      </c>
      <c r="D4" s="26" t="inlineStr">
        <is>
          <t>买卖</t>
        </is>
      </c>
      <c r="E4" s="26" t="inlineStr">
        <is>
          <t>成交价</t>
        </is>
      </c>
      <c r="F4" s="26" t="inlineStr">
        <is>
          <t>股数</t>
        </is>
      </c>
      <c r="G4" s="26" t="inlineStr">
        <is>
          <t>参考价（下单时看到的价）</t>
        </is>
      </c>
      <c r="H4" s="26" t="inlineStr">
        <is>
          <t>价格 × 数量</t>
        </is>
      </c>
      <c r="I4" s="26" t="inlineStr">
        <is>
          <t>佣金估算</t>
        </is>
      </c>
      <c r="J4" s="26" t="inlineStr">
        <is>
          <t>卖出监管费估算</t>
        </is>
      </c>
      <c r="K4" s="26" t="inlineStr">
        <is>
          <t>实际费用（成交单有就填）</t>
        </is>
      </c>
      <c r="L4" s="26" t="inlineStr">
        <is>
          <t>计入费用</t>
        </is>
      </c>
      <c r="M4" s="26" t="inlineStr">
        <is>
          <t>滑点成本（不利为正）</t>
        </is>
      </c>
      <c r="N4" s="26" t="inlineStr">
        <is>
          <t>股票</t>
        </is>
      </c>
      <c r="O4" s="26" t="inlineStr">
        <is>
          <t>备注</t>
        </is>
      </c>
    </row>
    <row r="5">
      <c r="A5" s="29" t="n"/>
      <c r="B5" s="30" t="n"/>
      <c r="C5" s="47" t="n"/>
      <c r="D5" s="32" t="n"/>
      <c r="E5" s="33" t="n"/>
      <c r="F5" s="36" t="n"/>
      <c r="G5" s="33" t="n"/>
      <c r="H5" s="20" t="str">
        <f>IF(AND(ISNUMBER(E5),ISNUMBER(F5)),E5*F5,"")</f>
        <v/>
      </c>
      <c r="I5" s="43" t="str">
        <f>IF(ISNUMBER(H5),ROUND(MAX(F5*'参数'!$C$11,'参数'!$C$12)+'参数'!$C$13,2),"")</f>
        <v/>
      </c>
      <c r="J5" s="43" t="str">
        <f>IF(ISNUMBER(H5),IF(D5="卖",ROUND(H5*N('参数'!$C$14)+F5*N('参数'!$C$15),2),0),"")</f>
        <v/>
      </c>
      <c r="K5" s="23" t="n"/>
      <c r="L5" s="20" t="str">
        <f>IF(ISNUMBER(K5),K5,IF(ISNUMBER(H5),I5+J5,""))</f>
        <v/>
      </c>
      <c r="M5" s="48" t="str">
        <f>IF(AND(ISNUMBER(E5),ISNUMBER(G5),ISNUMBER(F5)),(E5-G5)*IF(D5="卖",-1,1)*F5,"")</f>
        <v/>
      </c>
      <c r="N5" s="49" t="str">
        <f>IF(A5="","",IFERROR(T(INDEX('交易记录'!$C$5:$C$304,MATCH(A5,'交易记录'!$A$5:$A$304,0))),"编号没找到"))</f>
        <v/>
      </c>
      <c r="O5" s="31" t="n"/>
    </row>
    <row r="6">
      <c r="A6" s="29" t="n"/>
      <c r="B6" s="30" t="n"/>
      <c r="C6" s="47" t="n"/>
      <c r="D6" s="32" t="n"/>
      <c r="E6" s="33" t="n"/>
      <c r="F6" s="36" t="n"/>
      <c r="G6" s="33" t="n"/>
      <c r="H6" s="20" t="str">
        <f>IF(AND(ISNUMBER(E6),ISNUMBER(F6)),E6*F6,"")</f>
        <v/>
      </c>
      <c r="I6" s="43" t="str">
        <f>IF(ISNUMBER(H6),ROUND(MAX(F6*'参数'!$C$11,'参数'!$C$12)+'参数'!$C$13,2),"")</f>
        <v/>
      </c>
      <c r="J6" s="43" t="str">
        <f>IF(ISNUMBER(H6),IF(D6="卖",ROUND(H6*N('参数'!$C$14)+F6*N('参数'!$C$15),2),0),"")</f>
        <v/>
      </c>
      <c r="K6" s="23" t="n"/>
      <c r="L6" s="20" t="str">
        <f>IF(ISNUMBER(K6),K6,IF(ISNUMBER(H6),I6+J6,""))</f>
        <v/>
      </c>
      <c r="M6" s="48" t="str">
        <f>IF(AND(ISNUMBER(E6),ISNUMBER(G6),ISNUMBER(F6)),(E6-G6)*IF(D6="卖",-1,1)*F6,"")</f>
        <v/>
      </c>
      <c r="N6" s="49" t="str">
        <f>IF(A6="","",IFERROR(T(INDEX('交易记录'!$C$5:$C$304,MATCH(A6,'交易记录'!$A$5:$A$304,0))),"编号没找到"))</f>
        <v/>
      </c>
      <c r="O6" s="31" t="n"/>
    </row>
    <row r="7">
      <c r="A7" s="29" t="n"/>
      <c r="B7" s="30" t="n"/>
      <c r="C7" s="47" t="n"/>
      <c r="D7" s="32" t="n"/>
      <c r="E7" s="33" t="n"/>
      <c r="F7" s="36" t="n"/>
      <c r="G7" s="33" t="n"/>
      <c r="H7" s="20" t="str">
        <f>IF(AND(ISNUMBER(E7),ISNUMBER(F7)),E7*F7,"")</f>
        <v/>
      </c>
      <c r="I7" s="43" t="str">
        <f>IF(ISNUMBER(H7),ROUND(MAX(F7*'参数'!$C$11,'参数'!$C$12)+'参数'!$C$13,2),"")</f>
        <v/>
      </c>
      <c r="J7" s="43" t="str">
        <f>IF(ISNUMBER(H7),IF(D7="卖",ROUND(H7*N('参数'!$C$14)+F7*N('参数'!$C$15),2),0),"")</f>
        <v/>
      </c>
      <c r="K7" s="23" t="n"/>
      <c r="L7" s="20" t="str">
        <f>IF(ISNUMBER(K7),K7,IF(ISNUMBER(H7),I7+J7,""))</f>
        <v/>
      </c>
      <c r="M7" s="48" t="str">
        <f>IF(AND(ISNUMBER(E7),ISNUMBER(G7),ISNUMBER(F7)),(E7-G7)*IF(D7="卖",-1,1)*F7,"")</f>
        <v/>
      </c>
      <c r="N7" s="49" t="str">
        <f>IF(A7="","",IFERROR(T(INDEX('交易记录'!$C$5:$C$304,MATCH(A7,'交易记录'!$A$5:$A$304,0))),"编号没找到"))</f>
        <v/>
      </c>
      <c r="O7" s="31" t="n"/>
    </row>
    <row r="8">
      <c r="A8" s="29" t="n"/>
      <c r="B8" s="30" t="n"/>
      <c r="C8" s="47" t="n"/>
      <c r="D8" s="32" t="n"/>
      <c r="E8" s="33" t="n"/>
      <c r="F8" s="36" t="n"/>
      <c r="G8" s="33" t="n"/>
      <c r="H8" s="20" t="str">
        <f>IF(AND(ISNUMBER(E8),ISNUMBER(F8)),E8*F8,"")</f>
        <v/>
      </c>
      <c r="I8" s="43" t="str">
        <f>IF(ISNUMBER(H8),ROUND(MAX(F8*'参数'!$C$11,'参数'!$C$12)+'参数'!$C$13,2),"")</f>
        <v/>
      </c>
      <c r="J8" s="43" t="str">
        <f>IF(ISNUMBER(H8),IF(D8="卖",ROUND(H8*N('参数'!$C$14)+F8*N('参数'!$C$15),2),0),"")</f>
        <v/>
      </c>
      <c r="K8" s="23" t="n"/>
      <c r="L8" s="20" t="str">
        <f>IF(ISNUMBER(K8),K8,IF(ISNUMBER(H8),I8+J8,""))</f>
        <v/>
      </c>
      <c r="M8" s="48" t="str">
        <f>IF(AND(ISNUMBER(E8),ISNUMBER(G8),ISNUMBER(F8)),(E8-G8)*IF(D8="卖",-1,1)*F8,"")</f>
        <v/>
      </c>
      <c r="N8" s="49" t="str">
        <f>IF(A8="","",IFERROR(T(INDEX('交易记录'!$C$5:$C$304,MATCH(A8,'交易记录'!$A$5:$A$304,0))),"编号没找到"))</f>
        <v/>
      </c>
      <c r="O8" s="31" t="n"/>
    </row>
    <row r="9">
      <c r="A9" s="29" t="n"/>
      <c r="B9" s="30" t="n"/>
      <c r="C9" s="47" t="n"/>
      <c r="D9" s="32" t="n"/>
      <c r="E9" s="33" t="n"/>
      <c r="F9" s="36" t="n"/>
      <c r="G9" s="33" t="n"/>
      <c r="H9" s="20" t="str">
        <f>IF(AND(ISNUMBER(E9),ISNUMBER(F9)),E9*F9,"")</f>
        <v/>
      </c>
      <c r="I9" s="43" t="str">
        <f>IF(ISNUMBER(H9),ROUND(MAX(F9*'参数'!$C$11,'参数'!$C$12)+'参数'!$C$13,2),"")</f>
        <v/>
      </c>
      <c r="J9" s="43" t="str">
        <f>IF(ISNUMBER(H9),IF(D9="卖",ROUND(H9*N('参数'!$C$14)+F9*N('参数'!$C$15),2),0),"")</f>
        <v/>
      </c>
      <c r="K9" s="23" t="n"/>
      <c r="L9" s="20" t="str">
        <f>IF(ISNUMBER(K9),K9,IF(ISNUMBER(H9),I9+J9,""))</f>
        <v/>
      </c>
      <c r="M9" s="48" t="str">
        <f>IF(AND(ISNUMBER(E9),ISNUMBER(G9),ISNUMBER(F9)),(E9-G9)*IF(D9="卖",-1,1)*F9,"")</f>
        <v/>
      </c>
      <c r="N9" s="49" t="str">
        <f>IF(A9="","",IFERROR(T(INDEX('交易记录'!$C$5:$C$304,MATCH(A9,'交易记录'!$A$5:$A$304,0))),"编号没找到"))</f>
        <v/>
      </c>
      <c r="O9" s="31" t="n"/>
    </row>
    <row r="10">
      <c r="A10" s="29" t="n"/>
      <c r="B10" s="30" t="n"/>
      <c r="C10" s="47" t="n"/>
      <c r="D10" s="32" t="n"/>
      <c r="E10" s="33" t="n"/>
      <c r="F10" s="36" t="n"/>
      <c r="G10" s="33" t="n"/>
      <c r="H10" s="20" t="str">
        <f>IF(AND(ISNUMBER(E10),ISNUMBER(F10)),E10*F10,"")</f>
        <v/>
      </c>
      <c r="I10" s="43" t="str">
        <f>IF(ISNUMBER(H10),ROUND(MAX(F10*'参数'!$C$11,'参数'!$C$12)+'参数'!$C$13,2),"")</f>
        <v/>
      </c>
      <c r="J10" s="43" t="str">
        <f>IF(ISNUMBER(H10),IF(D10="卖",ROUND(H10*N('参数'!$C$14)+F10*N('参数'!$C$15),2),0),"")</f>
        <v/>
      </c>
      <c r="K10" s="23" t="n"/>
      <c r="L10" s="20" t="str">
        <f>IF(ISNUMBER(K10),K10,IF(ISNUMBER(H10),I10+J10,""))</f>
        <v/>
      </c>
      <c r="M10" s="48" t="str">
        <f>IF(AND(ISNUMBER(E10),ISNUMBER(G10),ISNUMBER(F10)),(E10-G10)*IF(D10="卖",-1,1)*F10,"")</f>
        <v/>
      </c>
      <c r="N10" s="49" t="str">
        <f>IF(A10="","",IFERROR(T(INDEX('交易记录'!$C$5:$C$304,MATCH(A10,'交易记录'!$A$5:$A$304,0))),"编号没找到"))</f>
        <v/>
      </c>
      <c r="O10" s="31" t="n"/>
    </row>
    <row r="11">
      <c r="A11" s="29" t="n"/>
      <c r="B11" s="30" t="n"/>
      <c r="C11" s="47" t="n"/>
      <c r="D11" s="32" t="n"/>
      <c r="E11" s="33" t="n"/>
      <c r="F11" s="36" t="n"/>
      <c r="G11" s="33" t="n"/>
      <c r="H11" s="20" t="str">
        <f>IF(AND(ISNUMBER(E11),ISNUMBER(F11)),E11*F11,"")</f>
        <v/>
      </c>
      <c r="I11" s="43" t="str">
        <f>IF(ISNUMBER(H11),ROUND(MAX(F11*'参数'!$C$11,'参数'!$C$12)+'参数'!$C$13,2),"")</f>
        <v/>
      </c>
      <c r="J11" s="43" t="str">
        <f>IF(ISNUMBER(H11),IF(D11="卖",ROUND(H11*N('参数'!$C$14)+F11*N('参数'!$C$15),2),0),"")</f>
        <v/>
      </c>
      <c r="K11" s="23" t="n"/>
      <c r="L11" s="20" t="str">
        <f>IF(ISNUMBER(K11),K11,IF(ISNUMBER(H11),I11+J11,""))</f>
        <v/>
      </c>
      <c r="M11" s="48" t="str">
        <f>IF(AND(ISNUMBER(E11),ISNUMBER(G11),ISNUMBER(F11)),(E11-G11)*IF(D11="卖",-1,1)*F11,"")</f>
        <v/>
      </c>
      <c r="N11" s="49" t="str">
        <f>IF(A11="","",IFERROR(T(INDEX('交易记录'!$C$5:$C$304,MATCH(A11,'交易记录'!$A$5:$A$304,0))),"编号没找到"))</f>
        <v/>
      </c>
      <c r="O11" s="31" t="n"/>
    </row>
    <row r="12">
      <c r="A12" s="29" t="n"/>
      <c r="B12" s="30" t="n"/>
      <c r="C12" s="47" t="n"/>
      <c r="D12" s="32" t="n"/>
      <c r="E12" s="33" t="n"/>
      <c r="F12" s="36" t="n"/>
      <c r="G12" s="33" t="n"/>
      <c r="H12" s="20" t="str">
        <f>IF(AND(ISNUMBER(E12),ISNUMBER(F12)),E12*F12,"")</f>
        <v/>
      </c>
      <c r="I12" s="43" t="str">
        <f>IF(ISNUMBER(H12),ROUND(MAX(F12*'参数'!$C$11,'参数'!$C$12)+'参数'!$C$13,2),"")</f>
        <v/>
      </c>
      <c r="J12" s="43" t="str">
        <f>IF(ISNUMBER(H12),IF(D12="卖",ROUND(H12*N('参数'!$C$14)+F12*N('参数'!$C$15),2),0),"")</f>
        <v/>
      </c>
      <c r="K12" s="23" t="n"/>
      <c r="L12" s="20" t="str">
        <f>IF(ISNUMBER(K12),K12,IF(ISNUMBER(H12),I12+J12,""))</f>
        <v/>
      </c>
      <c r="M12" s="48" t="str">
        <f>IF(AND(ISNUMBER(E12),ISNUMBER(G12),ISNUMBER(F12)),(E12-G12)*IF(D12="卖",-1,1)*F12,"")</f>
        <v/>
      </c>
      <c r="N12" s="49" t="str">
        <f>IF(A12="","",IFERROR(T(INDEX('交易记录'!$C$5:$C$304,MATCH(A12,'交易记录'!$A$5:$A$304,0))),"编号没找到"))</f>
        <v/>
      </c>
      <c r="O12" s="31" t="n"/>
    </row>
    <row r="13">
      <c r="A13" s="29" t="n"/>
      <c r="B13" s="30" t="n"/>
      <c r="C13" s="47" t="n"/>
      <c r="D13" s="32" t="n"/>
      <c r="E13" s="33" t="n"/>
      <c r="F13" s="36" t="n"/>
      <c r="G13" s="33" t="n"/>
      <c r="H13" s="20" t="str">
        <f>IF(AND(ISNUMBER(E13),ISNUMBER(F13)),E13*F13,"")</f>
        <v/>
      </c>
      <c r="I13" s="43" t="str">
        <f>IF(ISNUMBER(H13),ROUND(MAX(F13*'参数'!$C$11,'参数'!$C$12)+'参数'!$C$13,2),"")</f>
        <v/>
      </c>
      <c r="J13" s="43" t="str">
        <f>IF(ISNUMBER(H13),IF(D13="卖",ROUND(H13*N('参数'!$C$14)+F13*N('参数'!$C$15),2),0),"")</f>
        <v/>
      </c>
      <c r="K13" s="23" t="n"/>
      <c r="L13" s="20" t="str">
        <f>IF(ISNUMBER(K13),K13,IF(ISNUMBER(H13),I13+J13,""))</f>
        <v/>
      </c>
      <c r="M13" s="48" t="str">
        <f>IF(AND(ISNUMBER(E13),ISNUMBER(G13),ISNUMBER(F13)),(E13-G13)*IF(D13="卖",-1,1)*F13,"")</f>
        <v/>
      </c>
      <c r="N13" s="49" t="str">
        <f>IF(A13="","",IFERROR(T(INDEX('交易记录'!$C$5:$C$304,MATCH(A13,'交易记录'!$A$5:$A$304,0))),"编号没找到"))</f>
        <v/>
      </c>
      <c r="O13" s="31" t="n"/>
    </row>
    <row r="14">
      <c r="A14" s="29" t="n"/>
      <c r="B14" s="30" t="n"/>
      <c r="C14" s="47" t="n"/>
      <c r="D14" s="32" t="n"/>
      <c r="E14" s="33" t="n"/>
      <c r="F14" s="36" t="n"/>
      <c r="G14" s="33" t="n"/>
      <c r="H14" s="20" t="str">
        <f>IF(AND(ISNUMBER(E14),ISNUMBER(F14)),E14*F14,"")</f>
        <v/>
      </c>
      <c r="I14" s="43" t="str">
        <f>IF(ISNUMBER(H14),ROUND(MAX(F14*'参数'!$C$11,'参数'!$C$12)+'参数'!$C$13,2),"")</f>
        <v/>
      </c>
      <c r="J14" s="43" t="str">
        <f>IF(ISNUMBER(H14),IF(D14="卖",ROUND(H14*N('参数'!$C$14)+F14*N('参数'!$C$15),2),0),"")</f>
        <v/>
      </c>
      <c r="K14" s="23" t="n"/>
      <c r="L14" s="20" t="str">
        <f>IF(ISNUMBER(K14),K14,IF(ISNUMBER(H14),I14+J14,""))</f>
        <v/>
      </c>
      <c r="M14" s="48" t="str">
        <f>IF(AND(ISNUMBER(E14),ISNUMBER(G14),ISNUMBER(F14)),(E14-G14)*IF(D14="卖",-1,1)*F14,"")</f>
        <v/>
      </c>
      <c r="N14" s="49" t="str">
        <f>IF(A14="","",IFERROR(T(INDEX('交易记录'!$C$5:$C$304,MATCH(A14,'交易记录'!$A$5:$A$304,0))),"编号没找到"))</f>
        <v/>
      </c>
      <c r="O14" s="31" t="n"/>
    </row>
    <row r="15">
      <c r="A15" s="29" t="n"/>
      <c r="B15" s="30" t="n"/>
      <c r="C15" s="47" t="n"/>
      <c r="D15" s="32" t="n"/>
      <c r="E15" s="33" t="n"/>
      <c r="F15" s="36" t="n"/>
      <c r="G15" s="33" t="n"/>
      <c r="H15" s="20" t="str">
        <f>IF(AND(ISNUMBER(E15),ISNUMBER(F15)),E15*F15,"")</f>
        <v/>
      </c>
      <c r="I15" s="43" t="str">
        <f>IF(ISNUMBER(H15),ROUND(MAX(F15*'参数'!$C$11,'参数'!$C$12)+'参数'!$C$13,2),"")</f>
        <v/>
      </c>
      <c r="J15" s="43" t="str">
        <f>IF(ISNUMBER(H15),IF(D15="卖",ROUND(H15*N('参数'!$C$14)+F15*N('参数'!$C$15),2),0),"")</f>
        <v/>
      </c>
      <c r="K15" s="23" t="n"/>
      <c r="L15" s="20" t="str">
        <f>IF(ISNUMBER(K15),K15,IF(ISNUMBER(H15),I15+J15,""))</f>
        <v/>
      </c>
      <c r="M15" s="48" t="str">
        <f>IF(AND(ISNUMBER(E15),ISNUMBER(G15),ISNUMBER(F15)),(E15-G15)*IF(D15="卖",-1,1)*F15,"")</f>
        <v/>
      </c>
      <c r="N15" s="49" t="str">
        <f>IF(A15="","",IFERROR(T(INDEX('交易记录'!$C$5:$C$304,MATCH(A15,'交易记录'!$A$5:$A$304,0))),"编号没找到"))</f>
        <v/>
      </c>
      <c r="O15" s="31" t="n"/>
    </row>
    <row r="16">
      <c r="A16" s="29" t="n"/>
      <c r="B16" s="30" t="n"/>
      <c r="C16" s="47" t="n"/>
      <c r="D16" s="32" t="n"/>
      <c r="E16" s="33" t="n"/>
      <c r="F16" s="36" t="n"/>
      <c r="G16" s="33" t="n"/>
      <c r="H16" s="20" t="str">
        <f>IF(AND(ISNUMBER(E16),ISNUMBER(F16)),E16*F16,"")</f>
        <v/>
      </c>
      <c r="I16" s="43" t="str">
        <f>IF(ISNUMBER(H16),ROUND(MAX(F16*'参数'!$C$11,'参数'!$C$12)+'参数'!$C$13,2),"")</f>
        <v/>
      </c>
      <c r="J16" s="43" t="str">
        <f>IF(ISNUMBER(H16),IF(D16="卖",ROUND(H16*N('参数'!$C$14)+F16*N('参数'!$C$15),2),0),"")</f>
        <v/>
      </c>
      <c r="K16" s="23" t="n"/>
      <c r="L16" s="20" t="str">
        <f>IF(ISNUMBER(K16),K16,IF(ISNUMBER(H16),I16+J16,""))</f>
        <v/>
      </c>
      <c r="M16" s="48" t="str">
        <f>IF(AND(ISNUMBER(E16),ISNUMBER(G16),ISNUMBER(F16)),(E16-G16)*IF(D16="卖",-1,1)*F16,"")</f>
        <v/>
      </c>
      <c r="N16" s="49" t="str">
        <f>IF(A16="","",IFERROR(T(INDEX('交易记录'!$C$5:$C$304,MATCH(A16,'交易记录'!$A$5:$A$304,0))),"编号没找到"))</f>
        <v/>
      </c>
      <c r="O16" s="31" t="n"/>
    </row>
    <row r="17">
      <c r="A17" s="29" t="n"/>
      <c r="B17" s="30" t="n"/>
      <c r="C17" s="47" t="n"/>
      <c r="D17" s="32" t="n"/>
      <c r="E17" s="33" t="n"/>
      <c r="F17" s="36" t="n"/>
      <c r="G17" s="33" t="n"/>
      <c r="H17" s="20" t="str">
        <f>IF(AND(ISNUMBER(E17),ISNUMBER(F17)),E17*F17,"")</f>
        <v/>
      </c>
      <c r="I17" s="43" t="str">
        <f>IF(ISNUMBER(H17),ROUND(MAX(F17*'参数'!$C$11,'参数'!$C$12)+'参数'!$C$13,2),"")</f>
        <v/>
      </c>
      <c r="J17" s="43" t="str">
        <f>IF(ISNUMBER(H17),IF(D17="卖",ROUND(H17*N('参数'!$C$14)+F17*N('参数'!$C$15),2),0),"")</f>
        <v/>
      </c>
      <c r="K17" s="23" t="n"/>
      <c r="L17" s="20" t="str">
        <f>IF(ISNUMBER(K17),K17,IF(ISNUMBER(H17),I17+J17,""))</f>
        <v/>
      </c>
      <c r="M17" s="48" t="str">
        <f>IF(AND(ISNUMBER(E17),ISNUMBER(G17),ISNUMBER(F17)),(E17-G17)*IF(D17="卖",-1,1)*F17,"")</f>
        <v/>
      </c>
      <c r="N17" s="49" t="str">
        <f>IF(A17="","",IFERROR(T(INDEX('交易记录'!$C$5:$C$304,MATCH(A17,'交易记录'!$A$5:$A$304,0))),"编号没找到"))</f>
        <v/>
      </c>
      <c r="O17" s="31" t="n"/>
    </row>
    <row r="18">
      <c r="A18" s="29" t="n"/>
      <c r="B18" s="30" t="n"/>
      <c r="C18" s="47" t="n"/>
      <c r="D18" s="32" t="n"/>
      <c r="E18" s="33" t="n"/>
      <c r="F18" s="36" t="n"/>
      <c r="G18" s="33" t="n"/>
      <c r="H18" s="20" t="str">
        <f>IF(AND(ISNUMBER(E18),ISNUMBER(F18)),E18*F18,"")</f>
        <v/>
      </c>
      <c r="I18" s="43" t="str">
        <f>IF(ISNUMBER(H18),ROUND(MAX(F18*'参数'!$C$11,'参数'!$C$12)+'参数'!$C$13,2),"")</f>
        <v/>
      </c>
      <c r="J18" s="43" t="str">
        <f>IF(ISNUMBER(H18),IF(D18="卖",ROUND(H18*N('参数'!$C$14)+F18*N('参数'!$C$15),2),0),"")</f>
        <v/>
      </c>
      <c r="K18" s="23" t="n"/>
      <c r="L18" s="20" t="str">
        <f>IF(ISNUMBER(K18),K18,IF(ISNUMBER(H18),I18+J18,""))</f>
        <v/>
      </c>
      <c r="M18" s="48" t="str">
        <f>IF(AND(ISNUMBER(E18),ISNUMBER(G18),ISNUMBER(F18)),(E18-G18)*IF(D18="卖",-1,1)*F18,"")</f>
        <v/>
      </c>
      <c r="N18" s="49" t="str">
        <f>IF(A18="","",IFERROR(T(INDEX('交易记录'!$C$5:$C$304,MATCH(A18,'交易记录'!$A$5:$A$304,0))),"编号没找到"))</f>
        <v/>
      </c>
      <c r="O18" s="31" t="n"/>
    </row>
    <row r="19">
      <c r="A19" s="29" t="n"/>
      <c r="B19" s="30" t="n"/>
      <c r="C19" s="47" t="n"/>
      <c r="D19" s="32" t="n"/>
      <c r="E19" s="33" t="n"/>
      <c r="F19" s="36" t="n"/>
      <c r="G19" s="33" t="n"/>
      <c r="H19" s="20" t="str">
        <f>IF(AND(ISNUMBER(E19),ISNUMBER(F19)),E19*F19,"")</f>
        <v/>
      </c>
      <c r="I19" s="43" t="str">
        <f>IF(ISNUMBER(H19),ROUND(MAX(F19*'参数'!$C$11,'参数'!$C$12)+'参数'!$C$13,2),"")</f>
        <v/>
      </c>
      <c r="J19" s="43" t="str">
        <f>IF(ISNUMBER(H19),IF(D19="卖",ROUND(H19*N('参数'!$C$14)+F19*N('参数'!$C$15),2),0),"")</f>
        <v/>
      </c>
      <c r="K19" s="23" t="n"/>
      <c r="L19" s="20" t="str">
        <f>IF(ISNUMBER(K19),K19,IF(ISNUMBER(H19),I19+J19,""))</f>
        <v/>
      </c>
      <c r="M19" s="48" t="str">
        <f>IF(AND(ISNUMBER(E19),ISNUMBER(G19),ISNUMBER(F19)),(E19-G19)*IF(D19="卖",-1,1)*F19,"")</f>
        <v/>
      </c>
      <c r="N19" s="49" t="str">
        <f>IF(A19="","",IFERROR(T(INDEX('交易记录'!$C$5:$C$304,MATCH(A19,'交易记录'!$A$5:$A$304,0))),"编号没找到"))</f>
        <v/>
      </c>
      <c r="O19" s="31" t="n"/>
    </row>
    <row r="20">
      <c r="A20" s="29" t="n"/>
      <c r="B20" s="30" t="n"/>
      <c r="C20" s="47" t="n"/>
      <c r="D20" s="32" t="n"/>
      <c r="E20" s="33" t="n"/>
      <c r="F20" s="36" t="n"/>
      <c r="G20" s="33" t="n"/>
      <c r="H20" s="20" t="str">
        <f>IF(AND(ISNUMBER(E20),ISNUMBER(F20)),E20*F20,"")</f>
        <v/>
      </c>
      <c r="I20" s="43" t="str">
        <f>IF(ISNUMBER(H20),ROUND(MAX(F20*'参数'!$C$11,'参数'!$C$12)+'参数'!$C$13,2),"")</f>
        <v/>
      </c>
      <c r="J20" s="43" t="str">
        <f>IF(ISNUMBER(H20),IF(D20="卖",ROUND(H20*N('参数'!$C$14)+F20*N('参数'!$C$15),2),0),"")</f>
        <v/>
      </c>
      <c r="K20" s="23" t="n"/>
      <c r="L20" s="20" t="str">
        <f>IF(ISNUMBER(K20),K20,IF(ISNUMBER(H20),I20+J20,""))</f>
        <v/>
      </c>
      <c r="M20" s="48" t="str">
        <f>IF(AND(ISNUMBER(E20),ISNUMBER(G20),ISNUMBER(F20)),(E20-G20)*IF(D20="卖",-1,1)*F20,"")</f>
        <v/>
      </c>
      <c r="N20" s="49" t="str">
        <f>IF(A20="","",IFERROR(T(INDEX('交易记录'!$C$5:$C$304,MATCH(A20,'交易记录'!$A$5:$A$304,0))),"编号没找到"))</f>
        <v/>
      </c>
      <c r="O20" s="31" t="n"/>
    </row>
    <row r="21">
      <c r="A21" s="29" t="n"/>
      <c r="B21" s="30" t="n"/>
      <c r="C21" s="47" t="n"/>
      <c r="D21" s="32" t="n"/>
      <c r="E21" s="33" t="n"/>
      <c r="F21" s="36" t="n"/>
      <c r="G21" s="33" t="n"/>
      <c r="H21" s="20" t="str">
        <f>IF(AND(ISNUMBER(E21),ISNUMBER(F21)),E21*F21,"")</f>
        <v/>
      </c>
      <c r="I21" s="43" t="str">
        <f>IF(ISNUMBER(H21),ROUND(MAX(F21*'参数'!$C$11,'参数'!$C$12)+'参数'!$C$13,2),"")</f>
        <v/>
      </c>
      <c r="J21" s="43" t="str">
        <f>IF(ISNUMBER(H21),IF(D21="卖",ROUND(H21*N('参数'!$C$14)+F21*N('参数'!$C$15),2),0),"")</f>
        <v/>
      </c>
      <c r="K21" s="23" t="n"/>
      <c r="L21" s="20" t="str">
        <f>IF(ISNUMBER(K21),K21,IF(ISNUMBER(H21),I21+J21,""))</f>
        <v/>
      </c>
      <c r="M21" s="48" t="str">
        <f>IF(AND(ISNUMBER(E21),ISNUMBER(G21),ISNUMBER(F21)),(E21-G21)*IF(D21="卖",-1,1)*F21,"")</f>
        <v/>
      </c>
      <c r="N21" s="49" t="str">
        <f>IF(A21="","",IFERROR(T(INDEX('交易记录'!$C$5:$C$304,MATCH(A21,'交易记录'!$A$5:$A$304,0))),"编号没找到"))</f>
        <v/>
      </c>
      <c r="O21" s="31" t="n"/>
    </row>
    <row r="22">
      <c r="A22" s="29" t="n"/>
      <c r="B22" s="30" t="n"/>
      <c r="C22" s="47" t="n"/>
      <c r="D22" s="32" t="n"/>
      <c r="E22" s="33" t="n"/>
      <c r="F22" s="36" t="n"/>
      <c r="G22" s="33" t="n"/>
      <c r="H22" s="20" t="str">
        <f>IF(AND(ISNUMBER(E22),ISNUMBER(F22)),E22*F22,"")</f>
        <v/>
      </c>
      <c r="I22" s="43" t="str">
        <f>IF(ISNUMBER(H22),ROUND(MAX(F22*'参数'!$C$11,'参数'!$C$12)+'参数'!$C$13,2),"")</f>
        <v/>
      </c>
      <c r="J22" s="43" t="str">
        <f>IF(ISNUMBER(H22),IF(D22="卖",ROUND(H22*N('参数'!$C$14)+F22*N('参数'!$C$15),2),0),"")</f>
        <v/>
      </c>
      <c r="K22" s="23" t="n"/>
      <c r="L22" s="20" t="str">
        <f>IF(ISNUMBER(K22),K22,IF(ISNUMBER(H22),I22+J22,""))</f>
        <v/>
      </c>
      <c r="M22" s="48" t="str">
        <f>IF(AND(ISNUMBER(E22),ISNUMBER(G22),ISNUMBER(F22)),(E22-G22)*IF(D22="卖",-1,1)*F22,"")</f>
        <v/>
      </c>
      <c r="N22" s="49" t="str">
        <f>IF(A22="","",IFERROR(T(INDEX('交易记录'!$C$5:$C$304,MATCH(A22,'交易记录'!$A$5:$A$304,0))),"编号没找到"))</f>
        <v/>
      </c>
      <c r="O22" s="31" t="n"/>
    </row>
    <row r="23">
      <c r="A23" s="29" t="n"/>
      <c r="B23" s="30" t="n"/>
      <c r="C23" s="47" t="n"/>
      <c r="D23" s="32" t="n"/>
      <c r="E23" s="33" t="n"/>
      <c r="F23" s="36" t="n"/>
      <c r="G23" s="33" t="n"/>
      <c r="H23" s="20" t="str">
        <f>IF(AND(ISNUMBER(E23),ISNUMBER(F23)),E23*F23,"")</f>
        <v/>
      </c>
      <c r="I23" s="43" t="str">
        <f>IF(ISNUMBER(H23),ROUND(MAX(F23*'参数'!$C$11,'参数'!$C$12)+'参数'!$C$13,2),"")</f>
        <v/>
      </c>
      <c r="J23" s="43" t="str">
        <f>IF(ISNUMBER(H23),IF(D23="卖",ROUND(H23*N('参数'!$C$14)+F23*N('参数'!$C$15),2),0),"")</f>
        <v/>
      </c>
      <c r="K23" s="23" t="n"/>
      <c r="L23" s="20" t="str">
        <f>IF(ISNUMBER(K23),K23,IF(ISNUMBER(H23),I23+J23,""))</f>
        <v/>
      </c>
      <c r="M23" s="48" t="str">
        <f>IF(AND(ISNUMBER(E23),ISNUMBER(G23),ISNUMBER(F23)),(E23-G23)*IF(D23="卖",-1,1)*F23,"")</f>
        <v/>
      </c>
      <c r="N23" s="49" t="str">
        <f>IF(A23="","",IFERROR(T(INDEX('交易记录'!$C$5:$C$304,MATCH(A23,'交易记录'!$A$5:$A$304,0))),"编号没找到"))</f>
        <v/>
      </c>
      <c r="O23" s="31" t="n"/>
    </row>
    <row r="24">
      <c r="A24" s="29" t="n"/>
      <c r="B24" s="30" t="n"/>
      <c r="C24" s="47" t="n"/>
      <c r="D24" s="32" t="n"/>
      <c r="E24" s="33" t="n"/>
      <c r="F24" s="36" t="n"/>
      <c r="G24" s="33" t="n"/>
      <c r="H24" s="20" t="str">
        <f>IF(AND(ISNUMBER(E24),ISNUMBER(F24)),E24*F24,"")</f>
        <v/>
      </c>
      <c r="I24" s="43" t="str">
        <f>IF(ISNUMBER(H24),ROUND(MAX(F24*'参数'!$C$11,'参数'!$C$12)+'参数'!$C$13,2),"")</f>
        <v/>
      </c>
      <c r="J24" s="43" t="str">
        <f>IF(ISNUMBER(H24),IF(D24="卖",ROUND(H24*N('参数'!$C$14)+F24*N('参数'!$C$15),2),0),"")</f>
        <v/>
      </c>
      <c r="K24" s="23" t="n"/>
      <c r="L24" s="20" t="str">
        <f>IF(ISNUMBER(K24),K24,IF(ISNUMBER(H24),I24+J24,""))</f>
        <v/>
      </c>
      <c r="M24" s="48" t="str">
        <f>IF(AND(ISNUMBER(E24),ISNUMBER(G24),ISNUMBER(F24)),(E24-G24)*IF(D24="卖",-1,1)*F24,"")</f>
        <v/>
      </c>
      <c r="N24" s="49" t="str">
        <f>IF(A24="","",IFERROR(T(INDEX('交易记录'!$C$5:$C$304,MATCH(A24,'交易记录'!$A$5:$A$304,0))),"编号没找到"))</f>
        <v/>
      </c>
      <c r="O24" s="31" t="n"/>
    </row>
    <row r="25">
      <c r="A25" s="29" t="n"/>
      <c r="B25" s="30" t="n"/>
      <c r="C25" s="47" t="n"/>
      <c r="D25" s="32" t="n"/>
      <c r="E25" s="33" t="n"/>
      <c r="F25" s="36" t="n"/>
      <c r="G25" s="33" t="n"/>
      <c r="H25" s="20" t="str">
        <f>IF(AND(ISNUMBER(E25),ISNUMBER(F25)),E25*F25,"")</f>
        <v/>
      </c>
      <c r="I25" s="43" t="str">
        <f>IF(ISNUMBER(H25),ROUND(MAX(F25*'参数'!$C$11,'参数'!$C$12)+'参数'!$C$13,2),"")</f>
        <v/>
      </c>
      <c r="J25" s="43" t="str">
        <f>IF(ISNUMBER(H25),IF(D25="卖",ROUND(H25*N('参数'!$C$14)+F25*N('参数'!$C$15),2),0),"")</f>
        <v/>
      </c>
      <c r="K25" s="23" t="n"/>
      <c r="L25" s="20" t="str">
        <f>IF(ISNUMBER(K25),K25,IF(ISNUMBER(H25),I25+J25,""))</f>
        <v/>
      </c>
      <c r="M25" s="48" t="str">
        <f>IF(AND(ISNUMBER(E25),ISNUMBER(G25),ISNUMBER(F25)),(E25-G25)*IF(D25="卖",-1,1)*F25,"")</f>
        <v/>
      </c>
      <c r="N25" s="49" t="str">
        <f>IF(A25="","",IFERROR(T(INDEX('交易记录'!$C$5:$C$304,MATCH(A25,'交易记录'!$A$5:$A$304,0))),"编号没找到"))</f>
        <v/>
      </c>
      <c r="O25" s="31" t="n"/>
    </row>
    <row r="26">
      <c r="A26" s="29" t="n"/>
      <c r="B26" s="30" t="n"/>
      <c r="C26" s="47" t="n"/>
      <c r="D26" s="32" t="n"/>
      <c r="E26" s="33" t="n"/>
      <c r="F26" s="36" t="n"/>
      <c r="G26" s="33" t="n"/>
      <c r="H26" s="20" t="str">
        <f>IF(AND(ISNUMBER(E26),ISNUMBER(F26)),E26*F26,"")</f>
        <v/>
      </c>
      <c r="I26" s="43" t="str">
        <f>IF(ISNUMBER(H26),ROUND(MAX(F26*'参数'!$C$11,'参数'!$C$12)+'参数'!$C$13,2),"")</f>
        <v/>
      </c>
      <c r="J26" s="43" t="str">
        <f>IF(ISNUMBER(H26),IF(D26="卖",ROUND(H26*N('参数'!$C$14)+F26*N('参数'!$C$15),2),0),"")</f>
        <v/>
      </c>
      <c r="K26" s="23" t="n"/>
      <c r="L26" s="20" t="str">
        <f>IF(ISNUMBER(K26),K26,IF(ISNUMBER(H26),I26+J26,""))</f>
        <v/>
      </c>
      <c r="M26" s="48" t="str">
        <f>IF(AND(ISNUMBER(E26),ISNUMBER(G26),ISNUMBER(F26)),(E26-G26)*IF(D26="卖",-1,1)*F26,"")</f>
        <v/>
      </c>
      <c r="N26" s="49" t="str">
        <f>IF(A26="","",IFERROR(T(INDEX('交易记录'!$C$5:$C$304,MATCH(A26,'交易记录'!$A$5:$A$304,0))),"编号没找到"))</f>
        <v/>
      </c>
      <c r="O26" s="31" t="n"/>
    </row>
    <row r="27">
      <c r="A27" s="29" t="n"/>
      <c r="B27" s="30" t="n"/>
      <c r="C27" s="47" t="n"/>
      <c r="D27" s="32" t="n"/>
      <c r="E27" s="33" t="n"/>
      <c r="F27" s="36" t="n"/>
      <c r="G27" s="33" t="n"/>
      <c r="H27" s="20" t="str">
        <f>IF(AND(ISNUMBER(E27),ISNUMBER(F27)),E27*F27,"")</f>
        <v/>
      </c>
      <c r="I27" s="43" t="str">
        <f>IF(ISNUMBER(H27),ROUND(MAX(F27*'参数'!$C$11,'参数'!$C$12)+'参数'!$C$13,2),"")</f>
        <v/>
      </c>
      <c r="J27" s="43" t="str">
        <f>IF(ISNUMBER(H27),IF(D27="卖",ROUND(H27*N('参数'!$C$14)+F27*N('参数'!$C$15),2),0),"")</f>
        <v/>
      </c>
      <c r="K27" s="23" t="n"/>
      <c r="L27" s="20" t="str">
        <f>IF(ISNUMBER(K27),K27,IF(ISNUMBER(H27),I27+J27,""))</f>
        <v/>
      </c>
      <c r="M27" s="48" t="str">
        <f>IF(AND(ISNUMBER(E27),ISNUMBER(G27),ISNUMBER(F27)),(E27-G27)*IF(D27="卖",-1,1)*F27,"")</f>
        <v/>
      </c>
      <c r="N27" s="49" t="str">
        <f>IF(A27="","",IFERROR(T(INDEX('交易记录'!$C$5:$C$304,MATCH(A27,'交易记录'!$A$5:$A$304,0))),"编号没找到"))</f>
        <v/>
      </c>
      <c r="O27" s="31" t="n"/>
    </row>
    <row r="28">
      <c r="A28" s="29" t="n"/>
      <c r="B28" s="30" t="n"/>
      <c r="C28" s="47" t="n"/>
      <c r="D28" s="32" t="n"/>
      <c r="E28" s="33" t="n"/>
      <c r="F28" s="36" t="n"/>
      <c r="G28" s="33" t="n"/>
      <c r="H28" s="20" t="str">
        <f>IF(AND(ISNUMBER(E28),ISNUMBER(F28)),E28*F28,"")</f>
        <v/>
      </c>
      <c r="I28" s="43" t="str">
        <f>IF(ISNUMBER(H28),ROUND(MAX(F28*'参数'!$C$11,'参数'!$C$12)+'参数'!$C$13,2),"")</f>
        <v/>
      </c>
      <c r="J28" s="43" t="str">
        <f>IF(ISNUMBER(H28),IF(D28="卖",ROUND(H28*N('参数'!$C$14)+F28*N('参数'!$C$15),2),0),"")</f>
        <v/>
      </c>
      <c r="K28" s="23" t="n"/>
      <c r="L28" s="20" t="str">
        <f>IF(ISNUMBER(K28),K28,IF(ISNUMBER(H28),I28+J28,""))</f>
        <v/>
      </c>
      <c r="M28" s="48" t="str">
        <f>IF(AND(ISNUMBER(E28),ISNUMBER(G28),ISNUMBER(F28)),(E28-G28)*IF(D28="卖",-1,1)*F28,"")</f>
        <v/>
      </c>
      <c r="N28" s="49" t="str">
        <f>IF(A28="","",IFERROR(T(INDEX('交易记录'!$C$5:$C$304,MATCH(A28,'交易记录'!$A$5:$A$304,0))),"编号没找到"))</f>
        <v/>
      </c>
      <c r="O28" s="31" t="n"/>
    </row>
    <row r="29">
      <c r="A29" s="29" t="n"/>
      <c r="B29" s="30" t="n"/>
      <c r="C29" s="47" t="n"/>
      <c r="D29" s="32" t="n"/>
      <c r="E29" s="33" t="n"/>
      <c r="F29" s="36" t="n"/>
      <c r="G29" s="33" t="n"/>
      <c r="H29" s="20" t="str">
        <f>IF(AND(ISNUMBER(E29),ISNUMBER(F29)),E29*F29,"")</f>
        <v/>
      </c>
      <c r="I29" s="43" t="str">
        <f>IF(ISNUMBER(H29),ROUND(MAX(F29*'参数'!$C$11,'参数'!$C$12)+'参数'!$C$13,2),"")</f>
        <v/>
      </c>
      <c r="J29" s="43" t="str">
        <f>IF(ISNUMBER(H29),IF(D29="卖",ROUND(H29*N('参数'!$C$14)+F29*N('参数'!$C$15),2),0),"")</f>
        <v/>
      </c>
      <c r="K29" s="23" t="n"/>
      <c r="L29" s="20" t="str">
        <f>IF(ISNUMBER(K29),K29,IF(ISNUMBER(H29),I29+J29,""))</f>
        <v/>
      </c>
      <c r="M29" s="48" t="str">
        <f>IF(AND(ISNUMBER(E29),ISNUMBER(G29),ISNUMBER(F29)),(E29-G29)*IF(D29="卖",-1,1)*F29,"")</f>
        <v/>
      </c>
      <c r="N29" s="49" t="str">
        <f>IF(A29="","",IFERROR(T(INDEX('交易记录'!$C$5:$C$304,MATCH(A29,'交易记录'!$A$5:$A$304,0))),"编号没找到"))</f>
        <v/>
      </c>
      <c r="O29" s="31" t="n"/>
    </row>
    <row r="30">
      <c r="A30" s="29" t="n"/>
      <c r="B30" s="30" t="n"/>
      <c r="C30" s="47" t="n"/>
      <c r="D30" s="32" t="n"/>
      <c r="E30" s="33" t="n"/>
      <c r="F30" s="36" t="n"/>
      <c r="G30" s="33" t="n"/>
      <c r="H30" s="20" t="str">
        <f>IF(AND(ISNUMBER(E30),ISNUMBER(F30)),E30*F30,"")</f>
        <v/>
      </c>
      <c r="I30" s="43" t="str">
        <f>IF(ISNUMBER(H30),ROUND(MAX(F30*'参数'!$C$11,'参数'!$C$12)+'参数'!$C$13,2),"")</f>
        <v/>
      </c>
      <c r="J30" s="43" t="str">
        <f>IF(ISNUMBER(H30),IF(D30="卖",ROUND(H30*N('参数'!$C$14)+F30*N('参数'!$C$15),2),0),"")</f>
        <v/>
      </c>
      <c r="K30" s="23" t="n"/>
      <c r="L30" s="20" t="str">
        <f>IF(ISNUMBER(K30),K30,IF(ISNUMBER(H30),I30+J30,""))</f>
        <v/>
      </c>
      <c r="M30" s="48" t="str">
        <f>IF(AND(ISNUMBER(E30),ISNUMBER(G30),ISNUMBER(F30)),(E30-G30)*IF(D30="卖",-1,1)*F30,"")</f>
        <v/>
      </c>
      <c r="N30" s="49" t="str">
        <f>IF(A30="","",IFERROR(T(INDEX('交易记录'!$C$5:$C$304,MATCH(A30,'交易记录'!$A$5:$A$304,0))),"编号没找到"))</f>
        <v/>
      </c>
      <c r="O30" s="31" t="n"/>
    </row>
    <row r="31">
      <c r="A31" s="29" t="n"/>
      <c r="B31" s="30" t="n"/>
      <c r="C31" s="47" t="n"/>
      <c r="D31" s="32" t="n"/>
      <c r="E31" s="33" t="n"/>
      <c r="F31" s="36" t="n"/>
      <c r="G31" s="33" t="n"/>
      <c r="H31" s="20" t="str">
        <f>IF(AND(ISNUMBER(E31),ISNUMBER(F31)),E31*F31,"")</f>
        <v/>
      </c>
      <c r="I31" s="43" t="str">
        <f>IF(ISNUMBER(H31),ROUND(MAX(F31*'参数'!$C$11,'参数'!$C$12)+'参数'!$C$13,2),"")</f>
        <v/>
      </c>
      <c r="J31" s="43" t="str">
        <f>IF(ISNUMBER(H31),IF(D31="卖",ROUND(H31*N('参数'!$C$14)+F31*N('参数'!$C$15),2),0),"")</f>
        <v/>
      </c>
      <c r="K31" s="23" t="n"/>
      <c r="L31" s="20" t="str">
        <f>IF(ISNUMBER(K31),K31,IF(ISNUMBER(H31),I31+J31,""))</f>
        <v/>
      </c>
      <c r="M31" s="48" t="str">
        <f>IF(AND(ISNUMBER(E31),ISNUMBER(G31),ISNUMBER(F31)),(E31-G31)*IF(D31="卖",-1,1)*F31,"")</f>
        <v/>
      </c>
      <c r="N31" s="49" t="str">
        <f>IF(A31="","",IFERROR(T(INDEX('交易记录'!$C$5:$C$304,MATCH(A31,'交易记录'!$A$5:$A$304,0))),"编号没找到"))</f>
        <v/>
      </c>
      <c r="O31" s="31" t="n"/>
    </row>
    <row r="32">
      <c r="A32" s="29" t="n"/>
      <c r="B32" s="30" t="n"/>
      <c r="C32" s="47" t="n"/>
      <c r="D32" s="32" t="n"/>
      <c r="E32" s="33" t="n"/>
      <c r="F32" s="36" t="n"/>
      <c r="G32" s="33" t="n"/>
      <c r="H32" s="20" t="str">
        <f>IF(AND(ISNUMBER(E32),ISNUMBER(F32)),E32*F32,"")</f>
        <v/>
      </c>
      <c r="I32" s="43" t="str">
        <f>IF(ISNUMBER(H32),ROUND(MAX(F32*'参数'!$C$11,'参数'!$C$12)+'参数'!$C$13,2),"")</f>
        <v/>
      </c>
      <c r="J32" s="43" t="str">
        <f>IF(ISNUMBER(H32),IF(D32="卖",ROUND(H32*N('参数'!$C$14)+F32*N('参数'!$C$15),2),0),"")</f>
        <v/>
      </c>
      <c r="K32" s="23" t="n"/>
      <c r="L32" s="20" t="str">
        <f>IF(ISNUMBER(K32),K32,IF(ISNUMBER(H32),I32+J32,""))</f>
        <v/>
      </c>
      <c r="M32" s="48" t="str">
        <f>IF(AND(ISNUMBER(E32),ISNUMBER(G32),ISNUMBER(F32)),(E32-G32)*IF(D32="卖",-1,1)*F32,"")</f>
        <v/>
      </c>
      <c r="N32" s="49" t="str">
        <f>IF(A32="","",IFERROR(T(INDEX('交易记录'!$C$5:$C$304,MATCH(A32,'交易记录'!$A$5:$A$304,0))),"编号没找到"))</f>
        <v/>
      </c>
      <c r="O32" s="31" t="n"/>
    </row>
    <row r="33">
      <c r="A33" s="29" t="n"/>
      <c r="B33" s="30" t="n"/>
      <c r="C33" s="47" t="n"/>
      <c r="D33" s="32" t="n"/>
      <c r="E33" s="33" t="n"/>
      <c r="F33" s="36" t="n"/>
      <c r="G33" s="33" t="n"/>
      <c r="H33" s="20" t="str">
        <f>IF(AND(ISNUMBER(E33),ISNUMBER(F33)),E33*F33,"")</f>
        <v/>
      </c>
      <c r="I33" s="43" t="str">
        <f>IF(ISNUMBER(H33),ROUND(MAX(F33*'参数'!$C$11,'参数'!$C$12)+'参数'!$C$13,2),"")</f>
        <v/>
      </c>
      <c r="J33" s="43" t="str">
        <f>IF(ISNUMBER(H33),IF(D33="卖",ROUND(H33*N('参数'!$C$14)+F33*N('参数'!$C$15),2),0),"")</f>
        <v/>
      </c>
      <c r="K33" s="23" t="n"/>
      <c r="L33" s="20" t="str">
        <f>IF(ISNUMBER(K33),K33,IF(ISNUMBER(H33),I33+J33,""))</f>
        <v/>
      </c>
      <c r="M33" s="48" t="str">
        <f>IF(AND(ISNUMBER(E33),ISNUMBER(G33),ISNUMBER(F33)),(E33-G33)*IF(D33="卖",-1,1)*F33,"")</f>
        <v/>
      </c>
      <c r="N33" s="49" t="str">
        <f>IF(A33="","",IFERROR(T(INDEX('交易记录'!$C$5:$C$304,MATCH(A33,'交易记录'!$A$5:$A$304,0))),"编号没找到"))</f>
        <v/>
      </c>
      <c r="O33" s="31" t="n"/>
    </row>
    <row r="34">
      <c r="A34" s="29" t="n"/>
      <c r="B34" s="30" t="n"/>
      <c r="C34" s="47" t="n"/>
      <c r="D34" s="32" t="n"/>
      <c r="E34" s="33" t="n"/>
      <c r="F34" s="36" t="n"/>
      <c r="G34" s="33" t="n"/>
      <c r="H34" s="20" t="str">
        <f>IF(AND(ISNUMBER(E34),ISNUMBER(F34)),E34*F34,"")</f>
        <v/>
      </c>
      <c r="I34" s="43" t="str">
        <f>IF(ISNUMBER(H34),ROUND(MAX(F34*'参数'!$C$11,'参数'!$C$12)+'参数'!$C$13,2),"")</f>
        <v/>
      </c>
      <c r="J34" s="43" t="str">
        <f>IF(ISNUMBER(H34),IF(D34="卖",ROUND(H34*N('参数'!$C$14)+F34*N('参数'!$C$15),2),0),"")</f>
        <v/>
      </c>
      <c r="K34" s="23" t="n"/>
      <c r="L34" s="20" t="str">
        <f>IF(ISNUMBER(K34),K34,IF(ISNUMBER(H34),I34+J34,""))</f>
        <v/>
      </c>
      <c r="M34" s="48" t="str">
        <f>IF(AND(ISNUMBER(E34),ISNUMBER(G34),ISNUMBER(F34)),(E34-G34)*IF(D34="卖",-1,1)*F34,"")</f>
        <v/>
      </c>
      <c r="N34" s="49" t="str">
        <f>IF(A34="","",IFERROR(T(INDEX('交易记录'!$C$5:$C$304,MATCH(A34,'交易记录'!$A$5:$A$304,0))),"编号没找到"))</f>
        <v/>
      </c>
      <c r="O34" s="31" t="n"/>
    </row>
    <row r="35">
      <c r="A35" s="29" t="n"/>
      <c r="B35" s="30" t="n"/>
      <c r="C35" s="47" t="n"/>
      <c r="D35" s="32" t="n"/>
      <c r="E35" s="33" t="n"/>
      <c r="F35" s="36" t="n"/>
      <c r="G35" s="33" t="n"/>
      <c r="H35" s="20" t="str">
        <f>IF(AND(ISNUMBER(E35),ISNUMBER(F35)),E35*F35,"")</f>
        <v/>
      </c>
      <c r="I35" s="43" t="str">
        <f>IF(ISNUMBER(H35),ROUND(MAX(F35*'参数'!$C$11,'参数'!$C$12)+'参数'!$C$13,2),"")</f>
        <v/>
      </c>
      <c r="J35" s="43" t="str">
        <f>IF(ISNUMBER(H35),IF(D35="卖",ROUND(H35*N('参数'!$C$14)+F35*N('参数'!$C$15),2),0),"")</f>
        <v/>
      </c>
      <c r="K35" s="23" t="n"/>
      <c r="L35" s="20" t="str">
        <f>IF(ISNUMBER(K35),K35,IF(ISNUMBER(H35),I35+J35,""))</f>
        <v/>
      </c>
      <c r="M35" s="48" t="str">
        <f>IF(AND(ISNUMBER(E35),ISNUMBER(G35),ISNUMBER(F35)),(E35-G35)*IF(D35="卖",-1,1)*F35,"")</f>
        <v/>
      </c>
      <c r="N35" s="49" t="str">
        <f>IF(A35="","",IFERROR(T(INDEX('交易记录'!$C$5:$C$304,MATCH(A35,'交易记录'!$A$5:$A$304,0))),"编号没找到"))</f>
        <v/>
      </c>
      <c r="O35" s="31" t="n"/>
    </row>
    <row r="36">
      <c r="A36" s="29" t="n"/>
      <c r="B36" s="30" t="n"/>
      <c r="C36" s="47" t="n"/>
      <c r="D36" s="32" t="n"/>
      <c r="E36" s="33" t="n"/>
      <c r="F36" s="36" t="n"/>
      <c r="G36" s="33" t="n"/>
      <c r="H36" s="20" t="str">
        <f>IF(AND(ISNUMBER(E36),ISNUMBER(F36)),E36*F36,"")</f>
        <v/>
      </c>
      <c r="I36" s="43" t="str">
        <f>IF(ISNUMBER(H36),ROUND(MAX(F36*'参数'!$C$11,'参数'!$C$12)+'参数'!$C$13,2),"")</f>
        <v/>
      </c>
      <c r="J36" s="43" t="str">
        <f>IF(ISNUMBER(H36),IF(D36="卖",ROUND(H36*N('参数'!$C$14)+F36*N('参数'!$C$15),2),0),"")</f>
        <v/>
      </c>
      <c r="K36" s="23" t="n"/>
      <c r="L36" s="20" t="str">
        <f>IF(ISNUMBER(K36),K36,IF(ISNUMBER(H36),I36+J36,""))</f>
        <v/>
      </c>
      <c r="M36" s="48" t="str">
        <f>IF(AND(ISNUMBER(E36),ISNUMBER(G36),ISNUMBER(F36)),(E36-G36)*IF(D36="卖",-1,1)*F36,"")</f>
        <v/>
      </c>
      <c r="N36" s="49" t="str">
        <f>IF(A36="","",IFERROR(T(INDEX('交易记录'!$C$5:$C$304,MATCH(A36,'交易记录'!$A$5:$A$304,0))),"编号没找到"))</f>
        <v/>
      </c>
      <c r="O36" s="31" t="n"/>
    </row>
    <row r="37">
      <c r="A37" s="29" t="n"/>
      <c r="B37" s="30" t="n"/>
      <c r="C37" s="47" t="n"/>
      <c r="D37" s="32" t="n"/>
      <c r="E37" s="33" t="n"/>
      <c r="F37" s="36" t="n"/>
      <c r="G37" s="33" t="n"/>
      <c r="H37" s="20" t="str">
        <f>IF(AND(ISNUMBER(E37),ISNUMBER(F37)),E37*F37,"")</f>
        <v/>
      </c>
      <c r="I37" s="43" t="str">
        <f>IF(ISNUMBER(H37),ROUND(MAX(F37*'参数'!$C$11,'参数'!$C$12)+'参数'!$C$13,2),"")</f>
        <v/>
      </c>
      <c r="J37" s="43" t="str">
        <f>IF(ISNUMBER(H37),IF(D37="卖",ROUND(H37*N('参数'!$C$14)+F37*N('参数'!$C$15),2),0),"")</f>
        <v/>
      </c>
      <c r="K37" s="23" t="n"/>
      <c r="L37" s="20" t="str">
        <f>IF(ISNUMBER(K37),K37,IF(ISNUMBER(H37),I37+J37,""))</f>
        <v/>
      </c>
      <c r="M37" s="48" t="str">
        <f>IF(AND(ISNUMBER(E37),ISNUMBER(G37),ISNUMBER(F37)),(E37-G37)*IF(D37="卖",-1,1)*F37,"")</f>
        <v/>
      </c>
      <c r="N37" s="49" t="str">
        <f>IF(A37="","",IFERROR(T(INDEX('交易记录'!$C$5:$C$304,MATCH(A37,'交易记录'!$A$5:$A$304,0))),"编号没找到"))</f>
        <v/>
      </c>
      <c r="O37" s="31" t="n"/>
    </row>
    <row r="38">
      <c r="A38" s="29" t="n"/>
      <c r="B38" s="30" t="n"/>
      <c r="C38" s="47" t="n"/>
      <c r="D38" s="32" t="n"/>
      <c r="E38" s="33" t="n"/>
      <c r="F38" s="36" t="n"/>
      <c r="G38" s="33" t="n"/>
      <c r="H38" s="20" t="str">
        <f>IF(AND(ISNUMBER(E38),ISNUMBER(F38)),E38*F38,"")</f>
        <v/>
      </c>
      <c r="I38" s="43" t="str">
        <f>IF(ISNUMBER(H38),ROUND(MAX(F38*'参数'!$C$11,'参数'!$C$12)+'参数'!$C$13,2),"")</f>
        <v/>
      </c>
      <c r="J38" s="43" t="str">
        <f>IF(ISNUMBER(H38),IF(D38="卖",ROUND(H38*N('参数'!$C$14)+F38*N('参数'!$C$15),2),0),"")</f>
        <v/>
      </c>
      <c r="K38" s="23" t="n"/>
      <c r="L38" s="20" t="str">
        <f>IF(ISNUMBER(K38),K38,IF(ISNUMBER(H38),I38+J38,""))</f>
        <v/>
      </c>
      <c r="M38" s="48" t="str">
        <f>IF(AND(ISNUMBER(E38),ISNUMBER(G38),ISNUMBER(F38)),(E38-G38)*IF(D38="卖",-1,1)*F38,"")</f>
        <v/>
      </c>
      <c r="N38" s="49" t="str">
        <f>IF(A38="","",IFERROR(T(INDEX('交易记录'!$C$5:$C$304,MATCH(A38,'交易记录'!$A$5:$A$304,0))),"编号没找到"))</f>
        <v/>
      </c>
      <c r="O38" s="31" t="n"/>
    </row>
    <row r="39">
      <c r="A39" s="29" t="n"/>
      <c r="B39" s="30" t="n"/>
      <c r="C39" s="47" t="n"/>
      <c r="D39" s="32" t="n"/>
      <c r="E39" s="33" t="n"/>
      <c r="F39" s="36" t="n"/>
      <c r="G39" s="33" t="n"/>
      <c r="H39" s="20" t="str">
        <f>IF(AND(ISNUMBER(E39),ISNUMBER(F39)),E39*F39,"")</f>
        <v/>
      </c>
      <c r="I39" s="43" t="str">
        <f>IF(ISNUMBER(H39),ROUND(MAX(F39*'参数'!$C$11,'参数'!$C$12)+'参数'!$C$13,2),"")</f>
        <v/>
      </c>
      <c r="J39" s="43" t="str">
        <f>IF(ISNUMBER(H39),IF(D39="卖",ROUND(H39*N('参数'!$C$14)+F39*N('参数'!$C$15),2),0),"")</f>
        <v/>
      </c>
      <c r="K39" s="23" t="n"/>
      <c r="L39" s="20" t="str">
        <f>IF(ISNUMBER(K39),K39,IF(ISNUMBER(H39),I39+J39,""))</f>
        <v/>
      </c>
      <c r="M39" s="48" t="str">
        <f>IF(AND(ISNUMBER(E39),ISNUMBER(G39),ISNUMBER(F39)),(E39-G39)*IF(D39="卖",-1,1)*F39,"")</f>
        <v/>
      </c>
      <c r="N39" s="49" t="str">
        <f>IF(A39="","",IFERROR(T(INDEX('交易记录'!$C$5:$C$304,MATCH(A39,'交易记录'!$A$5:$A$304,0))),"编号没找到"))</f>
        <v/>
      </c>
      <c r="O39" s="31" t="n"/>
    </row>
    <row r="40">
      <c r="A40" s="29" t="n"/>
      <c r="B40" s="30" t="n"/>
      <c r="C40" s="47" t="n"/>
      <c r="D40" s="32" t="n"/>
      <c r="E40" s="33" t="n"/>
      <c r="F40" s="36" t="n"/>
      <c r="G40" s="33" t="n"/>
      <c r="H40" s="20" t="str">
        <f>IF(AND(ISNUMBER(E40),ISNUMBER(F40)),E40*F40,"")</f>
        <v/>
      </c>
      <c r="I40" s="43" t="str">
        <f>IF(ISNUMBER(H40),ROUND(MAX(F40*'参数'!$C$11,'参数'!$C$12)+'参数'!$C$13,2),"")</f>
        <v/>
      </c>
      <c r="J40" s="43" t="str">
        <f>IF(ISNUMBER(H40),IF(D40="卖",ROUND(H40*N('参数'!$C$14)+F40*N('参数'!$C$15),2),0),"")</f>
        <v/>
      </c>
      <c r="K40" s="23" t="n"/>
      <c r="L40" s="20" t="str">
        <f>IF(ISNUMBER(K40),K40,IF(ISNUMBER(H40),I40+J40,""))</f>
        <v/>
      </c>
      <c r="M40" s="48" t="str">
        <f>IF(AND(ISNUMBER(E40),ISNUMBER(G40),ISNUMBER(F40)),(E40-G40)*IF(D40="卖",-1,1)*F40,"")</f>
        <v/>
      </c>
      <c r="N40" s="49" t="str">
        <f>IF(A40="","",IFERROR(T(INDEX('交易记录'!$C$5:$C$304,MATCH(A40,'交易记录'!$A$5:$A$304,0))),"编号没找到"))</f>
        <v/>
      </c>
      <c r="O40" s="31" t="n"/>
    </row>
    <row r="41">
      <c r="A41" s="29" t="n"/>
      <c r="B41" s="30" t="n"/>
      <c r="C41" s="47" t="n"/>
      <c r="D41" s="32" t="n"/>
      <c r="E41" s="33" t="n"/>
      <c r="F41" s="36" t="n"/>
      <c r="G41" s="33" t="n"/>
      <c r="H41" s="20" t="str">
        <f>IF(AND(ISNUMBER(E41),ISNUMBER(F41)),E41*F41,"")</f>
        <v/>
      </c>
      <c r="I41" s="43" t="str">
        <f>IF(ISNUMBER(H41),ROUND(MAX(F41*'参数'!$C$11,'参数'!$C$12)+'参数'!$C$13,2),"")</f>
        <v/>
      </c>
      <c r="J41" s="43" t="str">
        <f>IF(ISNUMBER(H41),IF(D41="卖",ROUND(H41*N('参数'!$C$14)+F41*N('参数'!$C$15),2),0),"")</f>
        <v/>
      </c>
      <c r="K41" s="23" t="n"/>
      <c r="L41" s="20" t="str">
        <f>IF(ISNUMBER(K41),K41,IF(ISNUMBER(H41),I41+J41,""))</f>
        <v/>
      </c>
      <c r="M41" s="48" t="str">
        <f>IF(AND(ISNUMBER(E41),ISNUMBER(G41),ISNUMBER(F41)),(E41-G41)*IF(D41="卖",-1,1)*F41,"")</f>
        <v/>
      </c>
      <c r="N41" s="49" t="str">
        <f>IF(A41="","",IFERROR(T(INDEX('交易记录'!$C$5:$C$304,MATCH(A41,'交易记录'!$A$5:$A$304,0))),"编号没找到"))</f>
        <v/>
      </c>
      <c r="O41" s="31" t="n"/>
    </row>
    <row r="42">
      <c r="A42" s="29" t="n"/>
      <c r="B42" s="30" t="n"/>
      <c r="C42" s="47" t="n"/>
      <c r="D42" s="32" t="n"/>
      <c r="E42" s="33" t="n"/>
      <c r="F42" s="36" t="n"/>
      <c r="G42" s="33" t="n"/>
      <c r="H42" s="20" t="str">
        <f>IF(AND(ISNUMBER(E42),ISNUMBER(F42)),E42*F42,"")</f>
        <v/>
      </c>
      <c r="I42" s="43" t="str">
        <f>IF(ISNUMBER(H42),ROUND(MAX(F42*'参数'!$C$11,'参数'!$C$12)+'参数'!$C$13,2),"")</f>
        <v/>
      </c>
      <c r="J42" s="43" t="str">
        <f>IF(ISNUMBER(H42),IF(D42="卖",ROUND(H42*N('参数'!$C$14)+F42*N('参数'!$C$15),2),0),"")</f>
        <v/>
      </c>
      <c r="K42" s="23" t="n"/>
      <c r="L42" s="20" t="str">
        <f>IF(ISNUMBER(K42),K42,IF(ISNUMBER(H42),I42+J42,""))</f>
        <v/>
      </c>
      <c r="M42" s="48" t="str">
        <f>IF(AND(ISNUMBER(E42),ISNUMBER(G42),ISNUMBER(F42)),(E42-G42)*IF(D42="卖",-1,1)*F42,"")</f>
        <v/>
      </c>
      <c r="N42" s="49" t="str">
        <f>IF(A42="","",IFERROR(T(INDEX('交易记录'!$C$5:$C$304,MATCH(A42,'交易记录'!$A$5:$A$304,0))),"编号没找到"))</f>
        <v/>
      </c>
      <c r="O42" s="31" t="n"/>
    </row>
    <row r="43">
      <c r="A43" s="29" t="n"/>
      <c r="B43" s="30" t="n"/>
      <c r="C43" s="47" t="n"/>
      <c r="D43" s="32" t="n"/>
      <c r="E43" s="33" t="n"/>
      <c r="F43" s="36" t="n"/>
      <c r="G43" s="33" t="n"/>
      <c r="H43" s="20" t="str">
        <f>IF(AND(ISNUMBER(E43),ISNUMBER(F43)),E43*F43,"")</f>
        <v/>
      </c>
      <c r="I43" s="43" t="str">
        <f>IF(ISNUMBER(H43),ROUND(MAX(F43*'参数'!$C$11,'参数'!$C$12)+'参数'!$C$13,2),"")</f>
        <v/>
      </c>
      <c r="J43" s="43" t="str">
        <f>IF(ISNUMBER(H43),IF(D43="卖",ROUND(H43*N('参数'!$C$14)+F43*N('参数'!$C$15),2),0),"")</f>
        <v/>
      </c>
      <c r="K43" s="23" t="n"/>
      <c r="L43" s="20" t="str">
        <f>IF(ISNUMBER(K43),K43,IF(ISNUMBER(H43),I43+J43,""))</f>
        <v/>
      </c>
      <c r="M43" s="48" t="str">
        <f>IF(AND(ISNUMBER(E43),ISNUMBER(G43),ISNUMBER(F43)),(E43-G43)*IF(D43="卖",-1,1)*F43,"")</f>
        <v/>
      </c>
      <c r="N43" s="49" t="str">
        <f>IF(A43="","",IFERROR(T(INDEX('交易记录'!$C$5:$C$304,MATCH(A43,'交易记录'!$A$5:$A$304,0))),"编号没找到"))</f>
        <v/>
      </c>
      <c r="O43" s="31" t="n"/>
    </row>
    <row r="44">
      <c r="A44" s="29" t="n"/>
      <c r="B44" s="30" t="n"/>
      <c r="C44" s="47" t="n"/>
      <c r="D44" s="32" t="n"/>
      <c r="E44" s="33" t="n"/>
      <c r="F44" s="36" t="n"/>
      <c r="G44" s="33" t="n"/>
      <c r="H44" s="20" t="str">
        <f>IF(AND(ISNUMBER(E44),ISNUMBER(F44)),E44*F44,"")</f>
        <v/>
      </c>
      <c r="I44" s="43" t="str">
        <f>IF(ISNUMBER(H44),ROUND(MAX(F44*'参数'!$C$11,'参数'!$C$12)+'参数'!$C$13,2),"")</f>
        <v/>
      </c>
      <c r="J44" s="43" t="str">
        <f>IF(ISNUMBER(H44),IF(D44="卖",ROUND(H44*N('参数'!$C$14)+F44*N('参数'!$C$15),2),0),"")</f>
        <v/>
      </c>
      <c r="K44" s="23" t="n"/>
      <c r="L44" s="20" t="str">
        <f>IF(ISNUMBER(K44),K44,IF(ISNUMBER(H44),I44+J44,""))</f>
        <v/>
      </c>
      <c r="M44" s="48" t="str">
        <f>IF(AND(ISNUMBER(E44),ISNUMBER(G44),ISNUMBER(F44)),(E44-G44)*IF(D44="卖",-1,1)*F44,"")</f>
        <v/>
      </c>
      <c r="N44" s="49" t="str">
        <f>IF(A44="","",IFERROR(T(INDEX('交易记录'!$C$5:$C$304,MATCH(A44,'交易记录'!$A$5:$A$304,0))),"编号没找到"))</f>
        <v/>
      </c>
      <c r="O44" s="31" t="n"/>
    </row>
    <row r="45">
      <c r="A45" s="29" t="n"/>
      <c r="B45" s="30" t="n"/>
      <c r="C45" s="47" t="n"/>
      <c r="D45" s="32" t="n"/>
      <c r="E45" s="33" t="n"/>
      <c r="F45" s="36" t="n"/>
      <c r="G45" s="33" t="n"/>
      <c r="H45" s="20" t="str">
        <f>IF(AND(ISNUMBER(E45),ISNUMBER(F45)),E45*F45,"")</f>
        <v/>
      </c>
      <c r="I45" s="43" t="str">
        <f>IF(ISNUMBER(H45),ROUND(MAX(F45*'参数'!$C$11,'参数'!$C$12)+'参数'!$C$13,2),"")</f>
        <v/>
      </c>
      <c r="J45" s="43" t="str">
        <f>IF(ISNUMBER(H45),IF(D45="卖",ROUND(H45*N('参数'!$C$14)+F45*N('参数'!$C$15),2),0),"")</f>
        <v/>
      </c>
      <c r="K45" s="23" t="n"/>
      <c r="L45" s="20" t="str">
        <f>IF(ISNUMBER(K45),K45,IF(ISNUMBER(H45),I45+J45,""))</f>
        <v/>
      </c>
      <c r="M45" s="48" t="str">
        <f>IF(AND(ISNUMBER(E45),ISNUMBER(G45),ISNUMBER(F45)),(E45-G45)*IF(D45="卖",-1,1)*F45,"")</f>
        <v/>
      </c>
      <c r="N45" s="49" t="str">
        <f>IF(A45="","",IFERROR(T(INDEX('交易记录'!$C$5:$C$304,MATCH(A45,'交易记录'!$A$5:$A$304,0))),"编号没找到"))</f>
        <v/>
      </c>
      <c r="O45" s="31" t="n"/>
    </row>
    <row r="46">
      <c r="A46" s="29" t="n"/>
      <c r="B46" s="30" t="n"/>
      <c r="C46" s="47" t="n"/>
      <c r="D46" s="32" t="n"/>
      <c r="E46" s="33" t="n"/>
      <c r="F46" s="36" t="n"/>
      <c r="G46" s="33" t="n"/>
      <c r="H46" s="20" t="str">
        <f>IF(AND(ISNUMBER(E46),ISNUMBER(F46)),E46*F46,"")</f>
        <v/>
      </c>
      <c r="I46" s="43" t="str">
        <f>IF(ISNUMBER(H46),ROUND(MAX(F46*'参数'!$C$11,'参数'!$C$12)+'参数'!$C$13,2),"")</f>
        <v/>
      </c>
      <c r="J46" s="43" t="str">
        <f>IF(ISNUMBER(H46),IF(D46="卖",ROUND(H46*N('参数'!$C$14)+F46*N('参数'!$C$15),2),0),"")</f>
        <v/>
      </c>
      <c r="K46" s="23" t="n"/>
      <c r="L46" s="20" t="str">
        <f>IF(ISNUMBER(K46),K46,IF(ISNUMBER(H46),I46+J46,""))</f>
        <v/>
      </c>
      <c r="M46" s="48" t="str">
        <f>IF(AND(ISNUMBER(E46),ISNUMBER(G46),ISNUMBER(F46)),(E46-G46)*IF(D46="卖",-1,1)*F46,"")</f>
        <v/>
      </c>
      <c r="N46" s="49" t="str">
        <f>IF(A46="","",IFERROR(T(INDEX('交易记录'!$C$5:$C$304,MATCH(A46,'交易记录'!$A$5:$A$304,0))),"编号没找到"))</f>
        <v/>
      </c>
      <c r="O46" s="31" t="n"/>
    </row>
    <row r="47">
      <c r="A47" s="29" t="n"/>
      <c r="B47" s="30" t="n"/>
      <c r="C47" s="47" t="n"/>
      <c r="D47" s="32" t="n"/>
      <c r="E47" s="33" t="n"/>
      <c r="F47" s="36" t="n"/>
      <c r="G47" s="33" t="n"/>
      <c r="H47" s="20" t="str">
        <f>IF(AND(ISNUMBER(E47),ISNUMBER(F47)),E47*F47,"")</f>
        <v/>
      </c>
      <c r="I47" s="43" t="str">
        <f>IF(ISNUMBER(H47),ROUND(MAX(F47*'参数'!$C$11,'参数'!$C$12)+'参数'!$C$13,2),"")</f>
        <v/>
      </c>
      <c r="J47" s="43" t="str">
        <f>IF(ISNUMBER(H47),IF(D47="卖",ROUND(H47*N('参数'!$C$14)+F47*N('参数'!$C$15),2),0),"")</f>
        <v/>
      </c>
      <c r="K47" s="23" t="n"/>
      <c r="L47" s="20" t="str">
        <f>IF(ISNUMBER(K47),K47,IF(ISNUMBER(H47),I47+J47,""))</f>
        <v/>
      </c>
      <c r="M47" s="48" t="str">
        <f>IF(AND(ISNUMBER(E47),ISNUMBER(G47),ISNUMBER(F47)),(E47-G47)*IF(D47="卖",-1,1)*F47,"")</f>
        <v/>
      </c>
      <c r="N47" s="49" t="str">
        <f>IF(A47="","",IFERROR(T(INDEX('交易记录'!$C$5:$C$304,MATCH(A47,'交易记录'!$A$5:$A$304,0))),"编号没找到"))</f>
        <v/>
      </c>
      <c r="O47" s="31" t="n"/>
    </row>
    <row r="48">
      <c r="A48" s="29" t="n"/>
      <c r="B48" s="30" t="n"/>
      <c r="C48" s="47" t="n"/>
      <c r="D48" s="32" t="n"/>
      <c r="E48" s="33" t="n"/>
      <c r="F48" s="36" t="n"/>
      <c r="G48" s="33" t="n"/>
      <c r="H48" s="20" t="str">
        <f>IF(AND(ISNUMBER(E48),ISNUMBER(F48)),E48*F48,"")</f>
        <v/>
      </c>
      <c r="I48" s="43" t="str">
        <f>IF(ISNUMBER(H48),ROUND(MAX(F48*'参数'!$C$11,'参数'!$C$12)+'参数'!$C$13,2),"")</f>
        <v/>
      </c>
      <c r="J48" s="43" t="str">
        <f>IF(ISNUMBER(H48),IF(D48="卖",ROUND(H48*N('参数'!$C$14)+F48*N('参数'!$C$15),2),0),"")</f>
        <v/>
      </c>
      <c r="K48" s="23" t="n"/>
      <c r="L48" s="20" t="str">
        <f>IF(ISNUMBER(K48),K48,IF(ISNUMBER(H48),I48+J48,""))</f>
        <v/>
      </c>
      <c r="M48" s="48" t="str">
        <f>IF(AND(ISNUMBER(E48),ISNUMBER(G48),ISNUMBER(F48)),(E48-G48)*IF(D48="卖",-1,1)*F48,"")</f>
        <v/>
      </c>
      <c r="N48" s="49" t="str">
        <f>IF(A48="","",IFERROR(T(INDEX('交易记录'!$C$5:$C$304,MATCH(A48,'交易记录'!$A$5:$A$304,0))),"编号没找到"))</f>
        <v/>
      </c>
      <c r="O48" s="31" t="n"/>
    </row>
    <row r="49">
      <c r="A49" s="29" t="n"/>
      <c r="B49" s="30" t="n"/>
      <c r="C49" s="47" t="n"/>
      <c r="D49" s="32" t="n"/>
      <c r="E49" s="33" t="n"/>
      <c r="F49" s="36" t="n"/>
      <c r="G49" s="33" t="n"/>
      <c r="H49" s="20" t="str">
        <f>IF(AND(ISNUMBER(E49),ISNUMBER(F49)),E49*F49,"")</f>
        <v/>
      </c>
      <c r="I49" s="43" t="str">
        <f>IF(ISNUMBER(H49),ROUND(MAX(F49*'参数'!$C$11,'参数'!$C$12)+'参数'!$C$13,2),"")</f>
        <v/>
      </c>
      <c r="J49" s="43" t="str">
        <f>IF(ISNUMBER(H49),IF(D49="卖",ROUND(H49*N('参数'!$C$14)+F49*N('参数'!$C$15),2),0),"")</f>
        <v/>
      </c>
      <c r="K49" s="23" t="n"/>
      <c r="L49" s="20" t="str">
        <f>IF(ISNUMBER(K49),K49,IF(ISNUMBER(H49),I49+J49,""))</f>
        <v/>
      </c>
      <c r="M49" s="48" t="str">
        <f>IF(AND(ISNUMBER(E49),ISNUMBER(G49),ISNUMBER(F49)),(E49-G49)*IF(D49="卖",-1,1)*F49,"")</f>
        <v/>
      </c>
      <c r="N49" s="49" t="str">
        <f>IF(A49="","",IFERROR(T(INDEX('交易记录'!$C$5:$C$304,MATCH(A49,'交易记录'!$A$5:$A$304,0))),"编号没找到"))</f>
        <v/>
      </c>
      <c r="O49" s="31" t="n"/>
    </row>
    <row r="50">
      <c r="A50" s="29" t="n"/>
      <c r="B50" s="30" t="n"/>
      <c r="C50" s="47" t="n"/>
      <c r="D50" s="32" t="n"/>
      <c r="E50" s="33" t="n"/>
      <c r="F50" s="36" t="n"/>
      <c r="G50" s="33" t="n"/>
      <c r="H50" s="20" t="str">
        <f>IF(AND(ISNUMBER(E50),ISNUMBER(F50)),E50*F50,"")</f>
        <v/>
      </c>
      <c r="I50" s="43" t="str">
        <f>IF(ISNUMBER(H50),ROUND(MAX(F50*'参数'!$C$11,'参数'!$C$12)+'参数'!$C$13,2),"")</f>
        <v/>
      </c>
      <c r="J50" s="43" t="str">
        <f>IF(ISNUMBER(H50),IF(D50="卖",ROUND(H50*N('参数'!$C$14)+F50*N('参数'!$C$15),2),0),"")</f>
        <v/>
      </c>
      <c r="K50" s="23" t="n"/>
      <c r="L50" s="20" t="str">
        <f>IF(ISNUMBER(K50),K50,IF(ISNUMBER(H50),I50+J50,""))</f>
        <v/>
      </c>
      <c r="M50" s="48" t="str">
        <f>IF(AND(ISNUMBER(E50),ISNUMBER(G50),ISNUMBER(F50)),(E50-G50)*IF(D50="卖",-1,1)*F50,"")</f>
        <v/>
      </c>
      <c r="N50" s="49" t="str">
        <f>IF(A50="","",IFERROR(T(INDEX('交易记录'!$C$5:$C$304,MATCH(A50,'交易记录'!$A$5:$A$304,0))),"编号没找到"))</f>
        <v/>
      </c>
      <c r="O50" s="31" t="n"/>
    </row>
    <row r="51">
      <c r="A51" s="29" t="n"/>
      <c r="B51" s="30" t="n"/>
      <c r="C51" s="47" t="n"/>
      <c r="D51" s="32" t="n"/>
      <c r="E51" s="33" t="n"/>
      <c r="F51" s="36" t="n"/>
      <c r="G51" s="33" t="n"/>
      <c r="H51" s="20" t="str">
        <f>IF(AND(ISNUMBER(E51),ISNUMBER(F51)),E51*F51,"")</f>
        <v/>
      </c>
      <c r="I51" s="43" t="str">
        <f>IF(ISNUMBER(H51),ROUND(MAX(F51*'参数'!$C$11,'参数'!$C$12)+'参数'!$C$13,2),"")</f>
        <v/>
      </c>
      <c r="J51" s="43" t="str">
        <f>IF(ISNUMBER(H51),IF(D51="卖",ROUND(H51*N('参数'!$C$14)+F51*N('参数'!$C$15),2),0),"")</f>
        <v/>
      </c>
      <c r="K51" s="23" t="n"/>
      <c r="L51" s="20" t="str">
        <f>IF(ISNUMBER(K51),K51,IF(ISNUMBER(H51),I51+J51,""))</f>
        <v/>
      </c>
      <c r="M51" s="48" t="str">
        <f>IF(AND(ISNUMBER(E51),ISNUMBER(G51),ISNUMBER(F51)),(E51-G51)*IF(D51="卖",-1,1)*F51,"")</f>
        <v/>
      </c>
      <c r="N51" s="49" t="str">
        <f>IF(A51="","",IFERROR(T(INDEX('交易记录'!$C$5:$C$304,MATCH(A51,'交易记录'!$A$5:$A$304,0))),"编号没找到"))</f>
        <v/>
      </c>
      <c r="O51" s="31" t="n"/>
    </row>
    <row r="52">
      <c r="A52" s="29" t="n"/>
      <c r="B52" s="30" t="n"/>
      <c r="C52" s="47" t="n"/>
      <c r="D52" s="32" t="n"/>
      <c r="E52" s="33" t="n"/>
      <c r="F52" s="36" t="n"/>
      <c r="G52" s="33" t="n"/>
      <c r="H52" s="20" t="str">
        <f>IF(AND(ISNUMBER(E52),ISNUMBER(F52)),E52*F52,"")</f>
        <v/>
      </c>
      <c r="I52" s="43" t="str">
        <f>IF(ISNUMBER(H52),ROUND(MAX(F52*'参数'!$C$11,'参数'!$C$12)+'参数'!$C$13,2),"")</f>
        <v/>
      </c>
      <c r="J52" s="43" t="str">
        <f>IF(ISNUMBER(H52),IF(D52="卖",ROUND(H52*N('参数'!$C$14)+F52*N('参数'!$C$15),2),0),"")</f>
        <v/>
      </c>
      <c r="K52" s="23" t="n"/>
      <c r="L52" s="20" t="str">
        <f>IF(ISNUMBER(K52),K52,IF(ISNUMBER(H52),I52+J52,""))</f>
        <v/>
      </c>
      <c r="M52" s="48" t="str">
        <f>IF(AND(ISNUMBER(E52),ISNUMBER(G52),ISNUMBER(F52)),(E52-G52)*IF(D52="卖",-1,1)*F52,"")</f>
        <v/>
      </c>
      <c r="N52" s="49" t="str">
        <f>IF(A52="","",IFERROR(T(INDEX('交易记录'!$C$5:$C$304,MATCH(A52,'交易记录'!$A$5:$A$304,0))),"编号没找到"))</f>
        <v/>
      </c>
      <c r="O52" s="31" t="n"/>
    </row>
    <row r="53">
      <c r="A53" s="29" t="n"/>
      <c r="B53" s="30" t="n"/>
      <c r="C53" s="47" t="n"/>
      <c r="D53" s="32" t="n"/>
      <c r="E53" s="33" t="n"/>
      <c r="F53" s="36" t="n"/>
      <c r="G53" s="33" t="n"/>
      <c r="H53" s="20" t="str">
        <f>IF(AND(ISNUMBER(E53),ISNUMBER(F53)),E53*F53,"")</f>
        <v/>
      </c>
      <c r="I53" s="43" t="str">
        <f>IF(ISNUMBER(H53),ROUND(MAX(F53*'参数'!$C$11,'参数'!$C$12)+'参数'!$C$13,2),"")</f>
        <v/>
      </c>
      <c r="J53" s="43" t="str">
        <f>IF(ISNUMBER(H53),IF(D53="卖",ROUND(H53*N('参数'!$C$14)+F53*N('参数'!$C$15),2),0),"")</f>
        <v/>
      </c>
      <c r="K53" s="23" t="n"/>
      <c r="L53" s="20" t="str">
        <f>IF(ISNUMBER(K53),K53,IF(ISNUMBER(H53),I53+J53,""))</f>
        <v/>
      </c>
      <c r="M53" s="48" t="str">
        <f>IF(AND(ISNUMBER(E53),ISNUMBER(G53),ISNUMBER(F53)),(E53-G53)*IF(D53="卖",-1,1)*F53,"")</f>
        <v/>
      </c>
      <c r="N53" s="49" t="str">
        <f>IF(A53="","",IFERROR(T(INDEX('交易记录'!$C$5:$C$304,MATCH(A53,'交易记录'!$A$5:$A$304,0))),"编号没找到"))</f>
        <v/>
      </c>
      <c r="O53" s="31" t="n"/>
    </row>
    <row r="54">
      <c r="A54" s="29" t="n"/>
      <c r="B54" s="30" t="n"/>
      <c r="C54" s="47" t="n"/>
      <c r="D54" s="32" t="n"/>
      <c r="E54" s="33" t="n"/>
      <c r="F54" s="36" t="n"/>
      <c r="G54" s="33" t="n"/>
      <c r="H54" s="20" t="str">
        <f>IF(AND(ISNUMBER(E54),ISNUMBER(F54)),E54*F54,"")</f>
        <v/>
      </c>
      <c r="I54" s="43" t="str">
        <f>IF(ISNUMBER(H54),ROUND(MAX(F54*'参数'!$C$11,'参数'!$C$12)+'参数'!$C$13,2),"")</f>
        <v/>
      </c>
      <c r="J54" s="43" t="str">
        <f>IF(ISNUMBER(H54),IF(D54="卖",ROUND(H54*N('参数'!$C$14)+F54*N('参数'!$C$15),2),0),"")</f>
        <v/>
      </c>
      <c r="K54" s="23" t="n"/>
      <c r="L54" s="20" t="str">
        <f>IF(ISNUMBER(K54),K54,IF(ISNUMBER(H54),I54+J54,""))</f>
        <v/>
      </c>
      <c r="M54" s="48" t="str">
        <f>IF(AND(ISNUMBER(E54),ISNUMBER(G54),ISNUMBER(F54)),(E54-G54)*IF(D54="卖",-1,1)*F54,"")</f>
        <v/>
      </c>
      <c r="N54" s="49" t="str">
        <f>IF(A54="","",IFERROR(T(INDEX('交易记录'!$C$5:$C$304,MATCH(A54,'交易记录'!$A$5:$A$304,0))),"编号没找到"))</f>
        <v/>
      </c>
      <c r="O54" s="31" t="n"/>
    </row>
    <row r="55">
      <c r="A55" s="29" t="n"/>
      <c r="B55" s="30" t="n"/>
      <c r="C55" s="47" t="n"/>
      <c r="D55" s="32" t="n"/>
      <c r="E55" s="33" t="n"/>
      <c r="F55" s="36" t="n"/>
      <c r="G55" s="33" t="n"/>
      <c r="H55" s="20" t="str">
        <f>IF(AND(ISNUMBER(E55),ISNUMBER(F55)),E55*F55,"")</f>
        <v/>
      </c>
      <c r="I55" s="43" t="str">
        <f>IF(ISNUMBER(H55),ROUND(MAX(F55*'参数'!$C$11,'参数'!$C$12)+'参数'!$C$13,2),"")</f>
        <v/>
      </c>
      <c r="J55" s="43" t="str">
        <f>IF(ISNUMBER(H55),IF(D55="卖",ROUND(H55*N('参数'!$C$14)+F55*N('参数'!$C$15),2),0),"")</f>
        <v/>
      </c>
      <c r="K55" s="23" t="n"/>
      <c r="L55" s="20" t="str">
        <f>IF(ISNUMBER(K55),K55,IF(ISNUMBER(H55),I55+J55,""))</f>
        <v/>
      </c>
      <c r="M55" s="48" t="str">
        <f>IF(AND(ISNUMBER(E55),ISNUMBER(G55),ISNUMBER(F55)),(E55-G55)*IF(D55="卖",-1,1)*F55,"")</f>
        <v/>
      </c>
      <c r="N55" s="49" t="str">
        <f>IF(A55="","",IFERROR(T(INDEX('交易记录'!$C$5:$C$304,MATCH(A55,'交易记录'!$A$5:$A$304,0))),"编号没找到"))</f>
        <v/>
      </c>
      <c r="O55" s="31" t="n"/>
    </row>
    <row r="56">
      <c r="A56" s="29" t="n"/>
      <c r="B56" s="30" t="n"/>
      <c r="C56" s="47" t="n"/>
      <c r="D56" s="32" t="n"/>
      <c r="E56" s="33" t="n"/>
      <c r="F56" s="36" t="n"/>
      <c r="G56" s="33" t="n"/>
      <c r="H56" s="20" t="str">
        <f>IF(AND(ISNUMBER(E56),ISNUMBER(F56)),E56*F56,"")</f>
        <v/>
      </c>
      <c r="I56" s="43" t="str">
        <f>IF(ISNUMBER(H56),ROUND(MAX(F56*'参数'!$C$11,'参数'!$C$12)+'参数'!$C$13,2),"")</f>
        <v/>
      </c>
      <c r="J56" s="43" t="str">
        <f>IF(ISNUMBER(H56),IF(D56="卖",ROUND(H56*N('参数'!$C$14)+F56*N('参数'!$C$15),2),0),"")</f>
        <v/>
      </c>
      <c r="K56" s="23" t="n"/>
      <c r="L56" s="20" t="str">
        <f>IF(ISNUMBER(K56),K56,IF(ISNUMBER(H56),I56+J56,""))</f>
        <v/>
      </c>
      <c r="M56" s="48" t="str">
        <f>IF(AND(ISNUMBER(E56),ISNUMBER(G56),ISNUMBER(F56)),(E56-G56)*IF(D56="卖",-1,1)*F56,"")</f>
        <v/>
      </c>
      <c r="N56" s="49" t="str">
        <f>IF(A56="","",IFERROR(T(INDEX('交易记录'!$C$5:$C$304,MATCH(A56,'交易记录'!$A$5:$A$304,0))),"编号没找到"))</f>
        <v/>
      </c>
      <c r="O56" s="31" t="n"/>
    </row>
    <row r="57">
      <c r="A57" s="29" t="n"/>
      <c r="B57" s="30" t="n"/>
      <c r="C57" s="47" t="n"/>
      <c r="D57" s="32" t="n"/>
      <c r="E57" s="33" t="n"/>
      <c r="F57" s="36" t="n"/>
      <c r="G57" s="33" t="n"/>
      <c r="H57" s="20" t="str">
        <f>IF(AND(ISNUMBER(E57),ISNUMBER(F57)),E57*F57,"")</f>
        <v/>
      </c>
      <c r="I57" s="43" t="str">
        <f>IF(ISNUMBER(H57),ROUND(MAX(F57*'参数'!$C$11,'参数'!$C$12)+'参数'!$C$13,2),"")</f>
        <v/>
      </c>
      <c r="J57" s="43" t="str">
        <f>IF(ISNUMBER(H57),IF(D57="卖",ROUND(H57*N('参数'!$C$14)+F57*N('参数'!$C$15),2),0),"")</f>
        <v/>
      </c>
      <c r="K57" s="23" t="n"/>
      <c r="L57" s="20" t="str">
        <f>IF(ISNUMBER(K57),K57,IF(ISNUMBER(H57),I57+J57,""))</f>
        <v/>
      </c>
      <c r="M57" s="48" t="str">
        <f>IF(AND(ISNUMBER(E57),ISNUMBER(G57),ISNUMBER(F57)),(E57-G57)*IF(D57="卖",-1,1)*F57,"")</f>
        <v/>
      </c>
      <c r="N57" s="49" t="str">
        <f>IF(A57="","",IFERROR(T(INDEX('交易记录'!$C$5:$C$304,MATCH(A57,'交易记录'!$A$5:$A$304,0))),"编号没找到"))</f>
        <v/>
      </c>
      <c r="O57" s="31" t="n"/>
    </row>
    <row r="58">
      <c r="A58" s="29" t="n"/>
      <c r="B58" s="30" t="n"/>
      <c r="C58" s="47" t="n"/>
      <c r="D58" s="32" t="n"/>
      <c r="E58" s="33" t="n"/>
      <c r="F58" s="36" t="n"/>
      <c r="G58" s="33" t="n"/>
      <c r="H58" s="20" t="str">
        <f>IF(AND(ISNUMBER(E58),ISNUMBER(F58)),E58*F58,"")</f>
        <v/>
      </c>
      <c r="I58" s="43" t="str">
        <f>IF(ISNUMBER(H58),ROUND(MAX(F58*'参数'!$C$11,'参数'!$C$12)+'参数'!$C$13,2),"")</f>
        <v/>
      </c>
      <c r="J58" s="43" t="str">
        <f>IF(ISNUMBER(H58),IF(D58="卖",ROUND(H58*N('参数'!$C$14)+F58*N('参数'!$C$15),2),0),"")</f>
        <v/>
      </c>
      <c r="K58" s="23" t="n"/>
      <c r="L58" s="20" t="str">
        <f>IF(ISNUMBER(K58),K58,IF(ISNUMBER(H58),I58+J58,""))</f>
        <v/>
      </c>
      <c r="M58" s="48" t="str">
        <f>IF(AND(ISNUMBER(E58),ISNUMBER(G58),ISNUMBER(F58)),(E58-G58)*IF(D58="卖",-1,1)*F58,"")</f>
        <v/>
      </c>
      <c r="N58" s="49" t="str">
        <f>IF(A58="","",IFERROR(T(INDEX('交易记录'!$C$5:$C$304,MATCH(A58,'交易记录'!$A$5:$A$304,0))),"编号没找到"))</f>
        <v/>
      </c>
      <c r="O58" s="31" t="n"/>
    </row>
    <row r="59">
      <c r="A59" s="29" t="n"/>
      <c r="B59" s="30" t="n"/>
      <c r="C59" s="47" t="n"/>
      <c r="D59" s="32" t="n"/>
      <c r="E59" s="33" t="n"/>
      <c r="F59" s="36" t="n"/>
      <c r="G59" s="33" t="n"/>
      <c r="H59" s="20" t="str">
        <f>IF(AND(ISNUMBER(E59),ISNUMBER(F59)),E59*F59,"")</f>
        <v/>
      </c>
      <c r="I59" s="43" t="str">
        <f>IF(ISNUMBER(H59),ROUND(MAX(F59*'参数'!$C$11,'参数'!$C$12)+'参数'!$C$13,2),"")</f>
        <v/>
      </c>
      <c r="J59" s="43" t="str">
        <f>IF(ISNUMBER(H59),IF(D59="卖",ROUND(H59*N('参数'!$C$14)+F59*N('参数'!$C$15),2),0),"")</f>
        <v/>
      </c>
      <c r="K59" s="23" t="n"/>
      <c r="L59" s="20" t="str">
        <f>IF(ISNUMBER(K59),K59,IF(ISNUMBER(H59),I59+J59,""))</f>
        <v/>
      </c>
      <c r="M59" s="48" t="str">
        <f>IF(AND(ISNUMBER(E59),ISNUMBER(G59),ISNUMBER(F59)),(E59-G59)*IF(D59="卖",-1,1)*F59,"")</f>
        <v/>
      </c>
      <c r="N59" s="49" t="str">
        <f>IF(A59="","",IFERROR(T(INDEX('交易记录'!$C$5:$C$304,MATCH(A59,'交易记录'!$A$5:$A$304,0))),"编号没找到"))</f>
        <v/>
      </c>
      <c r="O59" s="31" t="n"/>
    </row>
    <row r="60">
      <c r="A60" s="29" t="n"/>
      <c r="B60" s="30" t="n"/>
      <c r="C60" s="47" t="n"/>
      <c r="D60" s="32" t="n"/>
      <c r="E60" s="33" t="n"/>
      <c r="F60" s="36" t="n"/>
      <c r="G60" s="33" t="n"/>
      <c r="H60" s="20" t="str">
        <f>IF(AND(ISNUMBER(E60),ISNUMBER(F60)),E60*F60,"")</f>
        <v/>
      </c>
      <c r="I60" s="43" t="str">
        <f>IF(ISNUMBER(H60),ROUND(MAX(F60*'参数'!$C$11,'参数'!$C$12)+'参数'!$C$13,2),"")</f>
        <v/>
      </c>
      <c r="J60" s="43" t="str">
        <f>IF(ISNUMBER(H60),IF(D60="卖",ROUND(H60*N('参数'!$C$14)+F60*N('参数'!$C$15),2),0),"")</f>
        <v/>
      </c>
      <c r="K60" s="23" t="n"/>
      <c r="L60" s="20" t="str">
        <f>IF(ISNUMBER(K60),K60,IF(ISNUMBER(H60),I60+J60,""))</f>
        <v/>
      </c>
      <c r="M60" s="48" t="str">
        <f>IF(AND(ISNUMBER(E60),ISNUMBER(G60),ISNUMBER(F60)),(E60-G60)*IF(D60="卖",-1,1)*F60,"")</f>
        <v/>
      </c>
      <c r="N60" s="49" t="str">
        <f>IF(A60="","",IFERROR(T(INDEX('交易记录'!$C$5:$C$304,MATCH(A60,'交易记录'!$A$5:$A$304,0))),"编号没找到"))</f>
        <v/>
      </c>
      <c r="O60" s="31" t="n"/>
    </row>
    <row r="61">
      <c r="A61" s="29" t="n"/>
      <c r="B61" s="30" t="n"/>
      <c r="C61" s="47" t="n"/>
      <c r="D61" s="32" t="n"/>
      <c r="E61" s="33" t="n"/>
      <c r="F61" s="36" t="n"/>
      <c r="G61" s="33" t="n"/>
      <c r="H61" s="20" t="str">
        <f>IF(AND(ISNUMBER(E61),ISNUMBER(F61)),E61*F61,"")</f>
        <v/>
      </c>
      <c r="I61" s="43" t="str">
        <f>IF(ISNUMBER(H61),ROUND(MAX(F61*'参数'!$C$11,'参数'!$C$12)+'参数'!$C$13,2),"")</f>
        <v/>
      </c>
      <c r="J61" s="43" t="str">
        <f>IF(ISNUMBER(H61),IF(D61="卖",ROUND(H61*N('参数'!$C$14)+F61*N('参数'!$C$15),2),0),"")</f>
        <v/>
      </c>
      <c r="K61" s="23" t="n"/>
      <c r="L61" s="20" t="str">
        <f>IF(ISNUMBER(K61),K61,IF(ISNUMBER(H61),I61+J61,""))</f>
        <v/>
      </c>
      <c r="M61" s="48" t="str">
        <f>IF(AND(ISNUMBER(E61),ISNUMBER(G61),ISNUMBER(F61)),(E61-G61)*IF(D61="卖",-1,1)*F61,"")</f>
        <v/>
      </c>
      <c r="N61" s="49" t="str">
        <f>IF(A61="","",IFERROR(T(INDEX('交易记录'!$C$5:$C$304,MATCH(A61,'交易记录'!$A$5:$A$304,0))),"编号没找到"))</f>
        <v/>
      </c>
      <c r="O61" s="31" t="n"/>
    </row>
    <row r="62">
      <c r="A62" s="29" t="n"/>
      <c r="B62" s="30" t="n"/>
      <c r="C62" s="47" t="n"/>
      <c r="D62" s="32" t="n"/>
      <c r="E62" s="33" t="n"/>
      <c r="F62" s="36" t="n"/>
      <c r="G62" s="33" t="n"/>
      <c r="H62" s="20" t="str">
        <f>IF(AND(ISNUMBER(E62),ISNUMBER(F62)),E62*F62,"")</f>
        <v/>
      </c>
      <c r="I62" s="43" t="str">
        <f>IF(ISNUMBER(H62),ROUND(MAX(F62*'参数'!$C$11,'参数'!$C$12)+'参数'!$C$13,2),"")</f>
        <v/>
      </c>
      <c r="J62" s="43" t="str">
        <f>IF(ISNUMBER(H62),IF(D62="卖",ROUND(H62*N('参数'!$C$14)+F62*N('参数'!$C$15),2),0),"")</f>
        <v/>
      </c>
      <c r="K62" s="23" t="n"/>
      <c r="L62" s="20" t="str">
        <f>IF(ISNUMBER(K62),K62,IF(ISNUMBER(H62),I62+J62,""))</f>
        <v/>
      </c>
      <c r="M62" s="48" t="str">
        <f>IF(AND(ISNUMBER(E62),ISNUMBER(G62),ISNUMBER(F62)),(E62-G62)*IF(D62="卖",-1,1)*F62,"")</f>
        <v/>
      </c>
      <c r="N62" s="49" t="str">
        <f>IF(A62="","",IFERROR(T(INDEX('交易记录'!$C$5:$C$304,MATCH(A62,'交易记录'!$A$5:$A$304,0))),"编号没找到"))</f>
        <v/>
      </c>
      <c r="O62" s="31" t="n"/>
    </row>
    <row r="63">
      <c r="A63" s="29" t="n"/>
      <c r="B63" s="30" t="n"/>
      <c r="C63" s="47" t="n"/>
      <c r="D63" s="32" t="n"/>
      <c r="E63" s="33" t="n"/>
      <c r="F63" s="36" t="n"/>
      <c r="G63" s="33" t="n"/>
      <c r="H63" s="20" t="str">
        <f>IF(AND(ISNUMBER(E63),ISNUMBER(F63)),E63*F63,"")</f>
        <v/>
      </c>
      <c r="I63" s="43" t="str">
        <f>IF(ISNUMBER(H63),ROUND(MAX(F63*'参数'!$C$11,'参数'!$C$12)+'参数'!$C$13,2),"")</f>
        <v/>
      </c>
      <c r="J63" s="43" t="str">
        <f>IF(ISNUMBER(H63),IF(D63="卖",ROUND(H63*N('参数'!$C$14)+F63*N('参数'!$C$15),2),0),"")</f>
        <v/>
      </c>
      <c r="K63" s="23" t="n"/>
      <c r="L63" s="20" t="str">
        <f>IF(ISNUMBER(K63),K63,IF(ISNUMBER(H63),I63+J63,""))</f>
        <v/>
      </c>
      <c r="M63" s="48" t="str">
        <f>IF(AND(ISNUMBER(E63),ISNUMBER(G63),ISNUMBER(F63)),(E63-G63)*IF(D63="卖",-1,1)*F63,"")</f>
        <v/>
      </c>
      <c r="N63" s="49" t="str">
        <f>IF(A63="","",IFERROR(T(INDEX('交易记录'!$C$5:$C$304,MATCH(A63,'交易记录'!$A$5:$A$304,0))),"编号没找到"))</f>
        <v/>
      </c>
      <c r="O63" s="31" t="n"/>
    </row>
    <row r="64">
      <c r="A64" s="29" t="n"/>
      <c r="B64" s="30" t="n"/>
      <c r="C64" s="47" t="n"/>
      <c r="D64" s="32" t="n"/>
      <c r="E64" s="33" t="n"/>
      <c r="F64" s="36" t="n"/>
      <c r="G64" s="33" t="n"/>
      <c r="H64" s="20" t="str">
        <f>IF(AND(ISNUMBER(E64),ISNUMBER(F64)),E64*F64,"")</f>
        <v/>
      </c>
      <c r="I64" s="43" t="str">
        <f>IF(ISNUMBER(H64),ROUND(MAX(F64*'参数'!$C$11,'参数'!$C$12)+'参数'!$C$13,2),"")</f>
        <v/>
      </c>
      <c r="J64" s="43" t="str">
        <f>IF(ISNUMBER(H64),IF(D64="卖",ROUND(H64*N('参数'!$C$14)+F64*N('参数'!$C$15),2),0),"")</f>
        <v/>
      </c>
      <c r="K64" s="23" t="n"/>
      <c r="L64" s="20" t="str">
        <f>IF(ISNUMBER(K64),K64,IF(ISNUMBER(H64),I64+J64,""))</f>
        <v/>
      </c>
      <c r="M64" s="48" t="str">
        <f>IF(AND(ISNUMBER(E64),ISNUMBER(G64),ISNUMBER(F64)),(E64-G64)*IF(D64="卖",-1,1)*F64,"")</f>
        <v/>
      </c>
      <c r="N64" s="49" t="str">
        <f>IF(A64="","",IFERROR(T(INDEX('交易记录'!$C$5:$C$304,MATCH(A64,'交易记录'!$A$5:$A$304,0))),"编号没找到"))</f>
        <v/>
      </c>
      <c r="O64" s="31" t="n"/>
    </row>
    <row r="65">
      <c r="A65" s="29" t="n"/>
      <c r="B65" s="30" t="n"/>
      <c r="C65" s="47" t="n"/>
      <c r="D65" s="32" t="n"/>
      <c r="E65" s="33" t="n"/>
      <c r="F65" s="36" t="n"/>
      <c r="G65" s="33" t="n"/>
      <c r="H65" s="20" t="str">
        <f>IF(AND(ISNUMBER(E65),ISNUMBER(F65)),E65*F65,"")</f>
        <v/>
      </c>
      <c r="I65" s="43" t="str">
        <f>IF(ISNUMBER(H65),ROUND(MAX(F65*'参数'!$C$11,'参数'!$C$12)+'参数'!$C$13,2),"")</f>
        <v/>
      </c>
      <c r="J65" s="43" t="str">
        <f>IF(ISNUMBER(H65),IF(D65="卖",ROUND(H65*N('参数'!$C$14)+F65*N('参数'!$C$15),2),0),"")</f>
        <v/>
      </c>
      <c r="K65" s="23" t="n"/>
      <c r="L65" s="20" t="str">
        <f>IF(ISNUMBER(K65),K65,IF(ISNUMBER(H65),I65+J65,""))</f>
        <v/>
      </c>
      <c r="M65" s="48" t="str">
        <f>IF(AND(ISNUMBER(E65),ISNUMBER(G65),ISNUMBER(F65)),(E65-G65)*IF(D65="卖",-1,1)*F65,"")</f>
        <v/>
      </c>
      <c r="N65" s="49" t="str">
        <f>IF(A65="","",IFERROR(T(INDEX('交易记录'!$C$5:$C$304,MATCH(A65,'交易记录'!$A$5:$A$304,0))),"编号没找到"))</f>
        <v/>
      </c>
      <c r="O65" s="31" t="n"/>
    </row>
    <row r="66">
      <c r="A66" s="29" t="n"/>
      <c r="B66" s="30" t="n"/>
      <c r="C66" s="47" t="n"/>
      <c r="D66" s="32" t="n"/>
      <c r="E66" s="33" t="n"/>
      <c r="F66" s="36" t="n"/>
      <c r="G66" s="33" t="n"/>
      <c r="H66" s="20" t="str">
        <f>IF(AND(ISNUMBER(E66),ISNUMBER(F66)),E66*F66,"")</f>
        <v/>
      </c>
      <c r="I66" s="43" t="str">
        <f>IF(ISNUMBER(H66),ROUND(MAX(F66*'参数'!$C$11,'参数'!$C$12)+'参数'!$C$13,2),"")</f>
        <v/>
      </c>
      <c r="J66" s="43" t="str">
        <f>IF(ISNUMBER(H66),IF(D66="卖",ROUND(H66*N('参数'!$C$14)+F66*N('参数'!$C$15),2),0),"")</f>
        <v/>
      </c>
      <c r="K66" s="23" t="n"/>
      <c r="L66" s="20" t="str">
        <f>IF(ISNUMBER(K66),K66,IF(ISNUMBER(H66),I66+J66,""))</f>
        <v/>
      </c>
      <c r="M66" s="48" t="str">
        <f>IF(AND(ISNUMBER(E66),ISNUMBER(G66),ISNUMBER(F66)),(E66-G66)*IF(D66="卖",-1,1)*F66,"")</f>
        <v/>
      </c>
      <c r="N66" s="49" t="str">
        <f>IF(A66="","",IFERROR(T(INDEX('交易记录'!$C$5:$C$304,MATCH(A66,'交易记录'!$A$5:$A$304,0))),"编号没找到"))</f>
        <v/>
      </c>
      <c r="O66" s="31" t="n"/>
    </row>
    <row r="67">
      <c r="A67" s="29" t="n"/>
      <c r="B67" s="30" t="n"/>
      <c r="C67" s="47" t="n"/>
      <c r="D67" s="32" t="n"/>
      <c r="E67" s="33" t="n"/>
      <c r="F67" s="36" t="n"/>
      <c r="G67" s="33" t="n"/>
      <c r="H67" s="20" t="str">
        <f>IF(AND(ISNUMBER(E67),ISNUMBER(F67)),E67*F67,"")</f>
        <v/>
      </c>
      <c r="I67" s="43" t="str">
        <f>IF(ISNUMBER(H67),ROUND(MAX(F67*'参数'!$C$11,'参数'!$C$12)+'参数'!$C$13,2),"")</f>
        <v/>
      </c>
      <c r="J67" s="43" t="str">
        <f>IF(ISNUMBER(H67),IF(D67="卖",ROUND(H67*N('参数'!$C$14)+F67*N('参数'!$C$15),2),0),"")</f>
        <v/>
      </c>
      <c r="K67" s="23" t="n"/>
      <c r="L67" s="20" t="str">
        <f>IF(ISNUMBER(K67),K67,IF(ISNUMBER(H67),I67+J67,""))</f>
        <v/>
      </c>
      <c r="M67" s="48" t="str">
        <f>IF(AND(ISNUMBER(E67),ISNUMBER(G67),ISNUMBER(F67)),(E67-G67)*IF(D67="卖",-1,1)*F67,"")</f>
        <v/>
      </c>
      <c r="N67" s="49" t="str">
        <f>IF(A67="","",IFERROR(T(INDEX('交易记录'!$C$5:$C$304,MATCH(A67,'交易记录'!$A$5:$A$304,0))),"编号没找到"))</f>
        <v/>
      </c>
      <c r="O67" s="31" t="n"/>
    </row>
    <row r="68">
      <c r="A68" s="29" t="n"/>
      <c r="B68" s="30" t="n"/>
      <c r="C68" s="47" t="n"/>
      <c r="D68" s="32" t="n"/>
      <c r="E68" s="33" t="n"/>
      <c r="F68" s="36" t="n"/>
      <c r="G68" s="33" t="n"/>
      <c r="H68" s="20" t="str">
        <f>IF(AND(ISNUMBER(E68),ISNUMBER(F68)),E68*F68,"")</f>
        <v/>
      </c>
      <c r="I68" s="43" t="str">
        <f>IF(ISNUMBER(H68),ROUND(MAX(F68*'参数'!$C$11,'参数'!$C$12)+'参数'!$C$13,2),"")</f>
        <v/>
      </c>
      <c r="J68" s="43" t="str">
        <f>IF(ISNUMBER(H68),IF(D68="卖",ROUND(H68*N('参数'!$C$14)+F68*N('参数'!$C$15),2),0),"")</f>
        <v/>
      </c>
      <c r="K68" s="23" t="n"/>
      <c r="L68" s="20" t="str">
        <f>IF(ISNUMBER(K68),K68,IF(ISNUMBER(H68),I68+J68,""))</f>
        <v/>
      </c>
      <c r="M68" s="48" t="str">
        <f>IF(AND(ISNUMBER(E68),ISNUMBER(G68),ISNUMBER(F68)),(E68-G68)*IF(D68="卖",-1,1)*F68,"")</f>
        <v/>
      </c>
      <c r="N68" s="49" t="str">
        <f>IF(A68="","",IFERROR(T(INDEX('交易记录'!$C$5:$C$304,MATCH(A68,'交易记录'!$A$5:$A$304,0))),"编号没找到"))</f>
        <v/>
      </c>
      <c r="O68" s="31" t="n"/>
    </row>
    <row r="69">
      <c r="A69" s="29" t="n"/>
      <c r="B69" s="30" t="n"/>
      <c r="C69" s="47" t="n"/>
      <c r="D69" s="32" t="n"/>
      <c r="E69" s="33" t="n"/>
      <c r="F69" s="36" t="n"/>
      <c r="G69" s="33" t="n"/>
      <c r="H69" s="20" t="str">
        <f>IF(AND(ISNUMBER(E69),ISNUMBER(F69)),E69*F69,"")</f>
        <v/>
      </c>
      <c r="I69" s="43" t="str">
        <f>IF(ISNUMBER(H69),ROUND(MAX(F69*'参数'!$C$11,'参数'!$C$12)+'参数'!$C$13,2),"")</f>
        <v/>
      </c>
      <c r="J69" s="43" t="str">
        <f>IF(ISNUMBER(H69),IF(D69="卖",ROUND(H69*N('参数'!$C$14)+F69*N('参数'!$C$15),2),0),"")</f>
        <v/>
      </c>
      <c r="K69" s="23" t="n"/>
      <c r="L69" s="20" t="str">
        <f>IF(ISNUMBER(K69),K69,IF(ISNUMBER(H69),I69+J69,""))</f>
        <v/>
      </c>
      <c r="M69" s="48" t="str">
        <f>IF(AND(ISNUMBER(E69),ISNUMBER(G69),ISNUMBER(F69)),(E69-G69)*IF(D69="卖",-1,1)*F69,"")</f>
        <v/>
      </c>
      <c r="N69" s="49" t="str">
        <f>IF(A69="","",IFERROR(T(INDEX('交易记录'!$C$5:$C$304,MATCH(A69,'交易记录'!$A$5:$A$304,0))),"编号没找到"))</f>
        <v/>
      </c>
      <c r="O69" s="31" t="n"/>
    </row>
    <row r="70">
      <c r="A70" s="29" t="n"/>
      <c r="B70" s="30" t="n"/>
      <c r="C70" s="47" t="n"/>
      <c r="D70" s="32" t="n"/>
      <c r="E70" s="33" t="n"/>
      <c r="F70" s="36" t="n"/>
      <c r="G70" s="33" t="n"/>
      <c r="H70" s="20" t="str">
        <f>IF(AND(ISNUMBER(E70),ISNUMBER(F70)),E70*F70,"")</f>
        <v/>
      </c>
      <c r="I70" s="43" t="str">
        <f>IF(ISNUMBER(H70),ROUND(MAX(F70*'参数'!$C$11,'参数'!$C$12)+'参数'!$C$13,2),"")</f>
        <v/>
      </c>
      <c r="J70" s="43" t="str">
        <f>IF(ISNUMBER(H70),IF(D70="卖",ROUND(H70*N('参数'!$C$14)+F70*N('参数'!$C$15),2),0),"")</f>
        <v/>
      </c>
      <c r="K70" s="23" t="n"/>
      <c r="L70" s="20" t="str">
        <f>IF(ISNUMBER(K70),K70,IF(ISNUMBER(H70),I70+J70,""))</f>
        <v/>
      </c>
      <c r="M70" s="48" t="str">
        <f>IF(AND(ISNUMBER(E70),ISNUMBER(G70),ISNUMBER(F70)),(E70-G70)*IF(D70="卖",-1,1)*F70,"")</f>
        <v/>
      </c>
      <c r="N70" s="49" t="str">
        <f>IF(A70="","",IFERROR(T(INDEX('交易记录'!$C$5:$C$304,MATCH(A70,'交易记录'!$A$5:$A$304,0))),"编号没找到"))</f>
        <v/>
      </c>
      <c r="O70" s="31" t="n"/>
    </row>
    <row r="71">
      <c r="A71" s="29" t="n"/>
      <c r="B71" s="30" t="n"/>
      <c r="C71" s="47" t="n"/>
      <c r="D71" s="32" t="n"/>
      <c r="E71" s="33" t="n"/>
      <c r="F71" s="36" t="n"/>
      <c r="G71" s="33" t="n"/>
      <c r="H71" s="20" t="str">
        <f>IF(AND(ISNUMBER(E71),ISNUMBER(F71)),E71*F71,"")</f>
        <v/>
      </c>
      <c r="I71" s="43" t="str">
        <f>IF(ISNUMBER(H71),ROUND(MAX(F71*'参数'!$C$11,'参数'!$C$12)+'参数'!$C$13,2),"")</f>
        <v/>
      </c>
      <c r="J71" s="43" t="str">
        <f>IF(ISNUMBER(H71),IF(D71="卖",ROUND(H71*N('参数'!$C$14)+F71*N('参数'!$C$15),2),0),"")</f>
        <v/>
      </c>
      <c r="K71" s="23" t="n"/>
      <c r="L71" s="20" t="str">
        <f>IF(ISNUMBER(K71),K71,IF(ISNUMBER(H71),I71+J71,""))</f>
        <v/>
      </c>
      <c r="M71" s="48" t="str">
        <f>IF(AND(ISNUMBER(E71),ISNUMBER(G71),ISNUMBER(F71)),(E71-G71)*IF(D71="卖",-1,1)*F71,"")</f>
        <v/>
      </c>
      <c r="N71" s="49" t="str">
        <f>IF(A71="","",IFERROR(T(INDEX('交易记录'!$C$5:$C$304,MATCH(A71,'交易记录'!$A$5:$A$304,0))),"编号没找到"))</f>
        <v/>
      </c>
      <c r="O71" s="31" t="n"/>
    </row>
    <row r="72">
      <c r="A72" s="29" t="n"/>
      <c r="B72" s="30" t="n"/>
      <c r="C72" s="47" t="n"/>
      <c r="D72" s="32" t="n"/>
      <c r="E72" s="33" t="n"/>
      <c r="F72" s="36" t="n"/>
      <c r="G72" s="33" t="n"/>
      <c r="H72" s="20" t="str">
        <f>IF(AND(ISNUMBER(E72),ISNUMBER(F72)),E72*F72,"")</f>
        <v/>
      </c>
      <c r="I72" s="43" t="str">
        <f>IF(ISNUMBER(H72),ROUND(MAX(F72*'参数'!$C$11,'参数'!$C$12)+'参数'!$C$13,2),"")</f>
        <v/>
      </c>
      <c r="J72" s="43" t="str">
        <f>IF(ISNUMBER(H72),IF(D72="卖",ROUND(H72*N('参数'!$C$14)+F72*N('参数'!$C$15),2),0),"")</f>
        <v/>
      </c>
      <c r="K72" s="23" t="n"/>
      <c r="L72" s="20" t="str">
        <f>IF(ISNUMBER(K72),K72,IF(ISNUMBER(H72),I72+J72,""))</f>
        <v/>
      </c>
      <c r="M72" s="48" t="str">
        <f>IF(AND(ISNUMBER(E72),ISNUMBER(G72),ISNUMBER(F72)),(E72-G72)*IF(D72="卖",-1,1)*F72,"")</f>
        <v/>
      </c>
      <c r="N72" s="49" t="str">
        <f>IF(A72="","",IFERROR(T(INDEX('交易记录'!$C$5:$C$304,MATCH(A72,'交易记录'!$A$5:$A$304,0))),"编号没找到"))</f>
        <v/>
      </c>
      <c r="O72" s="31" t="n"/>
    </row>
    <row r="73">
      <c r="A73" s="29" t="n"/>
      <c r="B73" s="30" t="n"/>
      <c r="C73" s="47" t="n"/>
      <c r="D73" s="32" t="n"/>
      <c r="E73" s="33" t="n"/>
      <c r="F73" s="36" t="n"/>
      <c r="G73" s="33" t="n"/>
      <c r="H73" s="20" t="str">
        <f>IF(AND(ISNUMBER(E73),ISNUMBER(F73)),E73*F73,"")</f>
        <v/>
      </c>
      <c r="I73" s="43" t="str">
        <f>IF(ISNUMBER(H73),ROUND(MAX(F73*'参数'!$C$11,'参数'!$C$12)+'参数'!$C$13,2),"")</f>
        <v/>
      </c>
      <c r="J73" s="43" t="str">
        <f>IF(ISNUMBER(H73),IF(D73="卖",ROUND(H73*N('参数'!$C$14)+F73*N('参数'!$C$15),2),0),"")</f>
        <v/>
      </c>
      <c r="K73" s="23" t="n"/>
      <c r="L73" s="20" t="str">
        <f>IF(ISNUMBER(K73),K73,IF(ISNUMBER(H73),I73+J73,""))</f>
        <v/>
      </c>
      <c r="M73" s="48" t="str">
        <f>IF(AND(ISNUMBER(E73),ISNUMBER(G73),ISNUMBER(F73)),(E73-G73)*IF(D73="卖",-1,1)*F73,"")</f>
        <v/>
      </c>
      <c r="N73" s="49" t="str">
        <f>IF(A73="","",IFERROR(T(INDEX('交易记录'!$C$5:$C$304,MATCH(A73,'交易记录'!$A$5:$A$304,0))),"编号没找到"))</f>
        <v/>
      </c>
      <c r="O73" s="31" t="n"/>
    </row>
    <row r="74">
      <c r="A74" s="29" t="n"/>
      <c r="B74" s="30" t="n"/>
      <c r="C74" s="47" t="n"/>
      <c r="D74" s="32" t="n"/>
      <c r="E74" s="33" t="n"/>
      <c r="F74" s="36" t="n"/>
      <c r="G74" s="33" t="n"/>
      <c r="H74" s="20" t="str">
        <f>IF(AND(ISNUMBER(E74),ISNUMBER(F74)),E74*F74,"")</f>
        <v/>
      </c>
      <c r="I74" s="43" t="str">
        <f>IF(ISNUMBER(H74),ROUND(MAX(F74*'参数'!$C$11,'参数'!$C$12)+'参数'!$C$13,2),"")</f>
        <v/>
      </c>
      <c r="J74" s="43" t="str">
        <f>IF(ISNUMBER(H74),IF(D74="卖",ROUND(H74*N('参数'!$C$14)+F74*N('参数'!$C$15),2),0),"")</f>
        <v/>
      </c>
      <c r="K74" s="23" t="n"/>
      <c r="L74" s="20" t="str">
        <f>IF(ISNUMBER(K74),K74,IF(ISNUMBER(H74),I74+J74,""))</f>
        <v/>
      </c>
      <c r="M74" s="48" t="str">
        <f>IF(AND(ISNUMBER(E74),ISNUMBER(G74),ISNUMBER(F74)),(E74-G74)*IF(D74="卖",-1,1)*F74,"")</f>
        <v/>
      </c>
      <c r="N74" s="49" t="str">
        <f>IF(A74="","",IFERROR(T(INDEX('交易记录'!$C$5:$C$304,MATCH(A74,'交易记录'!$A$5:$A$304,0))),"编号没找到"))</f>
        <v/>
      </c>
      <c r="O74" s="31" t="n"/>
    </row>
    <row r="75">
      <c r="A75" s="29" t="n"/>
      <c r="B75" s="30" t="n"/>
      <c r="C75" s="47" t="n"/>
      <c r="D75" s="32" t="n"/>
      <c r="E75" s="33" t="n"/>
      <c r="F75" s="36" t="n"/>
      <c r="G75" s="33" t="n"/>
      <c r="H75" s="20" t="str">
        <f>IF(AND(ISNUMBER(E75),ISNUMBER(F75)),E75*F75,"")</f>
        <v/>
      </c>
      <c r="I75" s="43" t="str">
        <f>IF(ISNUMBER(H75),ROUND(MAX(F75*'参数'!$C$11,'参数'!$C$12)+'参数'!$C$13,2),"")</f>
        <v/>
      </c>
      <c r="J75" s="43" t="str">
        <f>IF(ISNUMBER(H75),IF(D75="卖",ROUND(H75*N('参数'!$C$14)+F75*N('参数'!$C$15),2),0),"")</f>
        <v/>
      </c>
      <c r="K75" s="23" t="n"/>
      <c r="L75" s="20" t="str">
        <f>IF(ISNUMBER(K75),K75,IF(ISNUMBER(H75),I75+J75,""))</f>
        <v/>
      </c>
      <c r="M75" s="48" t="str">
        <f>IF(AND(ISNUMBER(E75),ISNUMBER(G75),ISNUMBER(F75)),(E75-G75)*IF(D75="卖",-1,1)*F75,"")</f>
        <v/>
      </c>
      <c r="N75" s="49" t="str">
        <f>IF(A75="","",IFERROR(T(INDEX('交易记录'!$C$5:$C$304,MATCH(A75,'交易记录'!$A$5:$A$304,0))),"编号没找到"))</f>
        <v/>
      </c>
      <c r="O75" s="31" t="n"/>
    </row>
    <row r="76">
      <c r="A76" s="29" t="n"/>
      <c r="B76" s="30" t="n"/>
      <c r="C76" s="47" t="n"/>
      <c r="D76" s="32" t="n"/>
      <c r="E76" s="33" t="n"/>
      <c r="F76" s="36" t="n"/>
      <c r="G76" s="33" t="n"/>
      <c r="H76" s="20" t="str">
        <f>IF(AND(ISNUMBER(E76),ISNUMBER(F76)),E76*F76,"")</f>
        <v/>
      </c>
      <c r="I76" s="43" t="str">
        <f>IF(ISNUMBER(H76),ROUND(MAX(F76*'参数'!$C$11,'参数'!$C$12)+'参数'!$C$13,2),"")</f>
        <v/>
      </c>
      <c r="J76" s="43" t="str">
        <f>IF(ISNUMBER(H76),IF(D76="卖",ROUND(H76*N('参数'!$C$14)+F76*N('参数'!$C$15),2),0),"")</f>
        <v/>
      </c>
      <c r="K76" s="23" t="n"/>
      <c r="L76" s="20" t="str">
        <f>IF(ISNUMBER(K76),K76,IF(ISNUMBER(H76),I76+J76,""))</f>
        <v/>
      </c>
      <c r="M76" s="48" t="str">
        <f>IF(AND(ISNUMBER(E76),ISNUMBER(G76),ISNUMBER(F76)),(E76-G76)*IF(D76="卖",-1,1)*F76,"")</f>
        <v/>
      </c>
      <c r="N76" s="49" t="str">
        <f>IF(A76="","",IFERROR(T(INDEX('交易记录'!$C$5:$C$304,MATCH(A76,'交易记录'!$A$5:$A$304,0))),"编号没找到"))</f>
        <v/>
      </c>
      <c r="O76" s="31" t="n"/>
    </row>
    <row r="77">
      <c r="A77" s="29" t="n"/>
      <c r="B77" s="30" t="n"/>
      <c r="C77" s="47" t="n"/>
      <c r="D77" s="32" t="n"/>
      <c r="E77" s="33" t="n"/>
      <c r="F77" s="36" t="n"/>
      <c r="G77" s="33" t="n"/>
      <c r="H77" s="20" t="str">
        <f>IF(AND(ISNUMBER(E77),ISNUMBER(F77)),E77*F77,"")</f>
        <v/>
      </c>
      <c r="I77" s="43" t="str">
        <f>IF(ISNUMBER(H77),ROUND(MAX(F77*'参数'!$C$11,'参数'!$C$12)+'参数'!$C$13,2),"")</f>
        <v/>
      </c>
      <c r="J77" s="43" t="str">
        <f>IF(ISNUMBER(H77),IF(D77="卖",ROUND(H77*N('参数'!$C$14)+F77*N('参数'!$C$15),2),0),"")</f>
        <v/>
      </c>
      <c r="K77" s="23" t="n"/>
      <c r="L77" s="20" t="str">
        <f>IF(ISNUMBER(K77),K77,IF(ISNUMBER(H77),I77+J77,""))</f>
        <v/>
      </c>
      <c r="M77" s="48" t="str">
        <f>IF(AND(ISNUMBER(E77),ISNUMBER(G77),ISNUMBER(F77)),(E77-G77)*IF(D77="卖",-1,1)*F77,"")</f>
        <v/>
      </c>
      <c r="N77" s="49" t="str">
        <f>IF(A77="","",IFERROR(T(INDEX('交易记录'!$C$5:$C$304,MATCH(A77,'交易记录'!$A$5:$A$304,0))),"编号没找到"))</f>
        <v/>
      </c>
      <c r="O77" s="31" t="n"/>
    </row>
    <row r="78">
      <c r="A78" s="29" t="n"/>
      <c r="B78" s="30" t="n"/>
      <c r="C78" s="47" t="n"/>
      <c r="D78" s="32" t="n"/>
      <c r="E78" s="33" t="n"/>
      <c r="F78" s="36" t="n"/>
      <c r="G78" s="33" t="n"/>
      <c r="H78" s="20" t="str">
        <f>IF(AND(ISNUMBER(E78),ISNUMBER(F78)),E78*F78,"")</f>
        <v/>
      </c>
      <c r="I78" s="43" t="str">
        <f>IF(ISNUMBER(H78),ROUND(MAX(F78*'参数'!$C$11,'参数'!$C$12)+'参数'!$C$13,2),"")</f>
        <v/>
      </c>
      <c r="J78" s="43" t="str">
        <f>IF(ISNUMBER(H78),IF(D78="卖",ROUND(H78*N('参数'!$C$14)+F78*N('参数'!$C$15),2),0),"")</f>
        <v/>
      </c>
      <c r="K78" s="23" t="n"/>
      <c r="L78" s="20" t="str">
        <f>IF(ISNUMBER(K78),K78,IF(ISNUMBER(H78),I78+J78,""))</f>
        <v/>
      </c>
      <c r="M78" s="48" t="str">
        <f>IF(AND(ISNUMBER(E78),ISNUMBER(G78),ISNUMBER(F78)),(E78-G78)*IF(D78="卖",-1,1)*F78,"")</f>
        <v/>
      </c>
      <c r="N78" s="49" t="str">
        <f>IF(A78="","",IFERROR(T(INDEX('交易记录'!$C$5:$C$304,MATCH(A78,'交易记录'!$A$5:$A$304,0))),"编号没找到"))</f>
        <v/>
      </c>
      <c r="O78" s="31" t="n"/>
    </row>
    <row r="79">
      <c r="A79" s="29" t="n"/>
      <c r="B79" s="30" t="n"/>
      <c r="C79" s="47" t="n"/>
      <c r="D79" s="32" t="n"/>
      <c r="E79" s="33" t="n"/>
      <c r="F79" s="36" t="n"/>
      <c r="G79" s="33" t="n"/>
      <c r="H79" s="20" t="str">
        <f>IF(AND(ISNUMBER(E79),ISNUMBER(F79)),E79*F79,"")</f>
        <v/>
      </c>
      <c r="I79" s="43" t="str">
        <f>IF(ISNUMBER(H79),ROUND(MAX(F79*'参数'!$C$11,'参数'!$C$12)+'参数'!$C$13,2),"")</f>
        <v/>
      </c>
      <c r="J79" s="43" t="str">
        <f>IF(ISNUMBER(H79),IF(D79="卖",ROUND(H79*N('参数'!$C$14)+F79*N('参数'!$C$15),2),0),"")</f>
        <v/>
      </c>
      <c r="K79" s="23" t="n"/>
      <c r="L79" s="20" t="str">
        <f>IF(ISNUMBER(K79),K79,IF(ISNUMBER(H79),I79+J79,""))</f>
        <v/>
      </c>
      <c r="M79" s="48" t="str">
        <f>IF(AND(ISNUMBER(E79),ISNUMBER(G79),ISNUMBER(F79)),(E79-G79)*IF(D79="卖",-1,1)*F79,"")</f>
        <v/>
      </c>
      <c r="N79" s="49" t="str">
        <f>IF(A79="","",IFERROR(T(INDEX('交易记录'!$C$5:$C$304,MATCH(A79,'交易记录'!$A$5:$A$304,0))),"编号没找到"))</f>
        <v/>
      </c>
      <c r="O79" s="31" t="n"/>
    </row>
    <row r="80">
      <c r="A80" s="29" t="n"/>
      <c r="B80" s="30" t="n"/>
      <c r="C80" s="47" t="n"/>
      <c r="D80" s="32" t="n"/>
      <c r="E80" s="33" t="n"/>
      <c r="F80" s="36" t="n"/>
      <c r="G80" s="33" t="n"/>
      <c r="H80" s="20" t="str">
        <f>IF(AND(ISNUMBER(E80),ISNUMBER(F80)),E80*F80,"")</f>
        <v/>
      </c>
      <c r="I80" s="43" t="str">
        <f>IF(ISNUMBER(H80),ROUND(MAX(F80*'参数'!$C$11,'参数'!$C$12)+'参数'!$C$13,2),"")</f>
        <v/>
      </c>
      <c r="J80" s="43" t="str">
        <f>IF(ISNUMBER(H80),IF(D80="卖",ROUND(H80*N('参数'!$C$14)+F80*N('参数'!$C$15),2),0),"")</f>
        <v/>
      </c>
      <c r="K80" s="23" t="n"/>
      <c r="L80" s="20" t="str">
        <f>IF(ISNUMBER(K80),K80,IF(ISNUMBER(H80),I80+J80,""))</f>
        <v/>
      </c>
      <c r="M80" s="48" t="str">
        <f>IF(AND(ISNUMBER(E80),ISNUMBER(G80),ISNUMBER(F80)),(E80-G80)*IF(D80="卖",-1,1)*F80,"")</f>
        <v/>
      </c>
      <c r="N80" s="49" t="str">
        <f>IF(A80="","",IFERROR(T(INDEX('交易记录'!$C$5:$C$304,MATCH(A80,'交易记录'!$A$5:$A$304,0))),"编号没找到"))</f>
        <v/>
      </c>
      <c r="O80" s="31" t="n"/>
    </row>
    <row r="81">
      <c r="A81" s="29" t="n"/>
      <c r="B81" s="30" t="n"/>
      <c r="C81" s="47" t="n"/>
      <c r="D81" s="32" t="n"/>
      <c r="E81" s="33" t="n"/>
      <c r="F81" s="36" t="n"/>
      <c r="G81" s="33" t="n"/>
      <c r="H81" s="20" t="str">
        <f>IF(AND(ISNUMBER(E81),ISNUMBER(F81)),E81*F81,"")</f>
        <v/>
      </c>
      <c r="I81" s="43" t="str">
        <f>IF(ISNUMBER(H81),ROUND(MAX(F81*'参数'!$C$11,'参数'!$C$12)+'参数'!$C$13,2),"")</f>
        <v/>
      </c>
      <c r="J81" s="43" t="str">
        <f>IF(ISNUMBER(H81),IF(D81="卖",ROUND(H81*N('参数'!$C$14)+F81*N('参数'!$C$15),2),0),"")</f>
        <v/>
      </c>
      <c r="K81" s="23" t="n"/>
      <c r="L81" s="20" t="str">
        <f>IF(ISNUMBER(K81),K81,IF(ISNUMBER(H81),I81+J81,""))</f>
        <v/>
      </c>
      <c r="M81" s="48" t="str">
        <f>IF(AND(ISNUMBER(E81),ISNUMBER(G81),ISNUMBER(F81)),(E81-G81)*IF(D81="卖",-1,1)*F81,"")</f>
        <v/>
      </c>
      <c r="N81" s="49" t="str">
        <f>IF(A81="","",IFERROR(T(INDEX('交易记录'!$C$5:$C$304,MATCH(A81,'交易记录'!$A$5:$A$304,0))),"编号没找到"))</f>
        <v/>
      </c>
      <c r="O81" s="31" t="n"/>
    </row>
    <row r="82">
      <c r="A82" s="29" t="n"/>
      <c r="B82" s="30" t="n"/>
      <c r="C82" s="47" t="n"/>
      <c r="D82" s="32" t="n"/>
      <c r="E82" s="33" t="n"/>
      <c r="F82" s="36" t="n"/>
      <c r="G82" s="33" t="n"/>
      <c r="H82" s="20" t="str">
        <f>IF(AND(ISNUMBER(E82),ISNUMBER(F82)),E82*F82,"")</f>
        <v/>
      </c>
      <c r="I82" s="43" t="str">
        <f>IF(ISNUMBER(H82),ROUND(MAX(F82*'参数'!$C$11,'参数'!$C$12)+'参数'!$C$13,2),"")</f>
        <v/>
      </c>
      <c r="J82" s="43" t="str">
        <f>IF(ISNUMBER(H82),IF(D82="卖",ROUND(H82*N('参数'!$C$14)+F82*N('参数'!$C$15),2),0),"")</f>
        <v/>
      </c>
      <c r="K82" s="23" t="n"/>
      <c r="L82" s="20" t="str">
        <f>IF(ISNUMBER(K82),K82,IF(ISNUMBER(H82),I82+J82,""))</f>
        <v/>
      </c>
      <c r="M82" s="48" t="str">
        <f>IF(AND(ISNUMBER(E82),ISNUMBER(G82),ISNUMBER(F82)),(E82-G82)*IF(D82="卖",-1,1)*F82,"")</f>
        <v/>
      </c>
      <c r="N82" s="49" t="str">
        <f>IF(A82="","",IFERROR(T(INDEX('交易记录'!$C$5:$C$304,MATCH(A82,'交易记录'!$A$5:$A$304,0))),"编号没找到"))</f>
        <v/>
      </c>
      <c r="O82" s="31" t="n"/>
    </row>
    <row r="83">
      <c r="A83" s="29" t="n"/>
      <c r="B83" s="30" t="n"/>
      <c r="C83" s="47" t="n"/>
      <c r="D83" s="32" t="n"/>
      <c r="E83" s="33" t="n"/>
      <c r="F83" s="36" t="n"/>
      <c r="G83" s="33" t="n"/>
      <c r="H83" s="20" t="str">
        <f>IF(AND(ISNUMBER(E83),ISNUMBER(F83)),E83*F83,"")</f>
        <v/>
      </c>
      <c r="I83" s="43" t="str">
        <f>IF(ISNUMBER(H83),ROUND(MAX(F83*'参数'!$C$11,'参数'!$C$12)+'参数'!$C$13,2),"")</f>
        <v/>
      </c>
      <c r="J83" s="43" t="str">
        <f>IF(ISNUMBER(H83),IF(D83="卖",ROUND(H83*N('参数'!$C$14)+F83*N('参数'!$C$15),2),0),"")</f>
        <v/>
      </c>
      <c r="K83" s="23" t="n"/>
      <c r="L83" s="20" t="str">
        <f>IF(ISNUMBER(K83),K83,IF(ISNUMBER(H83),I83+J83,""))</f>
        <v/>
      </c>
      <c r="M83" s="48" t="str">
        <f>IF(AND(ISNUMBER(E83),ISNUMBER(G83),ISNUMBER(F83)),(E83-G83)*IF(D83="卖",-1,1)*F83,"")</f>
        <v/>
      </c>
      <c r="N83" s="49" t="str">
        <f>IF(A83="","",IFERROR(T(INDEX('交易记录'!$C$5:$C$304,MATCH(A83,'交易记录'!$A$5:$A$304,0))),"编号没找到"))</f>
        <v/>
      </c>
      <c r="O83" s="31" t="n"/>
    </row>
    <row r="84">
      <c r="A84" s="29" t="n"/>
      <c r="B84" s="30" t="n"/>
      <c r="C84" s="47" t="n"/>
      <c r="D84" s="32" t="n"/>
      <c r="E84" s="33" t="n"/>
      <c r="F84" s="36" t="n"/>
      <c r="G84" s="33" t="n"/>
      <c r="H84" s="20" t="str">
        <f>IF(AND(ISNUMBER(E84),ISNUMBER(F84)),E84*F84,"")</f>
        <v/>
      </c>
      <c r="I84" s="43" t="str">
        <f>IF(ISNUMBER(H84),ROUND(MAX(F84*'参数'!$C$11,'参数'!$C$12)+'参数'!$C$13,2),"")</f>
        <v/>
      </c>
      <c r="J84" s="43" t="str">
        <f>IF(ISNUMBER(H84),IF(D84="卖",ROUND(H84*N('参数'!$C$14)+F84*N('参数'!$C$15),2),0),"")</f>
        <v/>
      </c>
      <c r="K84" s="23" t="n"/>
      <c r="L84" s="20" t="str">
        <f>IF(ISNUMBER(K84),K84,IF(ISNUMBER(H84),I84+J84,""))</f>
        <v/>
      </c>
      <c r="M84" s="48" t="str">
        <f>IF(AND(ISNUMBER(E84),ISNUMBER(G84),ISNUMBER(F84)),(E84-G84)*IF(D84="卖",-1,1)*F84,"")</f>
        <v/>
      </c>
      <c r="N84" s="49" t="str">
        <f>IF(A84="","",IFERROR(T(INDEX('交易记录'!$C$5:$C$304,MATCH(A84,'交易记录'!$A$5:$A$304,0))),"编号没找到"))</f>
        <v/>
      </c>
      <c r="O84" s="31" t="n"/>
    </row>
    <row r="85">
      <c r="A85" s="29" t="n"/>
      <c r="B85" s="30" t="n"/>
      <c r="C85" s="47" t="n"/>
      <c r="D85" s="32" t="n"/>
      <c r="E85" s="33" t="n"/>
      <c r="F85" s="36" t="n"/>
      <c r="G85" s="33" t="n"/>
      <c r="H85" s="20" t="str">
        <f>IF(AND(ISNUMBER(E85),ISNUMBER(F85)),E85*F85,"")</f>
        <v/>
      </c>
      <c r="I85" s="43" t="str">
        <f>IF(ISNUMBER(H85),ROUND(MAX(F85*'参数'!$C$11,'参数'!$C$12)+'参数'!$C$13,2),"")</f>
        <v/>
      </c>
      <c r="J85" s="43" t="str">
        <f>IF(ISNUMBER(H85),IF(D85="卖",ROUND(H85*N('参数'!$C$14)+F85*N('参数'!$C$15),2),0),"")</f>
        <v/>
      </c>
      <c r="K85" s="23" t="n"/>
      <c r="L85" s="20" t="str">
        <f>IF(ISNUMBER(K85),K85,IF(ISNUMBER(H85),I85+J85,""))</f>
        <v/>
      </c>
      <c r="M85" s="48" t="str">
        <f>IF(AND(ISNUMBER(E85),ISNUMBER(G85),ISNUMBER(F85)),(E85-G85)*IF(D85="卖",-1,1)*F85,"")</f>
        <v/>
      </c>
      <c r="N85" s="49" t="str">
        <f>IF(A85="","",IFERROR(T(INDEX('交易记录'!$C$5:$C$304,MATCH(A85,'交易记录'!$A$5:$A$304,0))),"编号没找到"))</f>
        <v/>
      </c>
      <c r="O85" s="31" t="n"/>
    </row>
    <row r="86">
      <c r="A86" s="29" t="n"/>
      <c r="B86" s="30" t="n"/>
      <c r="C86" s="47" t="n"/>
      <c r="D86" s="32" t="n"/>
      <c r="E86" s="33" t="n"/>
      <c r="F86" s="36" t="n"/>
      <c r="G86" s="33" t="n"/>
      <c r="H86" s="20" t="str">
        <f>IF(AND(ISNUMBER(E86),ISNUMBER(F86)),E86*F86,"")</f>
        <v/>
      </c>
      <c r="I86" s="43" t="str">
        <f>IF(ISNUMBER(H86),ROUND(MAX(F86*'参数'!$C$11,'参数'!$C$12)+'参数'!$C$13,2),"")</f>
        <v/>
      </c>
      <c r="J86" s="43" t="str">
        <f>IF(ISNUMBER(H86),IF(D86="卖",ROUND(H86*N('参数'!$C$14)+F86*N('参数'!$C$15),2),0),"")</f>
        <v/>
      </c>
      <c r="K86" s="23" t="n"/>
      <c r="L86" s="20" t="str">
        <f>IF(ISNUMBER(K86),K86,IF(ISNUMBER(H86),I86+J86,""))</f>
        <v/>
      </c>
      <c r="M86" s="48" t="str">
        <f>IF(AND(ISNUMBER(E86),ISNUMBER(G86),ISNUMBER(F86)),(E86-G86)*IF(D86="卖",-1,1)*F86,"")</f>
        <v/>
      </c>
      <c r="N86" s="49" t="str">
        <f>IF(A86="","",IFERROR(T(INDEX('交易记录'!$C$5:$C$304,MATCH(A86,'交易记录'!$A$5:$A$304,0))),"编号没找到"))</f>
        <v/>
      </c>
      <c r="O86" s="31" t="n"/>
    </row>
    <row r="87">
      <c r="A87" s="29" t="n"/>
      <c r="B87" s="30" t="n"/>
      <c r="C87" s="47" t="n"/>
      <c r="D87" s="32" t="n"/>
      <c r="E87" s="33" t="n"/>
      <c r="F87" s="36" t="n"/>
      <c r="G87" s="33" t="n"/>
      <c r="H87" s="20" t="str">
        <f>IF(AND(ISNUMBER(E87),ISNUMBER(F87)),E87*F87,"")</f>
        <v/>
      </c>
      <c r="I87" s="43" t="str">
        <f>IF(ISNUMBER(H87),ROUND(MAX(F87*'参数'!$C$11,'参数'!$C$12)+'参数'!$C$13,2),"")</f>
        <v/>
      </c>
      <c r="J87" s="43" t="str">
        <f>IF(ISNUMBER(H87),IF(D87="卖",ROUND(H87*N('参数'!$C$14)+F87*N('参数'!$C$15),2),0),"")</f>
        <v/>
      </c>
      <c r="K87" s="23" t="n"/>
      <c r="L87" s="20" t="str">
        <f>IF(ISNUMBER(K87),K87,IF(ISNUMBER(H87),I87+J87,""))</f>
        <v/>
      </c>
      <c r="M87" s="48" t="str">
        <f>IF(AND(ISNUMBER(E87),ISNUMBER(G87),ISNUMBER(F87)),(E87-G87)*IF(D87="卖",-1,1)*F87,"")</f>
        <v/>
      </c>
      <c r="N87" s="49" t="str">
        <f>IF(A87="","",IFERROR(T(INDEX('交易记录'!$C$5:$C$304,MATCH(A87,'交易记录'!$A$5:$A$304,0))),"编号没找到"))</f>
        <v/>
      </c>
      <c r="O87" s="31" t="n"/>
    </row>
    <row r="88">
      <c r="A88" s="29" t="n"/>
      <c r="B88" s="30" t="n"/>
      <c r="C88" s="47" t="n"/>
      <c r="D88" s="32" t="n"/>
      <c r="E88" s="33" t="n"/>
      <c r="F88" s="36" t="n"/>
      <c r="G88" s="33" t="n"/>
      <c r="H88" s="20" t="str">
        <f>IF(AND(ISNUMBER(E88),ISNUMBER(F88)),E88*F88,"")</f>
        <v/>
      </c>
      <c r="I88" s="43" t="str">
        <f>IF(ISNUMBER(H88),ROUND(MAX(F88*'参数'!$C$11,'参数'!$C$12)+'参数'!$C$13,2),"")</f>
        <v/>
      </c>
      <c r="J88" s="43" t="str">
        <f>IF(ISNUMBER(H88),IF(D88="卖",ROUND(H88*N('参数'!$C$14)+F88*N('参数'!$C$15),2),0),"")</f>
        <v/>
      </c>
      <c r="K88" s="23" t="n"/>
      <c r="L88" s="20" t="str">
        <f>IF(ISNUMBER(K88),K88,IF(ISNUMBER(H88),I88+J88,""))</f>
        <v/>
      </c>
      <c r="M88" s="48" t="str">
        <f>IF(AND(ISNUMBER(E88),ISNUMBER(G88),ISNUMBER(F88)),(E88-G88)*IF(D88="卖",-1,1)*F88,"")</f>
        <v/>
      </c>
      <c r="N88" s="49" t="str">
        <f>IF(A88="","",IFERROR(T(INDEX('交易记录'!$C$5:$C$304,MATCH(A88,'交易记录'!$A$5:$A$304,0))),"编号没找到"))</f>
        <v/>
      </c>
      <c r="O88" s="31" t="n"/>
    </row>
    <row r="89">
      <c r="A89" s="29" t="n"/>
      <c r="B89" s="30" t="n"/>
      <c r="C89" s="47" t="n"/>
      <c r="D89" s="32" t="n"/>
      <c r="E89" s="33" t="n"/>
      <c r="F89" s="36" t="n"/>
      <c r="G89" s="33" t="n"/>
      <c r="H89" s="20" t="str">
        <f>IF(AND(ISNUMBER(E89),ISNUMBER(F89)),E89*F89,"")</f>
        <v/>
      </c>
      <c r="I89" s="43" t="str">
        <f>IF(ISNUMBER(H89),ROUND(MAX(F89*'参数'!$C$11,'参数'!$C$12)+'参数'!$C$13,2),"")</f>
        <v/>
      </c>
      <c r="J89" s="43" t="str">
        <f>IF(ISNUMBER(H89),IF(D89="卖",ROUND(H89*N('参数'!$C$14)+F89*N('参数'!$C$15),2),0),"")</f>
        <v/>
      </c>
      <c r="K89" s="23" t="n"/>
      <c r="L89" s="20" t="str">
        <f>IF(ISNUMBER(K89),K89,IF(ISNUMBER(H89),I89+J89,""))</f>
        <v/>
      </c>
      <c r="M89" s="48" t="str">
        <f>IF(AND(ISNUMBER(E89),ISNUMBER(G89),ISNUMBER(F89)),(E89-G89)*IF(D89="卖",-1,1)*F89,"")</f>
        <v/>
      </c>
      <c r="N89" s="49" t="str">
        <f>IF(A89="","",IFERROR(T(INDEX('交易记录'!$C$5:$C$304,MATCH(A89,'交易记录'!$A$5:$A$304,0))),"编号没找到"))</f>
        <v/>
      </c>
      <c r="O89" s="31" t="n"/>
    </row>
    <row r="90">
      <c r="A90" s="29" t="n"/>
      <c r="B90" s="30" t="n"/>
      <c r="C90" s="47" t="n"/>
      <c r="D90" s="32" t="n"/>
      <c r="E90" s="33" t="n"/>
      <c r="F90" s="36" t="n"/>
      <c r="G90" s="33" t="n"/>
      <c r="H90" s="20" t="str">
        <f>IF(AND(ISNUMBER(E90),ISNUMBER(F90)),E90*F90,"")</f>
        <v/>
      </c>
      <c r="I90" s="43" t="str">
        <f>IF(ISNUMBER(H90),ROUND(MAX(F90*'参数'!$C$11,'参数'!$C$12)+'参数'!$C$13,2),"")</f>
        <v/>
      </c>
      <c r="J90" s="43" t="str">
        <f>IF(ISNUMBER(H90),IF(D90="卖",ROUND(H90*N('参数'!$C$14)+F90*N('参数'!$C$15),2),0),"")</f>
        <v/>
      </c>
      <c r="K90" s="23" t="n"/>
      <c r="L90" s="20" t="str">
        <f>IF(ISNUMBER(K90),K90,IF(ISNUMBER(H90),I90+J90,""))</f>
        <v/>
      </c>
      <c r="M90" s="48" t="str">
        <f>IF(AND(ISNUMBER(E90),ISNUMBER(G90),ISNUMBER(F90)),(E90-G90)*IF(D90="卖",-1,1)*F90,"")</f>
        <v/>
      </c>
      <c r="N90" s="49" t="str">
        <f>IF(A90="","",IFERROR(T(INDEX('交易记录'!$C$5:$C$304,MATCH(A90,'交易记录'!$A$5:$A$304,0))),"编号没找到"))</f>
        <v/>
      </c>
      <c r="O90" s="31" t="n"/>
    </row>
    <row r="91">
      <c r="A91" s="29" t="n"/>
      <c r="B91" s="30" t="n"/>
      <c r="C91" s="47" t="n"/>
      <c r="D91" s="32" t="n"/>
      <c r="E91" s="33" t="n"/>
      <c r="F91" s="36" t="n"/>
      <c r="G91" s="33" t="n"/>
      <c r="H91" s="20" t="str">
        <f>IF(AND(ISNUMBER(E91),ISNUMBER(F91)),E91*F91,"")</f>
        <v/>
      </c>
      <c r="I91" s="43" t="str">
        <f>IF(ISNUMBER(H91),ROUND(MAX(F91*'参数'!$C$11,'参数'!$C$12)+'参数'!$C$13,2),"")</f>
        <v/>
      </c>
      <c r="J91" s="43" t="str">
        <f>IF(ISNUMBER(H91),IF(D91="卖",ROUND(H91*N('参数'!$C$14)+F91*N('参数'!$C$15),2),0),"")</f>
        <v/>
      </c>
      <c r="K91" s="23" t="n"/>
      <c r="L91" s="20" t="str">
        <f>IF(ISNUMBER(K91),K91,IF(ISNUMBER(H91),I91+J91,""))</f>
        <v/>
      </c>
      <c r="M91" s="48" t="str">
        <f>IF(AND(ISNUMBER(E91),ISNUMBER(G91),ISNUMBER(F91)),(E91-G91)*IF(D91="卖",-1,1)*F91,"")</f>
        <v/>
      </c>
      <c r="N91" s="49" t="str">
        <f>IF(A91="","",IFERROR(T(INDEX('交易记录'!$C$5:$C$304,MATCH(A91,'交易记录'!$A$5:$A$304,0))),"编号没找到"))</f>
        <v/>
      </c>
      <c r="O91" s="31" t="n"/>
    </row>
    <row r="92">
      <c r="A92" s="29" t="n"/>
      <c r="B92" s="30" t="n"/>
      <c r="C92" s="47" t="n"/>
      <c r="D92" s="32" t="n"/>
      <c r="E92" s="33" t="n"/>
      <c r="F92" s="36" t="n"/>
      <c r="G92" s="33" t="n"/>
      <c r="H92" s="20" t="str">
        <f>IF(AND(ISNUMBER(E92),ISNUMBER(F92)),E92*F92,"")</f>
        <v/>
      </c>
      <c r="I92" s="43" t="str">
        <f>IF(ISNUMBER(H92),ROUND(MAX(F92*'参数'!$C$11,'参数'!$C$12)+'参数'!$C$13,2),"")</f>
        <v/>
      </c>
      <c r="J92" s="43" t="str">
        <f>IF(ISNUMBER(H92),IF(D92="卖",ROUND(H92*N('参数'!$C$14)+F92*N('参数'!$C$15),2),0),"")</f>
        <v/>
      </c>
      <c r="K92" s="23" t="n"/>
      <c r="L92" s="20" t="str">
        <f>IF(ISNUMBER(K92),K92,IF(ISNUMBER(H92),I92+J92,""))</f>
        <v/>
      </c>
      <c r="M92" s="48" t="str">
        <f>IF(AND(ISNUMBER(E92),ISNUMBER(G92),ISNUMBER(F92)),(E92-G92)*IF(D92="卖",-1,1)*F92,"")</f>
        <v/>
      </c>
      <c r="N92" s="49" t="str">
        <f>IF(A92="","",IFERROR(T(INDEX('交易记录'!$C$5:$C$304,MATCH(A92,'交易记录'!$A$5:$A$304,0))),"编号没找到"))</f>
        <v/>
      </c>
      <c r="O92" s="31" t="n"/>
    </row>
    <row r="93">
      <c r="A93" s="29" t="n"/>
      <c r="B93" s="30" t="n"/>
      <c r="C93" s="47" t="n"/>
      <c r="D93" s="32" t="n"/>
      <c r="E93" s="33" t="n"/>
      <c r="F93" s="36" t="n"/>
      <c r="G93" s="33" t="n"/>
      <c r="H93" s="20" t="str">
        <f>IF(AND(ISNUMBER(E93),ISNUMBER(F93)),E93*F93,"")</f>
        <v/>
      </c>
      <c r="I93" s="43" t="str">
        <f>IF(ISNUMBER(H93),ROUND(MAX(F93*'参数'!$C$11,'参数'!$C$12)+'参数'!$C$13,2),"")</f>
        <v/>
      </c>
      <c r="J93" s="43" t="str">
        <f>IF(ISNUMBER(H93),IF(D93="卖",ROUND(H93*N('参数'!$C$14)+F93*N('参数'!$C$15),2),0),"")</f>
        <v/>
      </c>
      <c r="K93" s="23" t="n"/>
      <c r="L93" s="20" t="str">
        <f>IF(ISNUMBER(K93),K93,IF(ISNUMBER(H93),I93+J93,""))</f>
        <v/>
      </c>
      <c r="M93" s="48" t="str">
        <f>IF(AND(ISNUMBER(E93),ISNUMBER(G93),ISNUMBER(F93)),(E93-G93)*IF(D93="卖",-1,1)*F93,"")</f>
        <v/>
      </c>
      <c r="N93" s="49" t="str">
        <f>IF(A93="","",IFERROR(T(INDEX('交易记录'!$C$5:$C$304,MATCH(A93,'交易记录'!$A$5:$A$304,0))),"编号没找到"))</f>
        <v/>
      </c>
      <c r="O93" s="31" t="n"/>
    </row>
    <row r="94">
      <c r="A94" s="29" t="n"/>
      <c r="B94" s="30" t="n"/>
      <c r="C94" s="47" t="n"/>
      <c r="D94" s="32" t="n"/>
      <c r="E94" s="33" t="n"/>
      <c r="F94" s="36" t="n"/>
      <c r="G94" s="33" t="n"/>
      <c r="H94" s="20" t="str">
        <f>IF(AND(ISNUMBER(E94),ISNUMBER(F94)),E94*F94,"")</f>
        <v/>
      </c>
      <c r="I94" s="43" t="str">
        <f>IF(ISNUMBER(H94),ROUND(MAX(F94*'参数'!$C$11,'参数'!$C$12)+'参数'!$C$13,2),"")</f>
        <v/>
      </c>
      <c r="J94" s="43" t="str">
        <f>IF(ISNUMBER(H94),IF(D94="卖",ROUND(H94*N('参数'!$C$14)+F94*N('参数'!$C$15),2),0),"")</f>
        <v/>
      </c>
      <c r="K94" s="23" t="n"/>
      <c r="L94" s="20" t="str">
        <f>IF(ISNUMBER(K94),K94,IF(ISNUMBER(H94),I94+J94,""))</f>
        <v/>
      </c>
      <c r="M94" s="48" t="str">
        <f>IF(AND(ISNUMBER(E94),ISNUMBER(G94),ISNUMBER(F94)),(E94-G94)*IF(D94="卖",-1,1)*F94,"")</f>
        <v/>
      </c>
      <c r="N94" s="49" t="str">
        <f>IF(A94="","",IFERROR(T(INDEX('交易记录'!$C$5:$C$304,MATCH(A94,'交易记录'!$A$5:$A$304,0))),"编号没找到"))</f>
        <v/>
      </c>
      <c r="O94" s="31" t="n"/>
    </row>
    <row r="95">
      <c r="A95" s="29" t="n"/>
      <c r="B95" s="30" t="n"/>
      <c r="C95" s="47" t="n"/>
      <c r="D95" s="32" t="n"/>
      <c r="E95" s="33" t="n"/>
      <c r="F95" s="36" t="n"/>
      <c r="G95" s="33" t="n"/>
      <c r="H95" s="20" t="str">
        <f>IF(AND(ISNUMBER(E95),ISNUMBER(F95)),E95*F95,"")</f>
        <v/>
      </c>
      <c r="I95" s="43" t="str">
        <f>IF(ISNUMBER(H95),ROUND(MAX(F95*'参数'!$C$11,'参数'!$C$12)+'参数'!$C$13,2),"")</f>
        <v/>
      </c>
      <c r="J95" s="43" t="str">
        <f>IF(ISNUMBER(H95),IF(D95="卖",ROUND(H95*N('参数'!$C$14)+F95*N('参数'!$C$15),2),0),"")</f>
        <v/>
      </c>
      <c r="K95" s="23" t="n"/>
      <c r="L95" s="20" t="str">
        <f>IF(ISNUMBER(K95),K95,IF(ISNUMBER(H95),I95+J95,""))</f>
        <v/>
      </c>
      <c r="M95" s="48" t="str">
        <f>IF(AND(ISNUMBER(E95),ISNUMBER(G95),ISNUMBER(F95)),(E95-G95)*IF(D95="卖",-1,1)*F95,"")</f>
        <v/>
      </c>
      <c r="N95" s="49" t="str">
        <f>IF(A95="","",IFERROR(T(INDEX('交易记录'!$C$5:$C$304,MATCH(A95,'交易记录'!$A$5:$A$304,0))),"编号没找到"))</f>
        <v/>
      </c>
      <c r="O95" s="31" t="n"/>
    </row>
    <row r="96">
      <c r="A96" s="29" t="n"/>
      <c r="B96" s="30" t="n"/>
      <c r="C96" s="47" t="n"/>
      <c r="D96" s="32" t="n"/>
      <c r="E96" s="33" t="n"/>
      <c r="F96" s="36" t="n"/>
      <c r="G96" s="33" t="n"/>
      <c r="H96" s="20" t="str">
        <f>IF(AND(ISNUMBER(E96),ISNUMBER(F96)),E96*F96,"")</f>
        <v/>
      </c>
      <c r="I96" s="43" t="str">
        <f>IF(ISNUMBER(H96),ROUND(MAX(F96*'参数'!$C$11,'参数'!$C$12)+'参数'!$C$13,2),"")</f>
        <v/>
      </c>
      <c r="J96" s="43" t="str">
        <f>IF(ISNUMBER(H96),IF(D96="卖",ROUND(H96*N('参数'!$C$14)+F96*N('参数'!$C$15),2),0),"")</f>
        <v/>
      </c>
      <c r="K96" s="23" t="n"/>
      <c r="L96" s="20" t="str">
        <f>IF(ISNUMBER(K96),K96,IF(ISNUMBER(H96),I96+J96,""))</f>
        <v/>
      </c>
      <c r="M96" s="48" t="str">
        <f>IF(AND(ISNUMBER(E96),ISNUMBER(G96),ISNUMBER(F96)),(E96-G96)*IF(D96="卖",-1,1)*F96,"")</f>
        <v/>
      </c>
      <c r="N96" s="49" t="str">
        <f>IF(A96="","",IFERROR(T(INDEX('交易记录'!$C$5:$C$304,MATCH(A96,'交易记录'!$A$5:$A$304,0))),"编号没找到"))</f>
        <v/>
      </c>
      <c r="O96" s="31" t="n"/>
    </row>
    <row r="97">
      <c r="A97" s="29" t="n"/>
      <c r="B97" s="30" t="n"/>
      <c r="C97" s="47" t="n"/>
      <c r="D97" s="32" t="n"/>
      <c r="E97" s="33" t="n"/>
      <c r="F97" s="36" t="n"/>
      <c r="G97" s="33" t="n"/>
      <c r="H97" s="20" t="str">
        <f>IF(AND(ISNUMBER(E97),ISNUMBER(F97)),E97*F97,"")</f>
        <v/>
      </c>
      <c r="I97" s="43" t="str">
        <f>IF(ISNUMBER(H97),ROUND(MAX(F97*'参数'!$C$11,'参数'!$C$12)+'参数'!$C$13,2),"")</f>
        <v/>
      </c>
      <c r="J97" s="43" t="str">
        <f>IF(ISNUMBER(H97),IF(D97="卖",ROUND(H97*N('参数'!$C$14)+F97*N('参数'!$C$15),2),0),"")</f>
        <v/>
      </c>
      <c r="K97" s="23" t="n"/>
      <c r="L97" s="20" t="str">
        <f>IF(ISNUMBER(K97),K97,IF(ISNUMBER(H97),I97+J97,""))</f>
        <v/>
      </c>
      <c r="M97" s="48" t="str">
        <f>IF(AND(ISNUMBER(E97),ISNUMBER(G97),ISNUMBER(F97)),(E97-G97)*IF(D97="卖",-1,1)*F97,"")</f>
        <v/>
      </c>
      <c r="N97" s="49" t="str">
        <f>IF(A97="","",IFERROR(T(INDEX('交易记录'!$C$5:$C$304,MATCH(A97,'交易记录'!$A$5:$A$304,0))),"编号没找到"))</f>
        <v/>
      </c>
      <c r="O97" s="31" t="n"/>
    </row>
    <row r="98">
      <c r="A98" s="29" t="n"/>
      <c r="B98" s="30" t="n"/>
      <c r="C98" s="47" t="n"/>
      <c r="D98" s="32" t="n"/>
      <c r="E98" s="33" t="n"/>
      <c r="F98" s="36" t="n"/>
      <c r="G98" s="33" t="n"/>
      <c r="H98" s="20" t="str">
        <f>IF(AND(ISNUMBER(E98),ISNUMBER(F98)),E98*F98,"")</f>
        <v/>
      </c>
      <c r="I98" s="43" t="str">
        <f>IF(ISNUMBER(H98),ROUND(MAX(F98*'参数'!$C$11,'参数'!$C$12)+'参数'!$C$13,2),"")</f>
        <v/>
      </c>
      <c r="J98" s="43" t="str">
        <f>IF(ISNUMBER(H98),IF(D98="卖",ROUND(H98*N('参数'!$C$14)+F98*N('参数'!$C$15),2),0),"")</f>
        <v/>
      </c>
      <c r="K98" s="23" t="n"/>
      <c r="L98" s="20" t="str">
        <f>IF(ISNUMBER(K98),K98,IF(ISNUMBER(H98),I98+J98,""))</f>
        <v/>
      </c>
      <c r="M98" s="48" t="str">
        <f>IF(AND(ISNUMBER(E98),ISNUMBER(G98),ISNUMBER(F98)),(E98-G98)*IF(D98="卖",-1,1)*F98,"")</f>
        <v/>
      </c>
      <c r="N98" s="49" t="str">
        <f>IF(A98="","",IFERROR(T(INDEX('交易记录'!$C$5:$C$304,MATCH(A98,'交易记录'!$A$5:$A$304,0))),"编号没找到"))</f>
        <v/>
      </c>
      <c r="O98" s="31" t="n"/>
    </row>
    <row r="99">
      <c r="A99" s="29" t="n"/>
      <c r="B99" s="30" t="n"/>
      <c r="C99" s="47" t="n"/>
      <c r="D99" s="32" t="n"/>
      <c r="E99" s="33" t="n"/>
      <c r="F99" s="36" t="n"/>
      <c r="G99" s="33" t="n"/>
      <c r="H99" s="20" t="str">
        <f>IF(AND(ISNUMBER(E99),ISNUMBER(F99)),E99*F99,"")</f>
        <v/>
      </c>
      <c r="I99" s="43" t="str">
        <f>IF(ISNUMBER(H99),ROUND(MAX(F99*'参数'!$C$11,'参数'!$C$12)+'参数'!$C$13,2),"")</f>
        <v/>
      </c>
      <c r="J99" s="43" t="str">
        <f>IF(ISNUMBER(H99),IF(D99="卖",ROUND(H99*N('参数'!$C$14)+F99*N('参数'!$C$15),2),0),"")</f>
        <v/>
      </c>
      <c r="K99" s="23" t="n"/>
      <c r="L99" s="20" t="str">
        <f>IF(ISNUMBER(K99),K99,IF(ISNUMBER(H99),I99+J99,""))</f>
        <v/>
      </c>
      <c r="M99" s="48" t="str">
        <f>IF(AND(ISNUMBER(E99),ISNUMBER(G99),ISNUMBER(F99)),(E99-G99)*IF(D99="卖",-1,1)*F99,"")</f>
        <v/>
      </c>
      <c r="N99" s="49" t="str">
        <f>IF(A99="","",IFERROR(T(INDEX('交易记录'!$C$5:$C$304,MATCH(A99,'交易记录'!$A$5:$A$304,0))),"编号没找到"))</f>
        <v/>
      </c>
      <c r="O99" s="31" t="n"/>
    </row>
    <row r="100">
      <c r="A100" s="29" t="n"/>
      <c r="B100" s="30" t="n"/>
      <c r="C100" s="47" t="n"/>
      <c r="D100" s="32" t="n"/>
      <c r="E100" s="33" t="n"/>
      <c r="F100" s="36" t="n"/>
      <c r="G100" s="33" t="n"/>
      <c r="H100" s="20" t="str">
        <f>IF(AND(ISNUMBER(E100),ISNUMBER(F100)),E100*F100,"")</f>
        <v/>
      </c>
      <c r="I100" s="43" t="str">
        <f>IF(ISNUMBER(H100),ROUND(MAX(F100*'参数'!$C$11,'参数'!$C$12)+'参数'!$C$13,2),"")</f>
        <v/>
      </c>
      <c r="J100" s="43" t="str">
        <f>IF(ISNUMBER(H100),IF(D100="卖",ROUND(H100*N('参数'!$C$14)+F100*N('参数'!$C$15),2),0),"")</f>
        <v/>
      </c>
      <c r="K100" s="23" t="n"/>
      <c r="L100" s="20" t="str">
        <f>IF(ISNUMBER(K100),K100,IF(ISNUMBER(H100),I100+J100,""))</f>
        <v/>
      </c>
      <c r="M100" s="48" t="str">
        <f>IF(AND(ISNUMBER(E100),ISNUMBER(G100),ISNUMBER(F100)),(E100-G100)*IF(D100="卖",-1,1)*F100,"")</f>
        <v/>
      </c>
      <c r="N100" s="49" t="str">
        <f>IF(A100="","",IFERROR(T(INDEX('交易记录'!$C$5:$C$304,MATCH(A100,'交易记录'!$A$5:$A$304,0))),"编号没找到"))</f>
        <v/>
      </c>
      <c r="O100" s="31" t="n"/>
    </row>
    <row r="101">
      <c r="A101" s="29" t="n"/>
      <c r="B101" s="30" t="n"/>
      <c r="C101" s="47" t="n"/>
      <c r="D101" s="32" t="n"/>
      <c r="E101" s="33" t="n"/>
      <c r="F101" s="36" t="n"/>
      <c r="G101" s="33" t="n"/>
      <c r="H101" s="20" t="str">
        <f>IF(AND(ISNUMBER(E101),ISNUMBER(F101)),E101*F101,"")</f>
        <v/>
      </c>
      <c r="I101" s="43" t="str">
        <f>IF(ISNUMBER(H101),ROUND(MAX(F101*'参数'!$C$11,'参数'!$C$12)+'参数'!$C$13,2),"")</f>
        <v/>
      </c>
      <c r="J101" s="43" t="str">
        <f>IF(ISNUMBER(H101),IF(D101="卖",ROUND(H101*N('参数'!$C$14)+F101*N('参数'!$C$15),2),0),"")</f>
        <v/>
      </c>
      <c r="K101" s="23" t="n"/>
      <c r="L101" s="20" t="str">
        <f>IF(ISNUMBER(K101),K101,IF(ISNUMBER(H101),I101+J101,""))</f>
        <v/>
      </c>
      <c r="M101" s="48" t="str">
        <f>IF(AND(ISNUMBER(E101),ISNUMBER(G101),ISNUMBER(F101)),(E101-G101)*IF(D101="卖",-1,1)*F101,"")</f>
        <v/>
      </c>
      <c r="N101" s="49" t="str">
        <f>IF(A101="","",IFERROR(T(INDEX('交易记录'!$C$5:$C$304,MATCH(A101,'交易记录'!$A$5:$A$304,0))),"编号没找到"))</f>
        <v/>
      </c>
      <c r="O101" s="31" t="n"/>
    </row>
    <row r="102">
      <c r="A102" s="29" t="n"/>
      <c r="B102" s="30" t="n"/>
      <c r="C102" s="47" t="n"/>
      <c r="D102" s="32" t="n"/>
      <c r="E102" s="33" t="n"/>
      <c r="F102" s="36" t="n"/>
      <c r="G102" s="33" t="n"/>
      <c r="H102" s="20" t="str">
        <f>IF(AND(ISNUMBER(E102),ISNUMBER(F102)),E102*F102,"")</f>
        <v/>
      </c>
      <c r="I102" s="43" t="str">
        <f>IF(ISNUMBER(H102),ROUND(MAX(F102*'参数'!$C$11,'参数'!$C$12)+'参数'!$C$13,2),"")</f>
        <v/>
      </c>
      <c r="J102" s="43" t="str">
        <f>IF(ISNUMBER(H102),IF(D102="卖",ROUND(H102*N('参数'!$C$14)+F102*N('参数'!$C$15),2),0),"")</f>
        <v/>
      </c>
      <c r="K102" s="23" t="n"/>
      <c r="L102" s="20" t="str">
        <f>IF(ISNUMBER(K102),K102,IF(ISNUMBER(H102),I102+J102,""))</f>
        <v/>
      </c>
      <c r="M102" s="48" t="str">
        <f>IF(AND(ISNUMBER(E102),ISNUMBER(G102),ISNUMBER(F102)),(E102-G102)*IF(D102="卖",-1,1)*F102,"")</f>
        <v/>
      </c>
      <c r="N102" s="49" t="str">
        <f>IF(A102="","",IFERROR(T(INDEX('交易记录'!$C$5:$C$304,MATCH(A102,'交易记录'!$A$5:$A$304,0))),"编号没找到"))</f>
        <v/>
      </c>
      <c r="O102" s="31" t="n"/>
    </row>
    <row r="103">
      <c r="A103" s="29" t="n"/>
      <c r="B103" s="30" t="n"/>
      <c r="C103" s="47" t="n"/>
      <c r="D103" s="32" t="n"/>
      <c r="E103" s="33" t="n"/>
      <c r="F103" s="36" t="n"/>
      <c r="G103" s="33" t="n"/>
      <c r="H103" s="20" t="str">
        <f>IF(AND(ISNUMBER(E103),ISNUMBER(F103)),E103*F103,"")</f>
        <v/>
      </c>
      <c r="I103" s="43" t="str">
        <f>IF(ISNUMBER(H103),ROUND(MAX(F103*'参数'!$C$11,'参数'!$C$12)+'参数'!$C$13,2),"")</f>
        <v/>
      </c>
      <c r="J103" s="43" t="str">
        <f>IF(ISNUMBER(H103),IF(D103="卖",ROUND(H103*N('参数'!$C$14)+F103*N('参数'!$C$15),2),0),"")</f>
        <v/>
      </c>
      <c r="K103" s="23" t="n"/>
      <c r="L103" s="20" t="str">
        <f>IF(ISNUMBER(K103),K103,IF(ISNUMBER(H103),I103+J103,""))</f>
        <v/>
      </c>
      <c r="M103" s="48" t="str">
        <f>IF(AND(ISNUMBER(E103),ISNUMBER(G103),ISNUMBER(F103)),(E103-G103)*IF(D103="卖",-1,1)*F103,"")</f>
        <v/>
      </c>
      <c r="N103" s="49" t="str">
        <f>IF(A103="","",IFERROR(T(INDEX('交易记录'!$C$5:$C$304,MATCH(A103,'交易记录'!$A$5:$A$304,0))),"编号没找到"))</f>
        <v/>
      </c>
      <c r="O103" s="31" t="n"/>
    </row>
    <row r="104">
      <c r="A104" s="29" t="n"/>
      <c r="B104" s="30" t="n"/>
      <c r="C104" s="47" t="n"/>
      <c r="D104" s="32" t="n"/>
      <c r="E104" s="33" t="n"/>
      <c r="F104" s="36" t="n"/>
      <c r="G104" s="33" t="n"/>
      <c r="H104" s="20" t="str">
        <f>IF(AND(ISNUMBER(E104),ISNUMBER(F104)),E104*F104,"")</f>
        <v/>
      </c>
      <c r="I104" s="43" t="str">
        <f>IF(ISNUMBER(H104),ROUND(MAX(F104*'参数'!$C$11,'参数'!$C$12)+'参数'!$C$13,2),"")</f>
        <v/>
      </c>
      <c r="J104" s="43" t="str">
        <f>IF(ISNUMBER(H104),IF(D104="卖",ROUND(H104*N('参数'!$C$14)+F104*N('参数'!$C$15),2),0),"")</f>
        <v/>
      </c>
      <c r="K104" s="23" t="n"/>
      <c r="L104" s="20" t="str">
        <f>IF(ISNUMBER(K104),K104,IF(ISNUMBER(H104),I104+J104,""))</f>
        <v/>
      </c>
      <c r="M104" s="48" t="str">
        <f>IF(AND(ISNUMBER(E104),ISNUMBER(G104),ISNUMBER(F104)),(E104-G104)*IF(D104="卖",-1,1)*F104,"")</f>
        <v/>
      </c>
      <c r="N104" s="49" t="str">
        <f>IF(A104="","",IFERROR(T(INDEX('交易记录'!$C$5:$C$304,MATCH(A104,'交易记录'!$A$5:$A$304,0))),"编号没找到"))</f>
        <v/>
      </c>
      <c r="O104" s="31" t="n"/>
    </row>
    <row r="105">
      <c r="A105" s="29" t="n"/>
      <c r="B105" s="30" t="n"/>
      <c r="C105" s="47" t="n"/>
      <c r="D105" s="32" t="n"/>
      <c r="E105" s="33" t="n"/>
      <c r="F105" s="36" t="n"/>
      <c r="G105" s="33" t="n"/>
      <c r="H105" s="20" t="str">
        <f>IF(AND(ISNUMBER(E105),ISNUMBER(F105)),E105*F105,"")</f>
        <v/>
      </c>
      <c r="I105" s="43" t="str">
        <f>IF(ISNUMBER(H105),ROUND(MAX(F105*'参数'!$C$11,'参数'!$C$12)+'参数'!$C$13,2),"")</f>
        <v/>
      </c>
      <c r="J105" s="43" t="str">
        <f>IF(ISNUMBER(H105),IF(D105="卖",ROUND(H105*N('参数'!$C$14)+F105*N('参数'!$C$15),2),0),"")</f>
        <v/>
      </c>
      <c r="K105" s="23" t="n"/>
      <c r="L105" s="20" t="str">
        <f>IF(ISNUMBER(K105),K105,IF(ISNUMBER(H105),I105+J105,""))</f>
        <v/>
      </c>
      <c r="M105" s="48" t="str">
        <f>IF(AND(ISNUMBER(E105),ISNUMBER(G105),ISNUMBER(F105)),(E105-G105)*IF(D105="卖",-1,1)*F105,"")</f>
        <v/>
      </c>
      <c r="N105" s="49" t="str">
        <f>IF(A105="","",IFERROR(T(INDEX('交易记录'!$C$5:$C$304,MATCH(A105,'交易记录'!$A$5:$A$304,0))),"编号没找到"))</f>
        <v/>
      </c>
      <c r="O105" s="31" t="n"/>
    </row>
    <row r="106">
      <c r="A106" s="29" t="n"/>
      <c r="B106" s="30" t="n"/>
      <c r="C106" s="47" t="n"/>
      <c r="D106" s="32" t="n"/>
      <c r="E106" s="33" t="n"/>
      <c r="F106" s="36" t="n"/>
      <c r="G106" s="33" t="n"/>
      <c r="H106" s="20" t="str">
        <f>IF(AND(ISNUMBER(E106),ISNUMBER(F106)),E106*F106,"")</f>
        <v/>
      </c>
      <c r="I106" s="43" t="str">
        <f>IF(ISNUMBER(H106),ROUND(MAX(F106*'参数'!$C$11,'参数'!$C$12)+'参数'!$C$13,2),"")</f>
        <v/>
      </c>
      <c r="J106" s="43" t="str">
        <f>IF(ISNUMBER(H106),IF(D106="卖",ROUND(H106*N('参数'!$C$14)+F106*N('参数'!$C$15),2),0),"")</f>
        <v/>
      </c>
      <c r="K106" s="23" t="n"/>
      <c r="L106" s="20" t="str">
        <f>IF(ISNUMBER(K106),K106,IF(ISNUMBER(H106),I106+J106,""))</f>
        <v/>
      </c>
      <c r="M106" s="48" t="str">
        <f>IF(AND(ISNUMBER(E106),ISNUMBER(G106),ISNUMBER(F106)),(E106-G106)*IF(D106="卖",-1,1)*F106,"")</f>
        <v/>
      </c>
      <c r="N106" s="49" t="str">
        <f>IF(A106="","",IFERROR(T(INDEX('交易记录'!$C$5:$C$304,MATCH(A106,'交易记录'!$A$5:$A$304,0))),"编号没找到"))</f>
        <v/>
      </c>
      <c r="O106" s="31" t="n"/>
    </row>
    <row r="107">
      <c r="A107" s="29" t="n"/>
      <c r="B107" s="30" t="n"/>
      <c r="C107" s="47" t="n"/>
      <c r="D107" s="32" t="n"/>
      <c r="E107" s="33" t="n"/>
      <c r="F107" s="36" t="n"/>
      <c r="G107" s="33" t="n"/>
      <c r="H107" s="20" t="str">
        <f>IF(AND(ISNUMBER(E107),ISNUMBER(F107)),E107*F107,"")</f>
        <v/>
      </c>
      <c r="I107" s="43" t="str">
        <f>IF(ISNUMBER(H107),ROUND(MAX(F107*'参数'!$C$11,'参数'!$C$12)+'参数'!$C$13,2),"")</f>
        <v/>
      </c>
      <c r="J107" s="43" t="str">
        <f>IF(ISNUMBER(H107),IF(D107="卖",ROUND(H107*N('参数'!$C$14)+F107*N('参数'!$C$15),2),0),"")</f>
        <v/>
      </c>
      <c r="K107" s="23" t="n"/>
      <c r="L107" s="20" t="str">
        <f>IF(ISNUMBER(K107),K107,IF(ISNUMBER(H107),I107+J107,""))</f>
        <v/>
      </c>
      <c r="M107" s="48" t="str">
        <f>IF(AND(ISNUMBER(E107),ISNUMBER(G107),ISNUMBER(F107)),(E107-G107)*IF(D107="卖",-1,1)*F107,"")</f>
        <v/>
      </c>
      <c r="N107" s="49" t="str">
        <f>IF(A107="","",IFERROR(T(INDEX('交易记录'!$C$5:$C$304,MATCH(A107,'交易记录'!$A$5:$A$304,0))),"编号没找到"))</f>
        <v/>
      </c>
      <c r="O107" s="31" t="n"/>
    </row>
    <row r="108">
      <c r="A108" s="29" t="n"/>
      <c r="B108" s="30" t="n"/>
      <c r="C108" s="47" t="n"/>
      <c r="D108" s="32" t="n"/>
      <c r="E108" s="33" t="n"/>
      <c r="F108" s="36" t="n"/>
      <c r="G108" s="33" t="n"/>
      <c r="H108" s="20" t="str">
        <f>IF(AND(ISNUMBER(E108),ISNUMBER(F108)),E108*F108,"")</f>
        <v/>
      </c>
      <c r="I108" s="43" t="str">
        <f>IF(ISNUMBER(H108),ROUND(MAX(F108*'参数'!$C$11,'参数'!$C$12)+'参数'!$C$13,2),"")</f>
        <v/>
      </c>
      <c r="J108" s="43" t="str">
        <f>IF(ISNUMBER(H108),IF(D108="卖",ROUND(H108*N('参数'!$C$14)+F108*N('参数'!$C$15),2),0),"")</f>
        <v/>
      </c>
      <c r="K108" s="23" t="n"/>
      <c r="L108" s="20" t="str">
        <f>IF(ISNUMBER(K108),K108,IF(ISNUMBER(H108),I108+J108,""))</f>
        <v/>
      </c>
      <c r="M108" s="48" t="str">
        <f>IF(AND(ISNUMBER(E108),ISNUMBER(G108),ISNUMBER(F108)),(E108-G108)*IF(D108="卖",-1,1)*F108,"")</f>
        <v/>
      </c>
      <c r="N108" s="49" t="str">
        <f>IF(A108="","",IFERROR(T(INDEX('交易记录'!$C$5:$C$304,MATCH(A108,'交易记录'!$A$5:$A$304,0))),"编号没找到"))</f>
        <v/>
      </c>
      <c r="O108" s="31" t="n"/>
    </row>
    <row r="109">
      <c r="A109" s="29" t="n"/>
      <c r="B109" s="30" t="n"/>
      <c r="C109" s="47" t="n"/>
      <c r="D109" s="32" t="n"/>
      <c r="E109" s="33" t="n"/>
      <c r="F109" s="36" t="n"/>
      <c r="G109" s="33" t="n"/>
      <c r="H109" s="20" t="str">
        <f>IF(AND(ISNUMBER(E109),ISNUMBER(F109)),E109*F109,"")</f>
        <v/>
      </c>
      <c r="I109" s="43" t="str">
        <f>IF(ISNUMBER(H109),ROUND(MAX(F109*'参数'!$C$11,'参数'!$C$12)+'参数'!$C$13,2),"")</f>
        <v/>
      </c>
      <c r="J109" s="43" t="str">
        <f>IF(ISNUMBER(H109),IF(D109="卖",ROUND(H109*N('参数'!$C$14)+F109*N('参数'!$C$15),2),0),"")</f>
        <v/>
      </c>
      <c r="K109" s="23" t="n"/>
      <c r="L109" s="20" t="str">
        <f>IF(ISNUMBER(K109),K109,IF(ISNUMBER(H109),I109+J109,""))</f>
        <v/>
      </c>
      <c r="M109" s="48" t="str">
        <f>IF(AND(ISNUMBER(E109),ISNUMBER(G109),ISNUMBER(F109)),(E109-G109)*IF(D109="卖",-1,1)*F109,"")</f>
        <v/>
      </c>
      <c r="N109" s="49" t="str">
        <f>IF(A109="","",IFERROR(T(INDEX('交易记录'!$C$5:$C$304,MATCH(A109,'交易记录'!$A$5:$A$304,0))),"编号没找到"))</f>
        <v/>
      </c>
      <c r="O109" s="31" t="n"/>
    </row>
    <row r="110">
      <c r="A110" s="29" t="n"/>
      <c r="B110" s="30" t="n"/>
      <c r="C110" s="47" t="n"/>
      <c r="D110" s="32" t="n"/>
      <c r="E110" s="33" t="n"/>
      <c r="F110" s="36" t="n"/>
      <c r="G110" s="33" t="n"/>
      <c r="H110" s="20" t="str">
        <f>IF(AND(ISNUMBER(E110),ISNUMBER(F110)),E110*F110,"")</f>
        <v/>
      </c>
      <c r="I110" s="43" t="str">
        <f>IF(ISNUMBER(H110),ROUND(MAX(F110*'参数'!$C$11,'参数'!$C$12)+'参数'!$C$13,2),"")</f>
        <v/>
      </c>
      <c r="J110" s="43" t="str">
        <f>IF(ISNUMBER(H110),IF(D110="卖",ROUND(H110*N('参数'!$C$14)+F110*N('参数'!$C$15),2),0),"")</f>
        <v/>
      </c>
      <c r="K110" s="23" t="n"/>
      <c r="L110" s="20" t="str">
        <f>IF(ISNUMBER(K110),K110,IF(ISNUMBER(H110),I110+J110,""))</f>
        <v/>
      </c>
      <c r="M110" s="48" t="str">
        <f>IF(AND(ISNUMBER(E110),ISNUMBER(G110),ISNUMBER(F110)),(E110-G110)*IF(D110="卖",-1,1)*F110,"")</f>
        <v/>
      </c>
      <c r="N110" s="49" t="str">
        <f>IF(A110="","",IFERROR(T(INDEX('交易记录'!$C$5:$C$304,MATCH(A110,'交易记录'!$A$5:$A$304,0))),"编号没找到"))</f>
        <v/>
      </c>
      <c r="O110" s="31" t="n"/>
    </row>
    <row r="111">
      <c r="A111" s="29" t="n"/>
      <c r="B111" s="30" t="n"/>
      <c r="C111" s="47" t="n"/>
      <c r="D111" s="32" t="n"/>
      <c r="E111" s="33" t="n"/>
      <c r="F111" s="36" t="n"/>
      <c r="G111" s="33" t="n"/>
      <c r="H111" s="20" t="str">
        <f>IF(AND(ISNUMBER(E111),ISNUMBER(F111)),E111*F111,"")</f>
        <v/>
      </c>
      <c r="I111" s="43" t="str">
        <f>IF(ISNUMBER(H111),ROUND(MAX(F111*'参数'!$C$11,'参数'!$C$12)+'参数'!$C$13,2),"")</f>
        <v/>
      </c>
      <c r="J111" s="43" t="str">
        <f>IF(ISNUMBER(H111),IF(D111="卖",ROUND(H111*N('参数'!$C$14)+F111*N('参数'!$C$15),2),0),"")</f>
        <v/>
      </c>
      <c r="K111" s="23" t="n"/>
      <c r="L111" s="20" t="str">
        <f>IF(ISNUMBER(K111),K111,IF(ISNUMBER(H111),I111+J111,""))</f>
        <v/>
      </c>
      <c r="M111" s="48" t="str">
        <f>IF(AND(ISNUMBER(E111),ISNUMBER(G111),ISNUMBER(F111)),(E111-G111)*IF(D111="卖",-1,1)*F111,"")</f>
        <v/>
      </c>
      <c r="N111" s="49" t="str">
        <f>IF(A111="","",IFERROR(T(INDEX('交易记录'!$C$5:$C$304,MATCH(A111,'交易记录'!$A$5:$A$304,0))),"编号没找到"))</f>
        <v/>
      </c>
      <c r="O111" s="31" t="n"/>
    </row>
    <row r="112">
      <c r="A112" s="29" t="n"/>
      <c r="B112" s="30" t="n"/>
      <c r="C112" s="47" t="n"/>
      <c r="D112" s="32" t="n"/>
      <c r="E112" s="33" t="n"/>
      <c r="F112" s="36" t="n"/>
      <c r="G112" s="33" t="n"/>
      <c r="H112" s="20" t="str">
        <f>IF(AND(ISNUMBER(E112),ISNUMBER(F112)),E112*F112,"")</f>
        <v/>
      </c>
      <c r="I112" s="43" t="str">
        <f>IF(ISNUMBER(H112),ROUND(MAX(F112*'参数'!$C$11,'参数'!$C$12)+'参数'!$C$13,2),"")</f>
        <v/>
      </c>
      <c r="J112" s="43" t="str">
        <f>IF(ISNUMBER(H112),IF(D112="卖",ROUND(H112*N('参数'!$C$14)+F112*N('参数'!$C$15),2),0),"")</f>
        <v/>
      </c>
      <c r="K112" s="23" t="n"/>
      <c r="L112" s="20" t="str">
        <f>IF(ISNUMBER(K112),K112,IF(ISNUMBER(H112),I112+J112,""))</f>
        <v/>
      </c>
      <c r="M112" s="48" t="str">
        <f>IF(AND(ISNUMBER(E112),ISNUMBER(G112),ISNUMBER(F112)),(E112-G112)*IF(D112="卖",-1,1)*F112,"")</f>
        <v/>
      </c>
      <c r="N112" s="49" t="str">
        <f>IF(A112="","",IFERROR(T(INDEX('交易记录'!$C$5:$C$304,MATCH(A112,'交易记录'!$A$5:$A$304,0))),"编号没找到"))</f>
        <v/>
      </c>
      <c r="O112" s="31" t="n"/>
    </row>
    <row r="113">
      <c r="A113" s="29" t="n"/>
      <c r="B113" s="30" t="n"/>
      <c r="C113" s="47" t="n"/>
      <c r="D113" s="32" t="n"/>
      <c r="E113" s="33" t="n"/>
      <c r="F113" s="36" t="n"/>
      <c r="G113" s="33" t="n"/>
      <c r="H113" s="20" t="str">
        <f>IF(AND(ISNUMBER(E113),ISNUMBER(F113)),E113*F113,"")</f>
        <v/>
      </c>
      <c r="I113" s="43" t="str">
        <f>IF(ISNUMBER(H113),ROUND(MAX(F113*'参数'!$C$11,'参数'!$C$12)+'参数'!$C$13,2),"")</f>
        <v/>
      </c>
      <c r="J113" s="43" t="str">
        <f>IF(ISNUMBER(H113),IF(D113="卖",ROUND(H113*N('参数'!$C$14)+F113*N('参数'!$C$15),2),0),"")</f>
        <v/>
      </c>
      <c r="K113" s="23" t="n"/>
      <c r="L113" s="20" t="str">
        <f>IF(ISNUMBER(K113),K113,IF(ISNUMBER(H113),I113+J113,""))</f>
        <v/>
      </c>
      <c r="M113" s="48" t="str">
        <f>IF(AND(ISNUMBER(E113),ISNUMBER(G113),ISNUMBER(F113)),(E113-G113)*IF(D113="卖",-1,1)*F113,"")</f>
        <v/>
      </c>
      <c r="N113" s="49" t="str">
        <f>IF(A113="","",IFERROR(T(INDEX('交易记录'!$C$5:$C$304,MATCH(A113,'交易记录'!$A$5:$A$304,0))),"编号没找到"))</f>
        <v/>
      </c>
      <c r="O113" s="31" t="n"/>
    </row>
    <row r="114">
      <c r="A114" s="29" t="n"/>
      <c r="B114" s="30" t="n"/>
      <c r="C114" s="47" t="n"/>
      <c r="D114" s="32" t="n"/>
      <c r="E114" s="33" t="n"/>
      <c r="F114" s="36" t="n"/>
      <c r="G114" s="33" t="n"/>
      <c r="H114" s="20" t="str">
        <f>IF(AND(ISNUMBER(E114),ISNUMBER(F114)),E114*F114,"")</f>
        <v/>
      </c>
      <c r="I114" s="43" t="str">
        <f>IF(ISNUMBER(H114),ROUND(MAX(F114*'参数'!$C$11,'参数'!$C$12)+'参数'!$C$13,2),"")</f>
        <v/>
      </c>
      <c r="J114" s="43" t="str">
        <f>IF(ISNUMBER(H114),IF(D114="卖",ROUND(H114*N('参数'!$C$14)+F114*N('参数'!$C$15),2),0),"")</f>
        <v/>
      </c>
      <c r="K114" s="23" t="n"/>
      <c r="L114" s="20" t="str">
        <f>IF(ISNUMBER(K114),K114,IF(ISNUMBER(H114),I114+J114,""))</f>
        <v/>
      </c>
      <c r="M114" s="48" t="str">
        <f>IF(AND(ISNUMBER(E114),ISNUMBER(G114),ISNUMBER(F114)),(E114-G114)*IF(D114="卖",-1,1)*F114,"")</f>
        <v/>
      </c>
      <c r="N114" s="49" t="str">
        <f>IF(A114="","",IFERROR(T(INDEX('交易记录'!$C$5:$C$304,MATCH(A114,'交易记录'!$A$5:$A$304,0))),"编号没找到"))</f>
        <v/>
      </c>
      <c r="O114" s="31" t="n"/>
    </row>
    <row r="115">
      <c r="A115" s="29" t="n"/>
      <c r="B115" s="30" t="n"/>
      <c r="C115" s="47" t="n"/>
      <c r="D115" s="32" t="n"/>
      <c r="E115" s="33" t="n"/>
      <c r="F115" s="36" t="n"/>
      <c r="G115" s="33" t="n"/>
      <c r="H115" s="20" t="str">
        <f>IF(AND(ISNUMBER(E115),ISNUMBER(F115)),E115*F115,"")</f>
        <v/>
      </c>
      <c r="I115" s="43" t="str">
        <f>IF(ISNUMBER(H115),ROUND(MAX(F115*'参数'!$C$11,'参数'!$C$12)+'参数'!$C$13,2),"")</f>
        <v/>
      </c>
      <c r="J115" s="43" t="str">
        <f>IF(ISNUMBER(H115),IF(D115="卖",ROUND(H115*N('参数'!$C$14)+F115*N('参数'!$C$15),2),0),"")</f>
        <v/>
      </c>
      <c r="K115" s="23" t="n"/>
      <c r="L115" s="20" t="str">
        <f>IF(ISNUMBER(K115),K115,IF(ISNUMBER(H115),I115+J115,""))</f>
        <v/>
      </c>
      <c r="M115" s="48" t="str">
        <f>IF(AND(ISNUMBER(E115),ISNUMBER(G115),ISNUMBER(F115)),(E115-G115)*IF(D115="卖",-1,1)*F115,"")</f>
        <v/>
      </c>
      <c r="N115" s="49" t="str">
        <f>IF(A115="","",IFERROR(T(INDEX('交易记录'!$C$5:$C$304,MATCH(A115,'交易记录'!$A$5:$A$304,0))),"编号没找到"))</f>
        <v/>
      </c>
      <c r="O115" s="31" t="n"/>
    </row>
    <row r="116">
      <c r="A116" s="29" t="n"/>
      <c r="B116" s="30" t="n"/>
      <c r="C116" s="47" t="n"/>
      <c r="D116" s="32" t="n"/>
      <c r="E116" s="33" t="n"/>
      <c r="F116" s="36" t="n"/>
      <c r="G116" s="33" t="n"/>
      <c r="H116" s="20" t="str">
        <f>IF(AND(ISNUMBER(E116),ISNUMBER(F116)),E116*F116,"")</f>
        <v/>
      </c>
      <c r="I116" s="43" t="str">
        <f>IF(ISNUMBER(H116),ROUND(MAX(F116*'参数'!$C$11,'参数'!$C$12)+'参数'!$C$13,2),"")</f>
        <v/>
      </c>
      <c r="J116" s="43" t="str">
        <f>IF(ISNUMBER(H116),IF(D116="卖",ROUND(H116*N('参数'!$C$14)+F116*N('参数'!$C$15),2),0),"")</f>
        <v/>
      </c>
      <c r="K116" s="23" t="n"/>
      <c r="L116" s="20" t="str">
        <f>IF(ISNUMBER(K116),K116,IF(ISNUMBER(H116),I116+J116,""))</f>
        <v/>
      </c>
      <c r="M116" s="48" t="str">
        <f>IF(AND(ISNUMBER(E116),ISNUMBER(G116),ISNUMBER(F116)),(E116-G116)*IF(D116="卖",-1,1)*F116,"")</f>
        <v/>
      </c>
      <c r="N116" s="49" t="str">
        <f>IF(A116="","",IFERROR(T(INDEX('交易记录'!$C$5:$C$304,MATCH(A116,'交易记录'!$A$5:$A$304,0))),"编号没找到"))</f>
        <v/>
      </c>
      <c r="O116" s="31" t="n"/>
    </row>
    <row r="117">
      <c r="A117" s="29" t="n"/>
      <c r="B117" s="30" t="n"/>
      <c r="C117" s="47" t="n"/>
      <c r="D117" s="32" t="n"/>
      <c r="E117" s="33" t="n"/>
      <c r="F117" s="36" t="n"/>
      <c r="G117" s="33" t="n"/>
      <c r="H117" s="20" t="str">
        <f>IF(AND(ISNUMBER(E117),ISNUMBER(F117)),E117*F117,"")</f>
        <v/>
      </c>
      <c r="I117" s="43" t="str">
        <f>IF(ISNUMBER(H117),ROUND(MAX(F117*'参数'!$C$11,'参数'!$C$12)+'参数'!$C$13,2),"")</f>
        <v/>
      </c>
      <c r="J117" s="43" t="str">
        <f>IF(ISNUMBER(H117),IF(D117="卖",ROUND(H117*N('参数'!$C$14)+F117*N('参数'!$C$15),2),0),"")</f>
        <v/>
      </c>
      <c r="K117" s="23" t="n"/>
      <c r="L117" s="20" t="str">
        <f>IF(ISNUMBER(K117),K117,IF(ISNUMBER(H117),I117+J117,""))</f>
        <v/>
      </c>
      <c r="M117" s="48" t="str">
        <f>IF(AND(ISNUMBER(E117),ISNUMBER(G117),ISNUMBER(F117)),(E117-G117)*IF(D117="卖",-1,1)*F117,"")</f>
        <v/>
      </c>
      <c r="N117" s="49" t="str">
        <f>IF(A117="","",IFERROR(T(INDEX('交易记录'!$C$5:$C$304,MATCH(A117,'交易记录'!$A$5:$A$304,0))),"编号没找到"))</f>
        <v/>
      </c>
      <c r="O117" s="31" t="n"/>
    </row>
    <row r="118">
      <c r="A118" s="29" t="n"/>
      <c r="B118" s="30" t="n"/>
      <c r="C118" s="47" t="n"/>
      <c r="D118" s="32" t="n"/>
      <c r="E118" s="33" t="n"/>
      <c r="F118" s="36" t="n"/>
      <c r="G118" s="33" t="n"/>
      <c r="H118" s="20" t="str">
        <f>IF(AND(ISNUMBER(E118),ISNUMBER(F118)),E118*F118,"")</f>
        <v/>
      </c>
      <c r="I118" s="43" t="str">
        <f>IF(ISNUMBER(H118),ROUND(MAX(F118*'参数'!$C$11,'参数'!$C$12)+'参数'!$C$13,2),"")</f>
        <v/>
      </c>
      <c r="J118" s="43" t="str">
        <f>IF(ISNUMBER(H118),IF(D118="卖",ROUND(H118*N('参数'!$C$14)+F118*N('参数'!$C$15),2),0),"")</f>
        <v/>
      </c>
      <c r="K118" s="23" t="n"/>
      <c r="L118" s="20" t="str">
        <f>IF(ISNUMBER(K118),K118,IF(ISNUMBER(H118),I118+J118,""))</f>
        <v/>
      </c>
      <c r="M118" s="48" t="str">
        <f>IF(AND(ISNUMBER(E118),ISNUMBER(G118),ISNUMBER(F118)),(E118-G118)*IF(D118="卖",-1,1)*F118,"")</f>
        <v/>
      </c>
      <c r="N118" s="49" t="str">
        <f>IF(A118="","",IFERROR(T(INDEX('交易记录'!$C$5:$C$304,MATCH(A118,'交易记录'!$A$5:$A$304,0))),"编号没找到"))</f>
        <v/>
      </c>
      <c r="O118" s="31" t="n"/>
    </row>
    <row r="119">
      <c r="A119" s="29" t="n"/>
      <c r="B119" s="30" t="n"/>
      <c r="C119" s="47" t="n"/>
      <c r="D119" s="32" t="n"/>
      <c r="E119" s="33" t="n"/>
      <c r="F119" s="36" t="n"/>
      <c r="G119" s="33" t="n"/>
      <c r="H119" s="20" t="str">
        <f>IF(AND(ISNUMBER(E119),ISNUMBER(F119)),E119*F119,"")</f>
        <v/>
      </c>
      <c r="I119" s="43" t="str">
        <f>IF(ISNUMBER(H119),ROUND(MAX(F119*'参数'!$C$11,'参数'!$C$12)+'参数'!$C$13,2),"")</f>
        <v/>
      </c>
      <c r="J119" s="43" t="str">
        <f>IF(ISNUMBER(H119),IF(D119="卖",ROUND(H119*N('参数'!$C$14)+F119*N('参数'!$C$15),2),0),"")</f>
        <v/>
      </c>
      <c r="K119" s="23" t="n"/>
      <c r="L119" s="20" t="str">
        <f>IF(ISNUMBER(K119),K119,IF(ISNUMBER(H119),I119+J119,""))</f>
        <v/>
      </c>
      <c r="M119" s="48" t="str">
        <f>IF(AND(ISNUMBER(E119),ISNUMBER(G119),ISNUMBER(F119)),(E119-G119)*IF(D119="卖",-1,1)*F119,"")</f>
        <v/>
      </c>
      <c r="N119" s="49" t="str">
        <f>IF(A119="","",IFERROR(T(INDEX('交易记录'!$C$5:$C$304,MATCH(A119,'交易记录'!$A$5:$A$304,0))),"编号没找到"))</f>
        <v/>
      </c>
      <c r="O119" s="31" t="n"/>
    </row>
    <row r="120">
      <c r="A120" s="29" t="n"/>
      <c r="B120" s="30" t="n"/>
      <c r="C120" s="47" t="n"/>
      <c r="D120" s="32" t="n"/>
      <c r="E120" s="33" t="n"/>
      <c r="F120" s="36" t="n"/>
      <c r="G120" s="33" t="n"/>
      <c r="H120" s="20" t="str">
        <f>IF(AND(ISNUMBER(E120),ISNUMBER(F120)),E120*F120,"")</f>
        <v/>
      </c>
      <c r="I120" s="43" t="str">
        <f>IF(ISNUMBER(H120),ROUND(MAX(F120*'参数'!$C$11,'参数'!$C$12)+'参数'!$C$13,2),"")</f>
        <v/>
      </c>
      <c r="J120" s="43" t="str">
        <f>IF(ISNUMBER(H120),IF(D120="卖",ROUND(H120*N('参数'!$C$14)+F120*N('参数'!$C$15),2),0),"")</f>
        <v/>
      </c>
      <c r="K120" s="23" t="n"/>
      <c r="L120" s="20" t="str">
        <f>IF(ISNUMBER(K120),K120,IF(ISNUMBER(H120),I120+J120,""))</f>
        <v/>
      </c>
      <c r="M120" s="48" t="str">
        <f>IF(AND(ISNUMBER(E120),ISNUMBER(G120),ISNUMBER(F120)),(E120-G120)*IF(D120="卖",-1,1)*F120,"")</f>
        <v/>
      </c>
      <c r="N120" s="49" t="str">
        <f>IF(A120="","",IFERROR(T(INDEX('交易记录'!$C$5:$C$304,MATCH(A120,'交易记录'!$A$5:$A$304,0))),"编号没找到"))</f>
        <v/>
      </c>
      <c r="O120" s="31" t="n"/>
    </row>
    <row r="121">
      <c r="A121" s="29" t="n"/>
      <c r="B121" s="30" t="n"/>
      <c r="C121" s="47" t="n"/>
      <c r="D121" s="32" t="n"/>
      <c r="E121" s="33" t="n"/>
      <c r="F121" s="36" t="n"/>
      <c r="G121" s="33" t="n"/>
      <c r="H121" s="20" t="str">
        <f>IF(AND(ISNUMBER(E121),ISNUMBER(F121)),E121*F121,"")</f>
        <v/>
      </c>
      <c r="I121" s="43" t="str">
        <f>IF(ISNUMBER(H121),ROUND(MAX(F121*'参数'!$C$11,'参数'!$C$12)+'参数'!$C$13,2),"")</f>
        <v/>
      </c>
      <c r="J121" s="43" t="str">
        <f>IF(ISNUMBER(H121),IF(D121="卖",ROUND(H121*N('参数'!$C$14)+F121*N('参数'!$C$15),2),0),"")</f>
        <v/>
      </c>
      <c r="K121" s="23" t="n"/>
      <c r="L121" s="20" t="str">
        <f>IF(ISNUMBER(K121),K121,IF(ISNUMBER(H121),I121+J121,""))</f>
        <v/>
      </c>
      <c r="M121" s="48" t="str">
        <f>IF(AND(ISNUMBER(E121),ISNUMBER(G121),ISNUMBER(F121)),(E121-G121)*IF(D121="卖",-1,1)*F121,"")</f>
        <v/>
      </c>
      <c r="N121" s="49" t="str">
        <f>IF(A121="","",IFERROR(T(INDEX('交易记录'!$C$5:$C$304,MATCH(A121,'交易记录'!$A$5:$A$304,0))),"编号没找到"))</f>
        <v/>
      </c>
      <c r="O121" s="31" t="n"/>
    </row>
    <row r="122">
      <c r="A122" s="29" t="n"/>
      <c r="B122" s="30" t="n"/>
      <c r="C122" s="47" t="n"/>
      <c r="D122" s="32" t="n"/>
      <c r="E122" s="33" t="n"/>
      <c r="F122" s="36" t="n"/>
      <c r="G122" s="33" t="n"/>
      <c r="H122" s="20" t="str">
        <f>IF(AND(ISNUMBER(E122),ISNUMBER(F122)),E122*F122,"")</f>
        <v/>
      </c>
      <c r="I122" s="43" t="str">
        <f>IF(ISNUMBER(H122),ROUND(MAX(F122*'参数'!$C$11,'参数'!$C$12)+'参数'!$C$13,2),"")</f>
        <v/>
      </c>
      <c r="J122" s="43" t="str">
        <f>IF(ISNUMBER(H122),IF(D122="卖",ROUND(H122*N('参数'!$C$14)+F122*N('参数'!$C$15),2),0),"")</f>
        <v/>
      </c>
      <c r="K122" s="23" t="n"/>
      <c r="L122" s="20" t="str">
        <f>IF(ISNUMBER(K122),K122,IF(ISNUMBER(H122),I122+J122,""))</f>
        <v/>
      </c>
      <c r="M122" s="48" t="str">
        <f>IF(AND(ISNUMBER(E122),ISNUMBER(G122),ISNUMBER(F122)),(E122-G122)*IF(D122="卖",-1,1)*F122,"")</f>
        <v/>
      </c>
      <c r="N122" s="49" t="str">
        <f>IF(A122="","",IFERROR(T(INDEX('交易记录'!$C$5:$C$304,MATCH(A122,'交易记录'!$A$5:$A$304,0))),"编号没找到"))</f>
        <v/>
      </c>
      <c r="O122" s="31" t="n"/>
    </row>
    <row r="123">
      <c r="A123" s="29" t="n"/>
      <c r="B123" s="30" t="n"/>
      <c r="C123" s="47" t="n"/>
      <c r="D123" s="32" t="n"/>
      <c r="E123" s="33" t="n"/>
      <c r="F123" s="36" t="n"/>
      <c r="G123" s="33" t="n"/>
      <c r="H123" s="20" t="str">
        <f>IF(AND(ISNUMBER(E123),ISNUMBER(F123)),E123*F123,"")</f>
        <v/>
      </c>
      <c r="I123" s="43" t="str">
        <f>IF(ISNUMBER(H123),ROUND(MAX(F123*'参数'!$C$11,'参数'!$C$12)+'参数'!$C$13,2),"")</f>
        <v/>
      </c>
      <c r="J123" s="43" t="str">
        <f>IF(ISNUMBER(H123),IF(D123="卖",ROUND(H123*N('参数'!$C$14)+F123*N('参数'!$C$15),2),0),"")</f>
        <v/>
      </c>
      <c r="K123" s="23" t="n"/>
      <c r="L123" s="20" t="str">
        <f>IF(ISNUMBER(K123),K123,IF(ISNUMBER(H123),I123+J123,""))</f>
        <v/>
      </c>
      <c r="M123" s="48" t="str">
        <f>IF(AND(ISNUMBER(E123),ISNUMBER(G123),ISNUMBER(F123)),(E123-G123)*IF(D123="卖",-1,1)*F123,"")</f>
        <v/>
      </c>
      <c r="N123" s="49" t="str">
        <f>IF(A123="","",IFERROR(T(INDEX('交易记录'!$C$5:$C$304,MATCH(A123,'交易记录'!$A$5:$A$304,0))),"编号没找到"))</f>
        <v/>
      </c>
      <c r="O123" s="31" t="n"/>
    </row>
    <row r="124">
      <c r="A124" s="29" t="n"/>
      <c r="B124" s="30" t="n"/>
      <c r="C124" s="47" t="n"/>
      <c r="D124" s="32" t="n"/>
      <c r="E124" s="33" t="n"/>
      <c r="F124" s="36" t="n"/>
      <c r="G124" s="33" t="n"/>
      <c r="H124" s="20" t="str">
        <f>IF(AND(ISNUMBER(E124),ISNUMBER(F124)),E124*F124,"")</f>
        <v/>
      </c>
      <c r="I124" s="43" t="str">
        <f>IF(ISNUMBER(H124),ROUND(MAX(F124*'参数'!$C$11,'参数'!$C$12)+'参数'!$C$13,2),"")</f>
        <v/>
      </c>
      <c r="J124" s="43" t="str">
        <f>IF(ISNUMBER(H124),IF(D124="卖",ROUND(H124*N('参数'!$C$14)+F124*N('参数'!$C$15),2),0),"")</f>
        <v/>
      </c>
      <c r="K124" s="23" t="n"/>
      <c r="L124" s="20" t="str">
        <f>IF(ISNUMBER(K124),K124,IF(ISNUMBER(H124),I124+J124,""))</f>
        <v/>
      </c>
      <c r="M124" s="48" t="str">
        <f>IF(AND(ISNUMBER(E124),ISNUMBER(G124),ISNUMBER(F124)),(E124-G124)*IF(D124="卖",-1,1)*F124,"")</f>
        <v/>
      </c>
      <c r="N124" s="49" t="str">
        <f>IF(A124="","",IFERROR(T(INDEX('交易记录'!$C$5:$C$304,MATCH(A124,'交易记录'!$A$5:$A$304,0))),"编号没找到"))</f>
        <v/>
      </c>
      <c r="O124" s="31" t="n"/>
    </row>
    <row r="125">
      <c r="A125" s="29" t="n"/>
      <c r="B125" s="30" t="n"/>
      <c r="C125" s="47" t="n"/>
      <c r="D125" s="32" t="n"/>
      <c r="E125" s="33" t="n"/>
      <c r="F125" s="36" t="n"/>
      <c r="G125" s="33" t="n"/>
      <c r="H125" s="20" t="str">
        <f>IF(AND(ISNUMBER(E125),ISNUMBER(F125)),E125*F125,"")</f>
        <v/>
      </c>
      <c r="I125" s="43" t="str">
        <f>IF(ISNUMBER(H125),ROUND(MAX(F125*'参数'!$C$11,'参数'!$C$12)+'参数'!$C$13,2),"")</f>
        <v/>
      </c>
      <c r="J125" s="43" t="str">
        <f>IF(ISNUMBER(H125),IF(D125="卖",ROUND(H125*N('参数'!$C$14)+F125*N('参数'!$C$15),2),0),"")</f>
        <v/>
      </c>
      <c r="K125" s="23" t="n"/>
      <c r="L125" s="20" t="str">
        <f>IF(ISNUMBER(K125),K125,IF(ISNUMBER(H125),I125+J125,""))</f>
        <v/>
      </c>
      <c r="M125" s="48" t="str">
        <f>IF(AND(ISNUMBER(E125),ISNUMBER(G125),ISNUMBER(F125)),(E125-G125)*IF(D125="卖",-1,1)*F125,"")</f>
        <v/>
      </c>
      <c r="N125" s="49" t="str">
        <f>IF(A125="","",IFERROR(T(INDEX('交易记录'!$C$5:$C$304,MATCH(A125,'交易记录'!$A$5:$A$304,0))),"编号没找到"))</f>
        <v/>
      </c>
      <c r="O125" s="31" t="n"/>
    </row>
    <row r="126">
      <c r="A126" s="29" t="n"/>
      <c r="B126" s="30" t="n"/>
      <c r="C126" s="47" t="n"/>
      <c r="D126" s="32" t="n"/>
      <c r="E126" s="33" t="n"/>
      <c r="F126" s="36" t="n"/>
      <c r="G126" s="33" t="n"/>
      <c r="H126" s="20" t="str">
        <f>IF(AND(ISNUMBER(E126),ISNUMBER(F126)),E126*F126,"")</f>
        <v/>
      </c>
      <c r="I126" s="43" t="str">
        <f>IF(ISNUMBER(H126),ROUND(MAX(F126*'参数'!$C$11,'参数'!$C$12)+'参数'!$C$13,2),"")</f>
        <v/>
      </c>
      <c r="J126" s="43" t="str">
        <f>IF(ISNUMBER(H126),IF(D126="卖",ROUND(H126*N('参数'!$C$14)+F126*N('参数'!$C$15),2),0),"")</f>
        <v/>
      </c>
      <c r="K126" s="23" t="n"/>
      <c r="L126" s="20" t="str">
        <f>IF(ISNUMBER(K126),K126,IF(ISNUMBER(H126),I126+J126,""))</f>
        <v/>
      </c>
      <c r="M126" s="48" t="str">
        <f>IF(AND(ISNUMBER(E126),ISNUMBER(G126),ISNUMBER(F126)),(E126-G126)*IF(D126="卖",-1,1)*F126,"")</f>
        <v/>
      </c>
      <c r="N126" s="49" t="str">
        <f>IF(A126="","",IFERROR(T(INDEX('交易记录'!$C$5:$C$304,MATCH(A126,'交易记录'!$A$5:$A$304,0))),"编号没找到"))</f>
        <v/>
      </c>
      <c r="O126" s="31" t="n"/>
    </row>
    <row r="127">
      <c r="A127" s="29" t="n"/>
      <c r="B127" s="30" t="n"/>
      <c r="C127" s="47" t="n"/>
      <c r="D127" s="32" t="n"/>
      <c r="E127" s="33" t="n"/>
      <c r="F127" s="36" t="n"/>
      <c r="G127" s="33" t="n"/>
      <c r="H127" s="20" t="str">
        <f>IF(AND(ISNUMBER(E127),ISNUMBER(F127)),E127*F127,"")</f>
        <v/>
      </c>
      <c r="I127" s="43" t="str">
        <f>IF(ISNUMBER(H127),ROUND(MAX(F127*'参数'!$C$11,'参数'!$C$12)+'参数'!$C$13,2),"")</f>
        <v/>
      </c>
      <c r="J127" s="43" t="str">
        <f>IF(ISNUMBER(H127),IF(D127="卖",ROUND(H127*N('参数'!$C$14)+F127*N('参数'!$C$15),2),0),"")</f>
        <v/>
      </c>
      <c r="K127" s="23" t="n"/>
      <c r="L127" s="20" t="str">
        <f>IF(ISNUMBER(K127),K127,IF(ISNUMBER(H127),I127+J127,""))</f>
        <v/>
      </c>
      <c r="M127" s="48" t="str">
        <f>IF(AND(ISNUMBER(E127),ISNUMBER(G127),ISNUMBER(F127)),(E127-G127)*IF(D127="卖",-1,1)*F127,"")</f>
        <v/>
      </c>
      <c r="N127" s="49" t="str">
        <f>IF(A127="","",IFERROR(T(INDEX('交易记录'!$C$5:$C$304,MATCH(A127,'交易记录'!$A$5:$A$304,0))),"编号没找到"))</f>
        <v/>
      </c>
      <c r="O127" s="31" t="n"/>
    </row>
    <row r="128">
      <c r="A128" s="29" t="n"/>
      <c r="B128" s="30" t="n"/>
      <c r="C128" s="47" t="n"/>
      <c r="D128" s="32" t="n"/>
      <c r="E128" s="33" t="n"/>
      <c r="F128" s="36" t="n"/>
      <c r="G128" s="33" t="n"/>
      <c r="H128" s="20" t="str">
        <f>IF(AND(ISNUMBER(E128),ISNUMBER(F128)),E128*F128,"")</f>
        <v/>
      </c>
      <c r="I128" s="43" t="str">
        <f>IF(ISNUMBER(H128),ROUND(MAX(F128*'参数'!$C$11,'参数'!$C$12)+'参数'!$C$13,2),"")</f>
        <v/>
      </c>
      <c r="J128" s="43" t="str">
        <f>IF(ISNUMBER(H128),IF(D128="卖",ROUND(H128*N('参数'!$C$14)+F128*N('参数'!$C$15),2),0),"")</f>
        <v/>
      </c>
      <c r="K128" s="23" t="n"/>
      <c r="L128" s="20" t="str">
        <f>IF(ISNUMBER(K128),K128,IF(ISNUMBER(H128),I128+J128,""))</f>
        <v/>
      </c>
      <c r="M128" s="48" t="str">
        <f>IF(AND(ISNUMBER(E128),ISNUMBER(G128),ISNUMBER(F128)),(E128-G128)*IF(D128="卖",-1,1)*F128,"")</f>
        <v/>
      </c>
      <c r="N128" s="49" t="str">
        <f>IF(A128="","",IFERROR(T(INDEX('交易记录'!$C$5:$C$304,MATCH(A128,'交易记录'!$A$5:$A$304,0))),"编号没找到"))</f>
        <v/>
      </c>
      <c r="O128" s="31" t="n"/>
    </row>
    <row r="129">
      <c r="A129" s="29" t="n"/>
      <c r="B129" s="30" t="n"/>
      <c r="C129" s="47" t="n"/>
      <c r="D129" s="32" t="n"/>
      <c r="E129" s="33" t="n"/>
      <c r="F129" s="36" t="n"/>
      <c r="G129" s="33" t="n"/>
      <c r="H129" s="20" t="str">
        <f>IF(AND(ISNUMBER(E129),ISNUMBER(F129)),E129*F129,"")</f>
        <v/>
      </c>
      <c r="I129" s="43" t="str">
        <f>IF(ISNUMBER(H129),ROUND(MAX(F129*'参数'!$C$11,'参数'!$C$12)+'参数'!$C$13,2),"")</f>
        <v/>
      </c>
      <c r="J129" s="43" t="str">
        <f>IF(ISNUMBER(H129),IF(D129="卖",ROUND(H129*N('参数'!$C$14)+F129*N('参数'!$C$15),2),0),"")</f>
        <v/>
      </c>
      <c r="K129" s="23" t="n"/>
      <c r="L129" s="20" t="str">
        <f>IF(ISNUMBER(K129),K129,IF(ISNUMBER(H129),I129+J129,""))</f>
        <v/>
      </c>
      <c r="M129" s="48" t="str">
        <f>IF(AND(ISNUMBER(E129),ISNUMBER(G129),ISNUMBER(F129)),(E129-G129)*IF(D129="卖",-1,1)*F129,"")</f>
        <v/>
      </c>
      <c r="N129" s="49" t="str">
        <f>IF(A129="","",IFERROR(T(INDEX('交易记录'!$C$5:$C$304,MATCH(A129,'交易记录'!$A$5:$A$304,0))),"编号没找到"))</f>
        <v/>
      </c>
      <c r="O129" s="31" t="n"/>
    </row>
    <row r="130">
      <c r="A130" s="29" t="n"/>
      <c r="B130" s="30" t="n"/>
      <c r="C130" s="47" t="n"/>
      <c r="D130" s="32" t="n"/>
      <c r="E130" s="33" t="n"/>
      <c r="F130" s="36" t="n"/>
      <c r="G130" s="33" t="n"/>
      <c r="H130" s="20" t="str">
        <f>IF(AND(ISNUMBER(E130),ISNUMBER(F130)),E130*F130,"")</f>
        <v/>
      </c>
      <c r="I130" s="43" t="str">
        <f>IF(ISNUMBER(H130),ROUND(MAX(F130*'参数'!$C$11,'参数'!$C$12)+'参数'!$C$13,2),"")</f>
        <v/>
      </c>
      <c r="J130" s="43" t="str">
        <f>IF(ISNUMBER(H130),IF(D130="卖",ROUND(H130*N('参数'!$C$14)+F130*N('参数'!$C$15),2),0),"")</f>
        <v/>
      </c>
      <c r="K130" s="23" t="n"/>
      <c r="L130" s="20" t="str">
        <f>IF(ISNUMBER(K130),K130,IF(ISNUMBER(H130),I130+J130,""))</f>
        <v/>
      </c>
      <c r="M130" s="48" t="str">
        <f>IF(AND(ISNUMBER(E130),ISNUMBER(G130),ISNUMBER(F130)),(E130-G130)*IF(D130="卖",-1,1)*F130,"")</f>
        <v/>
      </c>
      <c r="N130" s="49" t="str">
        <f>IF(A130="","",IFERROR(T(INDEX('交易记录'!$C$5:$C$304,MATCH(A130,'交易记录'!$A$5:$A$304,0))),"编号没找到"))</f>
        <v/>
      </c>
      <c r="O130" s="31" t="n"/>
    </row>
    <row r="131">
      <c r="A131" s="29" t="n"/>
      <c r="B131" s="30" t="n"/>
      <c r="C131" s="47" t="n"/>
      <c r="D131" s="32" t="n"/>
      <c r="E131" s="33" t="n"/>
      <c r="F131" s="36" t="n"/>
      <c r="G131" s="33" t="n"/>
      <c r="H131" s="20" t="str">
        <f>IF(AND(ISNUMBER(E131),ISNUMBER(F131)),E131*F131,"")</f>
        <v/>
      </c>
      <c r="I131" s="43" t="str">
        <f>IF(ISNUMBER(H131),ROUND(MAX(F131*'参数'!$C$11,'参数'!$C$12)+'参数'!$C$13,2),"")</f>
        <v/>
      </c>
      <c r="J131" s="43" t="str">
        <f>IF(ISNUMBER(H131),IF(D131="卖",ROUND(H131*N('参数'!$C$14)+F131*N('参数'!$C$15),2),0),"")</f>
        <v/>
      </c>
      <c r="K131" s="23" t="n"/>
      <c r="L131" s="20" t="str">
        <f>IF(ISNUMBER(K131),K131,IF(ISNUMBER(H131),I131+J131,""))</f>
        <v/>
      </c>
      <c r="M131" s="48" t="str">
        <f>IF(AND(ISNUMBER(E131),ISNUMBER(G131),ISNUMBER(F131)),(E131-G131)*IF(D131="卖",-1,1)*F131,"")</f>
        <v/>
      </c>
      <c r="N131" s="49" t="str">
        <f>IF(A131="","",IFERROR(T(INDEX('交易记录'!$C$5:$C$304,MATCH(A131,'交易记录'!$A$5:$A$304,0))),"编号没找到"))</f>
        <v/>
      </c>
      <c r="O131" s="31" t="n"/>
    </row>
    <row r="132">
      <c r="A132" s="29" t="n"/>
      <c r="B132" s="30" t="n"/>
      <c r="C132" s="47" t="n"/>
      <c r="D132" s="32" t="n"/>
      <c r="E132" s="33" t="n"/>
      <c r="F132" s="36" t="n"/>
      <c r="G132" s="33" t="n"/>
      <c r="H132" s="20" t="str">
        <f>IF(AND(ISNUMBER(E132),ISNUMBER(F132)),E132*F132,"")</f>
        <v/>
      </c>
      <c r="I132" s="43" t="str">
        <f>IF(ISNUMBER(H132),ROUND(MAX(F132*'参数'!$C$11,'参数'!$C$12)+'参数'!$C$13,2),"")</f>
        <v/>
      </c>
      <c r="J132" s="43" t="str">
        <f>IF(ISNUMBER(H132),IF(D132="卖",ROUND(H132*N('参数'!$C$14)+F132*N('参数'!$C$15),2),0),"")</f>
        <v/>
      </c>
      <c r="K132" s="23" t="n"/>
      <c r="L132" s="20" t="str">
        <f>IF(ISNUMBER(K132),K132,IF(ISNUMBER(H132),I132+J132,""))</f>
        <v/>
      </c>
      <c r="M132" s="48" t="str">
        <f>IF(AND(ISNUMBER(E132),ISNUMBER(G132),ISNUMBER(F132)),(E132-G132)*IF(D132="卖",-1,1)*F132,"")</f>
        <v/>
      </c>
      <c r="N132" s="49" t="str">
        <f>IF(A132="","",IFERROR(T(INDEX('交易记录'!$C$5:$C$304,MATCH(A132,'交易记录'!$A$5:$A$304,0))),"编号没找到"))</f>
        <v/>
      </c>
      <c r="O132" s="31" t="n"/>
    </row>
    <row r="133">
      <c r="A133" s="29" t="n"/>
      <c r="B133" s="30" t="n"/>
      <c r="C133" s="47" t="n"/>
      <c r="D133" s="32" t="n"/>
      <c r="E133" s="33" t="n"/>
      <c r="F133" s="36" t="n"/>
      <c r="G133" s="33" t="n"/>
      <c r="H133" s="20" t="str">
        <f>IF(AND(ISNUMBER(E133),ISNUMBER(F133)),E133*F133,"")</f>
        <v/>
      </c>
      <c r="I133" s="43" t="str">
        <f>IF(ISNUMBER(H133),ROUND(MAX(F133*'参数'!$C$11,'参数'!$C$12)+'参数'!$C$13,2),"")</f>
        <v/>
      </c>
      <c r="J133" s="43" t="str">
        <f>IF(ISNUMBER(H133),IF(D133="卖",ROUND(H133*N('参数'!$C$14)+F133*N('参数'!$C$15),2),0),"")</f>
        <v/>
      </c>
      <c r="K133" s="23" t="n"/>
      <c r="L133" s="20" t="str">
        <f>IF(ISNUMBER(K133),K133,IF(ISNUMBER(H133),I133+J133,""))</f>
        <v/>
      </c>
      <c r="M133" s="48" t="str">
        <f>IF(AND(ISNUMBER(E133),ISNUMBER(G133),ISNUMBER(F133)),(E133-G133)*IF(D133="卖",-1,1)*F133,"")</f>
        <v/>
      </c>
      <c r="N133" s="49" t="str">
        <f>IF(A133="","",IFERROR(T(INDEX('交易记录'!$C$5:$C$304,MATCH(A133,'交易记录'!$A$5:$A$304,0))),"编号没找到"))</f>
        <v/>
      </c>
      <c r="O133" s="31" t="n"/>
    </row>
    <row r="134">
      <c r="A134" s="29" t="n"/>
      <c r="B134" s="30" t="n"/>
      <c r="C134" s="47" t="n"/>
      <c r="D134" s="32" t="n"/>
      <c r="E134" s="33" t="n"/>
      <c r="F134" s="36" t="n"/>
      <c r="G134" s="33" t="n"/>
      <c r="H134" s="20" t="str">
        <f>IF(AND(ISNUMBER(E134),ISNUMBER(F134)),E134*F134,"")</f>
        <v/>
      </c>
      <c r="I134" s="43" t="str">
        <f>IF(ISNUMBER(H134),ROUND(MAX(F134*'参数'!$C$11,'参数'!$C$12)+'参数'!$C$13,2),"")</f>
        <v/>
      </c>
      <c r="J134" s="43" t="str">
        <f>IF(ISNUMBER(H134),IF(D134="卖",ROUND(H134*N('参数'!$C$14)+F134*N('参数'!$C$15),2),0),"")</f>
        <v/>
      </c>
      <c r="K134" s="23" t="n"/>
      <c r="L134" s="20" t="str">
        <f>IF(ISNUMBER(K134),K134,IF(ISNUMBER(H134),I134+J134,""))</f>
        <v/>
      </c>
      <c r="M134" s="48" t="str">
        <f>IF(AND(ISNUMBER(E134),ISNUMBER(G134),ISNUMBER(F134)),(E134-G134)*IF(D134="卖",-1,1)*F134,"")</f>
        <v/>
      </c>
      <c r="N134" s="49" t="str">
        <f>IF(A134="","",IFERROR(T(INDEX('交易记录'!$C$5:$C$304,MATCH(A134,'交易记录'!$A$5:$A$304,0))),"编号没找到"))</f>
        <v/>
      </c>
      <c r="O134" s="31" t="n"/>
    </row>
    <row r="135">
      <c r="A135" s="29" t="n"/>
      <c r="B135" s="30" t="n"/>
      <c r="C135" s="47" t="n"/>
      <c r="D135" s="32" t="n"/>
      <c r="E135" s="33" t="n"/>
      <c r="F135" s="36" t="n"/>
      <c r="G135" s="33" t="n"/>
      <c r="H135" s="20" t="str">
        <f>IF(AND(ISNUMBER(E135),ISNUMBER(F135)),E135*F135,"")</f>
        <v/>
      </c>
      <c r="I135" s="43" t="str">
        <f>IF(ISNUMBER(H135),ROUND(MAX(F135*'参数'!$C$11,'参数'!$C$12)+'参数'!$C$13,2),"")</f>
        <v/>
      </c>
      <c r="J135" s="43" t="str">
        <f>IF(ISNUMBER(H135),IF(D135="卖",ROUND(H135*N('参数'!$C$14)+F135*N('参数'!$C$15),2),0),"")</f>
        <v/>
      </c>
      <c r="K135" s="23" t="n"/>
      <c r="L135" s="20" t="str">
        <f>IF(ISNUMBER(K135),K135,IF(ISNUMBER(H135),I135+J135,""))</f>
        <v/>
      </c>
      <c r="M135" s="48" t="str">
        <f>IF(AND(ISNUMBER(E135),ISNUMBER(G135),ISNUMBER(F135)),(E135-G135)*IF(D135="卖",-1,1)*F135,"")</f>
        <v/>
      </c>
      <c r="N135" s="49" t="str">
        <f>IF(A135="","",IFERROR(T(INDEX('交易记录'!$C$5:$C$304,MATCH(A135,'交易记录'!$A$5:$A$304,0))),"编号没找到"))</f>
        <v/>
      </c>
      <c r="O135" s="31" t="n"/>
    </row>
    <row r="136">
      <c r="A136" s="29" t="n"/>
      <c r="B136" s="30" t="n"/>
      <c r="C136" s="47" t="n"/>
      <c r="D136" s="32" t="n"/>
      <c r="E136" s="33" t="n"/>
      <c r="F136" s="36" t="n"/>
      <c r="G136" s="33" t="n"/>
      <c r="H136" s="20" t="str">
        <f>IF(AND(ISNUMBER(E136),ISNUMBER(F136)),E136*F136,"")</f>
        <v/>
      </c>
      <c r="I136" s="43" t="str">
        <f>IF(ISNUMBER(H136),ROUND(MAX(F136*'参数'!$C$11,'参数'!$C$12)+'参数'!$C$13,2),"")</f>
        <v/>
      </c>
      <c r="J136" s="43" t="str">
        <f>IF(ISNUMBER(H136),IF(D136="卖",ROUND(H136*N('参数'!$C$14)+F136*N('参数'!$C$15),2),0),"")</f>
        <v/>
      </c>
      <c r="K136" s="23" t="n"/>
      <c r="L136" s="20" t="str">
        <f>IF(ISNUMBER(K136),K136,IF(ISNUMBER(H136),I136+J136,""))</f>
        <v/>
      </c>
      <c r="M136" s="48" t="str">
        <f>IF(AND(ISNUMBER(E136),ISNUMBER(G136),ISNUMBER(F136)),(E136-G136)*IF(D136="卖",-1,1)*F136,"")</f>
        <v/>
      </c>
      <c r="N136" s="49" t="str">
        <f>IF(A136="","",IFERROR(T(INDEX('交易记录'!$C$5:$C$304,MATCH(A136,'交易记录'!$A$5:$A$304,0))),"编号没找到"))</f>
        <v/>
      </c>
      <c r="O136" s="31" t="n"/>
    </row>
    <row r="137">
      <c r="A137" s="29" t="n"/>
      <c r="B137" s="30" t="n"/>
      <c r="C137" s="47" t="n"/>
      <c r="D137" s="32" t="n"/>
      <c r="E137" s="33" t="n"/>
      <c r="F137" s="36" t="n"/>
      <c r="G137" s="33" t="n"/>
      <c r="H137" s="20" t="str">
        <f>IF(AND(ISNUMBER(E137),ISNUMBER(F137)),E137*F137,"")</f>
        <v/>
      </c>
      <c r="I137" s="43" t="str">
        <f>IF(ISNUMBER(H137),ROUND(MAX(F137*'参数'!$C$11,'参数'!$C$12)+'参数'!$C$13,2),"")</f>
        <v/>
      </c>
      <c r="J137" s="43" t="str">
        <f>IF(ISNUMBER(H137),IF(D137="卖",ROUND(H137*N('参数'!$C$14)+F137*N('参数'!$C$15),2),0),"")</f>
        <v/>
      </c>
      <c r="K137" s="23" t="n"/>
      <c r="L137" s="20" t="str">
        <f>IF(ISNUMBER(K137),K137,IF(ISNUMBER(H137),I137+J137,""))</f>
        <v/>
      </c>
      <c r="M137" s="48" t="str">
        <f>IF(AND(ISNUMBER(E137),ISNUMBER(G137),ISNUMBER(F137)),(E137-G137)*IF(D137="卖",-1,1)*F137,"")</f>
        <v/>
      </c>
      <c r="N137" s="49" t="str">
        <f>IF(A137="","",IFERROR(T(INDEX('交易记录'!$C$5:$C$304,MATCH(A137,'交易记录'!$A$5:$A$304,0))),"编号没找到"))</f>
        <v/>
      </c>
      <c r="O137" s="31" t="n"/>
    </row>
    <row r="138">
      <c r="A138" s="29" t="n"/>
      <c r="B138" s="30" t="n"/>
      <c r="C138" s="47" t="n"/>
      <c r="D138" s="32" t="n"/>
      <c r="E138" s="33" t="n"/>
      <c r="F138" s="36" t="n"/>
      <c r="G138" s="33" t="n"/>
      <c r="H138" s="20" t="str">
        <f>IF(AND(ISNUMBER(E138),ISNUMBER(F138)),E138*F138,"")</f>
        <v/>
      </c>
      <c r="I138" s="43" t="str">
        <f>IF(ISNUMBER(H138),ROUND(MAX(F138*'参数'!$C$11,'参数'!$C$12)+'参数'!$C$13,2),"")</f>
        <v/>
      </c>
      <c r="J138" s="43" t="str">
        <f>IF(ISNUMBER(H138),IF(D138="卖",ROUND(H138*N('参数'!$C$14)+F138*N('参数'!$C$15),2),0),"")</f>
        <v/>
      </c>
      <c r="K138" s="23" t="n"/>
      <c r="L138" s="20" t="str">
        <f>IF(ISNUMBER(K138),K138,IF(ISNUMBER(H138),I138+J138,""))</f>
        <v/>
      </c>
      <c r="M138" s="48" t="str">
        <f>IF(AND(ISNUMBER(E138),ISNUMBER(G138),ISNUMBER(F138)),(E138-G138)*IF(D138="卖",-1,1)*F138,"")</f>
        <v/>
      </c>
      <c r="N138" s="49" t="str">
        <f>IF(A138="","",IFERROR(T(INDEX('交易记录'!$C$5:$C$304,MATCH(A138,'交易记录'!$A$5:$A$304,0))),"编号没找到"))</f>
        <v/>
      </c>
      <c r="O138" s="31" t="n"/>
    </row>
    <row r="139">
      <c r="A139" s="29" t="n"/>
      <c r="B139" s="30" t="n"/>
      <c r="C139" s="47" t="n"/>
      <c r="D139" s="32" t="n"/>
      <c r="E139" s="33" t="n"/>
      <c r="F139" s="36" t="n"/>
      <c r="G139" s="33" t="n"/>
      <c r="H139" s="20" t="str">
        <f>IF(AND(ISNUMBER(E139),ISNUMBER(F139)),E139*F139,"")</f>
        <v/>
      </c>
      <c r="I139" s="43" t="str">
        <f>IF(ISNUMBER(H139),ROUND(MAX(F139*'参数'!$C$11,'参数'!$C$12)+'参数'!$C$13,2),"")</f>
        <v/>
      </c>
      <c r="J139" s="43" t="str">
        <f>IF(ISNUMBER(H139),IF(D139="卖",ROUND(H139*N('参数'!$C$14)+F139*N('参数'!$C$15),2),0),"")</f>
        <v/>
      </c>
      <c r="K139" s="23" t="n"/>
      <c r="L139" s="20" t="str">
        <f>IF(ISNUMBER(K139),K139,IF(ISNUMBER(H139),I139+J139,""))</f>
        <v/>
      </c>
      <c r="M139" s="48" t="str">
        <f>IF(AND(ISNUMBER(E139),ISNUMBER(G139),ISNUMBER(F139)),(E139-G139)*IF(D139="卖",-1,1)*F139,"")</f>
        <v/>
      </c>
      <c r="N139" s="49" t="str">
        <f>IF(A139="","",IFERROR(T(INDEX('交易记录'!$C$5:$C$304,MATCH(A139,'交易记录'!$A$5:$A$304,0))),"编号没找到"))</f>
        <v/>
      </c>
      <c r="O139" s="31" t="n"/>
    </row>
    <row r="140">
      <c r="A140" s="29" t="n"/>
      <c r="B140" s="30" t="n"/>
      <c r="C140" s="47" t="n"/>
      <c r="D140" s="32" t="n"/>
      <c r="E140" s="33" t="n"/>
      <c r="F140" s="36" t="n"/>
      <c r="G140" s="33" t="n"/>
      <c r="H140" s="20" t="str">
        <f>IF(AND(ISNUMBER(E140),ISNUMBER(F140)),E140*F140,"")</f>
        <v/>
      </c>
      <c r="I140" s="43" t="str">
        <f>IF(ISNUMBER(H140),ROUND(MAX(F140*'参数'!$C$11,'参数'!$C$12)+'参数'!$C$13,2),"")</f>
        <v/>
      </c>
      <c r="J140" s="43" t="str">
        <f>IF(ISNUMBER(H140),IF(D140="卖",ROUND(H140*N('参数'!$C$14)+F140*N('参数'!$C$15),2),0),"")</f>
        <v/>
      </c>
      <c r="K140" s="23" t="n"/>
      <c r="L140" s="20" t="str">
        <f>IF(ISNUMBER(K140),K140,IF(ISNUMBER(H140),I140+J140,""))</f>
        <v/>
      </c>
      <c r="M140" s="48" t="str">
        <f>IF(AND(ISNUMBER(E140),ISNUMBER(G140),ISNUMBER(F140)),(E140-G140)*IF(D140="卖",-1,1)*F140,"")</f>
        <v/>
      </c>
      <c r="N140" s="49" t="str">
        <f>IF(A140="","",IFERROR(T(INDEX('交易记录'!$C$5:$C$304,MATCH(A140,'交易记录'!$A$5:$A$304,0))),"编号没找到"))</f>
        <v/>
      </c>
      <c r="O140" s="31" t="n"/>
    </row>
    <row r="141">
      <c r="A141" s="29" t="n"/>
      <c r="B141" s="30" t="n"/>
      <c r="C141" s="47" t="n"/>
      <c r="D141" s="32" t="n"/>
      <c r="E141" s="33" t="n"/>
      <c r="F141" s="36" t="n"/>
      <c r="G141" s="33" t="n"/>
      <c r="H141" s="20" t="str">
        <f>IF(AND(ISNUMBER(E141),ISNUMBER(F141)),E141*F141,"")</f>
        <v/>
      </c>
      <c r="I141" s="43" t="str">
        <f>IF(ISNUMBER(H141),ROUND(MAX(F141*'参数'!$C$11,'参数'!$C$12)+'参数'!$C$13,2),"")</f>
        <v/>
      </c>
      <c r="J141" s="43" t="str">
        <f>IF(ISNUMBER(H141),IF(D141="卖",ROUND(H141*N('参数'!$C$14)+F141*N('参数'!$C$15),2),0),"")</f>
        <v/>
      </c>
      <c r="K141" s="23" t="n"/>
      <c r="L141" s="20" t="str">
        <f>IF(ISNUMBER(K141),K141,IF(ISNUMBER(H141),I141+J141,""))</f>
        <v/>
      </c>
      <c r="M141" s="48" t="str">
        <f>IF(AND(ISNUMBER(E141),ISNUMBER(G141),ISNUMBER(F141)),(E141-G141)*IF(D141="卖",-1,1)*F141,"")</f>
        <v/>
      </c>
      <c r="N141" s="49" t="str">
        <f>IF(A141="","",IFERROR(T(INDEX('交易记录'!$C$5:$C$304,MATCH(A141,'交易记录'!$A$5:$A$304,0))),"编号没找到"))</f>
        <v/>
      </c>
      <c r="O141" s="31" t="n"/>
    </row>
    <row r="142">
      <c r="A142" s="29" t="n"/>
      <c r="B142" s="30" t="n"/>
      <c r="C142" s="47" t="n"/>
      <c r="D142" s="32" t="n"/>
      <c r="E142" s="33" t="n"/>
      <c r="F142" s="36" t="n"/>
      <c r="G142" s="33" t="n"/>
      <c r="H142" s="20" t="str">
        <f>IF(AND(ISNUMBER(E142),ISNUMBER(F142)),E142*F142,"")</f>
        <v/>
      </c>
      <c r="I142" s="43" t="str">
        <f>IF(ISNUMBER(H142),ROUND(MAX(F142*'参数'!$C$11,'参数'!$C$12)+'参数'!$C$13,2),"")</f>
        <v/>
      </c>
      <c r="J142" s="43" t="str">
        <f>IF(ISNUMBER(H142),IF(D142="卖",ROUND(H142*N('参数'!$C$14)+F142*N('参数'!$C$15),2),0),"")</f>
        <v/>
      </c>
      <c r="K142" s="23" t="n"/>
      <c r="L142" s="20" t="str">
        <f>IF(ISNUMBER(K142),K142,IF(ISNUMBER(H142),I142+J142,""))</f>
        <v/>
      </c>
      <c r="M142" s="48" t="str">
        <f>IF(AND(ISNUMBER(E142),ISNUMBER(G142),ISNUMBER(F142)),(E142-G142)*IF(D142="卖",-1,1)*F142,"")</f>
        <v/>
      </c>
      <c r="N142" s="49" t="str">
        <f>IF(A142="","",IFERROR(T(INDEX('交易记录'!$C$5:$C$304,MATCH(A142,'交易记录'!$A$5:$A$304,0))),"编号没找到"))</f>
        <v/>
      </c>
      <c r="O142" s="31" t="n"/>
    </row>
    <row r="143">
      <c r="A143" s="29" t="n"/>
      <c r="B143" s="30" t="n"/>
      <c r="C143" s="47" t="n"/>
      <c r="D143" s="32" t="n"/>
      <c r="E143" s="33" t="n"/>
      <c r="F143" s="36" t="n"/>
      <c r="G143" s="33" t="n"/>
      <c r="H143" s="20" t="str">
        <f>IF(AND(ISNUMBER(E143),ISNUMBER(F143)),E143*F143,"")</f>
        <v/>
      </c>
      <c r="I143" s="43" t="str">
        <f>IF(ISNUMBER(H143),ROUND(MAX(F143*'参数'!$C$11,'参数'!$C$12)+'参数'!$C$13,2),"")</f>
        <v/>
      </c>
      <c r="J143" s="43" t="str">
        <f>IF(ISNUMBER(H143),IF(D143="卖",ROUND(H143*N('参数'!$C$14)+F143*N('参数'!$C$15),2),0),"")</f>
        <v/>
      </c>
      <c r="K143" s="23" t="n"/>
      <c r="L143" s="20" t="str">
        <f>IF(ISNUMBER(K143),K143,IF(ISNUMBER(H143),I143+J143,""))</f>
        <v/>
      </c>
      <c r="M143" s="48" t="str">
        <f>IF(AND(ISNUMBER(E143),ISNUMBER(G143),ISNUMBER(F143)),(E143-G143)*IF(D143="卖",-1,1)*F143,"")</f>
        <v/>
      </c>
      <c r="N143" s="49" t="str">
        <f>IF(A143="","",IFERROR(T(INDEX('交易记录'!$C$5:$C$304,MATCH(A143,'交易记录'!$A$5:$A$304,0))),"编号没找到"))</f>
        <v/>
      </c>
      <c r="O143" s="31" t="n"/>
    </row>
    <row r="144">
      <c r="A144" s="29" t="n"/>
      <c r="B144" s="30" t="n"/>
      <c r="C144" s="47" t="n"/>
      <c r="D144" s="32" t="n"/>
      <c r="E144" s="33" t="n"/>
      <c r="F144" s="36" t="n"/>
      <c r="G144" s="33" t="n"/>
      <c r="H144" s="20" t="str">
        <f>IF(AND(ISNUMBER(E144),ISNUMBER(F144)),E144*F144,"")</f>
        <v/>
      </c>
      <c r="I144" s="43" t="str">
        <f>IF(ISNUMBER(H144),ROUND(MAX(F144*'参数'!$C$11,'参数'!$C$12)+'参数'!$C$13,2),"")</f>
        <v/>
      </c>
      <c r="J144" s="43" t="str">
        <f>IF(ISNUMBER(H144),IF(D144="卖",ROUND(H144*N('参数'!$C$14)+F144*N('参数'!$C$15),2),0),"")</f>
        <v/>
      </c>
      <c r="K144" s="23" t="n"/>
      <c r="L144" s="20" t="str">
        <f>IF(ISNUMBER(K144),K144,IF(ISNUMBER(H144),I144+J144,""))</f>
        <v/>
      </c>
      <c r="M144" s="48" t="str">
        <f>IF(AND(ISNUMBER(E144),ISNUMBER(G144),ISNUMBER(F144)),(E144-G144)*IF(D144="卖",-1,1)*F144,"")</f>
        <v/>
      </c>
      <c r="N144" s="49" t="str">
        <f>IF(A144="","",IFERROR(T(INDEX('交易记录'!$C$5:$C$304,MATCH(A144,'交易记录'!$A$5:$A$304,0))),"编号没找到"))</f>
        <v/>
      </c>
      <c r="O144" s="31" t="n"/>
    </row>
    <row r="145">
      <c r="A145" s="29" t="n"/>
      <c r="B145" s="30" t="n"/>
      <c r="C145" s="47" t="n"/>
      <c r="D145" s="32" t="n"/>
      <c r="E145" s="33" t="n"/>
      <c r="F145" s="36" t="n"/>
      <c r="G145" s="33" t="n"/>
      <c r="H145" s="20" t="str">
        <f>IF(AND(ISNUMBER(E145),ISNUMBER(F145)),E145*F145,"")</f>
        <v/>
      </c>
      <c r="I145" s="43" t="str">
        <f>IF(ISNUMBER(H145),ROUND(MAX(F145*'参数'!$C$11,'参数'!$C$12)+'参数'!$C$13,2),"")</f>
        <v/>
      </c>
      <c r="J145" s="43" t="str">
        <f>IF(ISNUMBER(H145),IF(D145="卖",ROUND(H145*N('参数'!$C$14)+F145*N('参数'!$C$15),2),0),"")</f>
        <v/>
      </c>
      <c r="K145" s="23" t="n"/>
      <c r="L145" s="20" t="str">
        <f>IF(ISNUMBER(K145),K145,IF(ISNUMBER(H145),I145+J145,""))</f>
        <v/>
      </c>
      <c r="M145" s="48" t="str">
        <f>IF(AND(ISNUMBER(E145),ISNUMBER(G145),ISNUMBER(F145)),(E145-G145)*IF(D145="卖",-1,1)*F145,"")</f>
        <v/>
      </c>
      <c r="N145" s="49" t="str">
        <f>IF(A145="","",IFERROR(T(INDEX('交易记录'!$C$5:$C$304,MATCH(A145,'交易记录'!$A$5:$A$304,0))),"编号没找到"))</f>
        <v/>
      </c>
      <c r="O145" s="31" t="n"/>
    </row>
    <row r="146">
      <c r="A146" s="29" t="n"/>
      <c r="B146" s="30" t="n"/>
      <c r="C146" s="47" t="n"/>
      <c r="D146" s="32" t="n"/>
      <c r="E146" s="33" t="n"/>
      <c r="F146" s="36" t="n"/>
      <c r="G146" s="33" t="n"/>
      <c r="H146" s="20" t="str">
        <f>IF(AND(ISNUMBER(E146),ISNUMBER(F146)),E146*F146,"")</f>
        <v/>
      </c>
      <c r="I146" s="43" t="str">
        <f>IF(ISNUMBER(H146),ROUND(MAX(F146*'参数'!$C$11,'参数'!$C$12)+'参数'!$C$13,2),"")</f>
        <v/>
      </c>
      <c r="J146" s="43" t="str">
        <f>IF(ISNUMBER(H146),IF(D146="卖",ROUND(H146*N('参数'!$C$14)+F146*N('参数'!$C$15),2),0),"")</f>
        <v/>
      </c>
      <c r="K146" s="23" t="n"/>
      <c r="L146" s="20" t="str">
        <f>IF(ISNUMBER(K146),K146,IF(ISNUMBER(H146),I146+J146,""))</f>
        <v/>
      </c>
      <c r="M146" s="48" t="str">
        <f>IF(AND(ISNUMBER(E146),ISNUMBER(G146),ISNUMBER(F146)),(E146-G146)*IF(D146="卖",-1,1)*F146,"")</f>
        <v/>
      </c>
      <c r="N146" s="49" t="str">
        <f>IF(A146="","",IFERROR(T(INDEX('交易记录'!$C$5:$C$304,MATCH(A146,'交易记录'!$A$5:$A$304,0))),"编号没找到"))</f>
        <v/>
      </c>
      <c r="O146" s="31" t="n"/>
    </row>
    <row r="147">
      <c r="A147" s="29" t="n"/>
      <c r="B147" s="30" t="n"/>
      <c r="C147" s="47" t="n"/>
      <c r="D147" s="32" t="n"/>
      <c r="E147" s="33" t="n"/>
      <c r="F147" s="36" t="n"/>
      <c r="G147" s="33" t="n"/>
      <c r="H147" s="20" t="str">
        <f>IF(AND(ISNUMBER(E147),ISNUMBER(F147)),E147*F147,"")</f>
        <v/>
      </c>
      <c r="I147" s="43" t="str">
        <f>IF(ISNUMBER(H147),ROUND(MAX(F147*'参数'!$C$11,'参数'!$C$12)+'参数'!$C$13,2),"")</f>
        <v/>
      </c>
      <c r="J147" s="43" t="str">
        <f>IF(ISNUMBER(H147),IF(D147="卖",ROUND(H147*N('参数'!$C$14)+F147*N('参数'!$C$15),2),0),"")</f>
        <v/>
      </c>
      <c r="K147" s="23" t="n"/>
      <c r="L147" s="20" t="str">
        <f>IF(ISNUMBER(K147),K147,IF(ISNUMBER(H147),I147+J147,""))</f>
        <v/>
      </c>
      <c r="M147" s="48" t="str">
        <f>IF(AND(ISNUMBER(E147),ISNUMBER(G147),ISNUMBER(F147)),(E147-G147)*IF(D147="卖",-1,1)*F147,"")</f>
        <v/>
      </c>
      <c r="N147" s="49" t="str">
        <f>IF(A147="","",IFERROR(T(INDEX('交易记录'!$C$5:$C$304,MATCH(A147,'交易记录'!$A$5:$A$304,0))),"编号没找到"))</f>
        <v/>
      </c>
      <c r="O147" s="31" t="n"/>
    </row>
    <row r="148">
      <c r="A148" s="29" t="n"/>
      <c r="B148" s="30" t="n"/>
      <c r="C148" s="47" t="n"/>
      <c r="D148" s="32" t="n"/>
      <c r="E148" s="33" t="n"/>
      <c r="F148" s="36" t="n"/>
      <c r="G148" s="33" t="n"/>
      <c r="H148" s="20" t="str">
        <f>IF(AND(ISNUMBER(E148),ISNUMBER(F148)),E148*F148,"")</f>
        <v/>
      </c>
      <c r="I148" s="43" t="str">
        <f>IF(ISNUMBER(H148),ROUND(MAX(F148*'参数'!$C$11,'参数'!$C$12)+'参数'!$C$13,2),"")</f>
        <v/>
      </c>
      <c r="J148" s="43" t="str">
        <f>IF(ISNUMBER(H148),IF(D148="卖",ROUND(H148*N('参数'!$C$14)+F148*N('参数'!$C$15),2),0),"")</f>
        <v/>
      </c>
      <c r="K148" s="23" t="n"/>
      <c r="L148" s="20" t="str">
        <f>IF(ISNUMBER(K148),K148,IF(ISNUMBER(H148),I148+J148,""))</f>
        <v/>
      </c>
      <c r="M148" s="48" t="str">
        <f>IF(AND(ISNUMBER(E148),ISNUMBER(G148),ISNUMBER(F148)),(E148-G148)*IF(D148="卖",-1,1)*F148,"")</f>
        <v/>
      </c>
      <c r="N148" s="49" t="str">
        <f>IF(A148="","",IFERROR(T(INDEX('交易记录'!$C$5:$C$304,MATCH(A148,'交易记录'!$A$5:$A$304,0))),"编号没找到"))</f>
        <v/>
      </c>
      <c r="O148" s="31" t="n"/>
    </row>
    <row r="149">
      <c r="A149" s="29" t="n"/>
      <c r="B149" s="30" t="n"/>
      <c r="C149" s="47" t="n"/>
      <c r="D149" s="32" t="n"/>
      <c r="E149" s="33" t="n"/>
      <c r="F149" s="36" t="n"/>
      <c r="G149" s="33" t="n"/>
      <c r="H149" s="20" t="str">
        <f>IF(AND(ISNUMBER(E149),ISNUMBER(F149)),E149*F149,"")</f>
        <v/>
      </c>
      <c r="I149" s="43" t="str">
        <f>IF(ISNUMBER(H149),ROUND(MAX(F149*'参数'!$C$11,'参数'!$C$12)+'参数'!$C$13,2),"")</f>
        <v/>
      </c>
      <c r="J149" s="43" t="str">
        <f>IF(ISNUMBER(H149),IF(D149="卖",ROUND(H149*N('参数'!$C$14)+F149*N('参数'!$C$15),2),0),"")</f>
        <v/>
      </c>
      <c r="K149" s="23" t="n"/>
      <c r="L149" s="20" t="str">
        <f>IF(ISNUMBER(K149),K149,IF(ISNUMBER(H149),I149+J149,""))</f>
        <v/>
      </c>
      <c r="M149" s="48" t="str">
        <f>IF(AND(ISNUMBER(E149),ISNUMBER(G149),ISNUMBER(F149)),(E149-G149)*IF(D149="卖",-1,1)*F149,"")</f>
        <v/>
      </c>
      <c r="N149" s="49" t="str">
        <f>IF(A149="","",IFERROR(T(INDEX('交易记录'!$C$5:$C$304,MATCH(A149,'交易记录'!$A$5:$A$304,0))),"编号没找到"))</f>
        <v/>
      </c>
      <c r="O149" s="31" t="n"/>
    </row>
    <row r="150">
      <c r="A150" s="29" t="n"/>
      <c r="B150" s="30" t="n"/>
      <c r="C150" s="47" t="n"/>
      <c r="D150" s="32" t="n"/>
      <c r="E150" s="33" t="n"/>
      <c r="F150" s="36" t="n"/>
      <c r="G150" s="33" t="n"/>
      <c r="H150" s="20" t="str">
        <f>IF(AND(ISNUMBER(E150),ISNUMBER(F150)),E150*F150,"")</f>
        <v/>
      </c>
      <c r="I150" s="43" t="str">
        <f>IF(ISNUMBER(H150),ROUND(MAX(F150*'参数'!$C$11,'参数'!$C$12)+'参数'!$C$13,2),"")</f>
        <v/>
      </c>
      <c r="J150" s="43" t="str">
        <f>IF(ISNUMBER(H150),IF(D150="卖",ROUND(H150*N('参数'!$C$14)+F150*N('参数'!$C$15),2),0),"")</f>
        <v/>
      </c>
      <c r="K150" s="23" t="n"/>
      <c r="L150" s="20" t="str">
        <f>IF(ISNUMBER(K150),K150,IF(ISNUMBER(H150),I150+J150,""))</f>
        <v/>
      </c>
      <c r="M150" s="48" t="str">
        <f>IF(AND(ISNUMBER(E150),ISNUMBER(G150),ISNUMBER(F150)),(E150-G150)*IF(D150="卖",-1,1)*F150,"")</f>
        <v/>
      </c>
      <c r="N150" s="49" t="str">
        <f>IF(A150="","",IFERROR(T(INDEX('交易记录'!$C$5:$C$304,MATCH(A150,'交易记录'!$A$5:$A$304,0))),"编号没找到"))</f>
        <v/>
      </c>
      <c r="O150" s="31" t="n"/>
    </row>
    <row r="151">
      <c r="A151" s="29" t="n"/>
      <c r="B151" s="30" t="n"/>
      <c r="C151" s="47" t="n"/>
      <c r="D151" s="32" t="n"/>
      <c r="E151" s="33" t="n"/>
      <c r="F151" s="36" t="n"/>
      <c r="G151" s="33" t="n"/>
      <c r="H151" s="20" t="str">
        <f>IF(AND(ISNUMBER(E151),ISNUMBER(F151)),E151*F151,"")</f>
        <v/>
      </c>
      <c r="I151" s="43" t="str">
        <f>IF(ISNUMBER(H151),ROUND(MAX(F151*'参数'!$C$11,'参数'!$C$12)+'参数'!$C$13,2),"")</f>
        <v/>
      </c>
      <c r="J151" s="43" t="str">
        <f>IF(ISNUMBER(H151),IF(D151="卖",ROUND(H151*N('参数'!$C$14)+F151*N('参数'!$C$15),2),0),"")</f>
        <v/>
      </c>
      <c r="K151" s="23" t="n"/>
      <c r="L151" s="20" t="str">
        <f>IF(ISNUMBER(K151),K151,IF(ISNUMBER(H151),I151+J151,""))</f>
        <v/>
      </c>
      <c r="M151" s="48" t="str">
        <f>IF(AND(ISNUMBER(E151),ISNUMBER(G151),ISNUMBER(F151)),(E151-G151)*IF(D151="卖",-1,1)*F151,"")</f>
        <v/>
      </c>
      <c r="N151" s="49" t="str">
        <f>IF(A151="","",IFERROR(T(INDEX('交易记录'!$C$5:$C$304,MATCH(A151,'交易记录'!$A$5:$A$304,0))),"编号没找到"))</f>
        <v/>
      </c>
      <c r="O151" s="31" t="n"/>
    </row>
    <row r="152">
      <c r="A152" s="29" t="n"/>
      <c r="B152" s="30" t="n"/>
      <c r="C152" s="47" t="n"/>
      <c r="D152" s="32" t="n"/>
      <c r="E152" s="33" t="n"/>
      <c r="F152" s="36" t="n"/>
      <c r="G152" s="33" t="n"/>
      <c r="H152" s="20" t="str">
        <f>IF(AND(ISNUMBER(E152),ISNUMBER(F152)),E152*F152,"")</f>
        <v/>
      </c>
      <c r="I152" s="43" t="str">
        <f>IF(ISNUMBER(H152),ROUND(MAX(F152*'参数'!$C$11,'参数'!$C$12)+'参数'!$C$13,2),"")</f>
        <v/>
      </c>
      <c r="J152" s="43" t="str">
        <f>IF(ISNUMBER(H152),IF(D152="卖",ROUND(H152*N('参数'!$C$14)+F152*N('参数'!$C$15),2),0),"")</f>
        <v/>
      </c>
      <c r="K152" s="23" t="n"/>
      <c r="L152" s="20" t="str">
        <f>IF(ISNUMBER(K152),K152,IF(ISNUMBER(H152),I152+J152,""))</f>
        <v/>
      </c>
      <c r="M152" s="48" t="str">
        <f>IF(AND(ISNUMBER(E152),ISNUMBER(G152),ISNUMBER(F152)),(E152-G152)*IF(D152="卖",-1,1)*F152,"")</f>
        <v/>
      </c>
      <c r="N152" s="49" t="str">
        <f>IF(A152="","",IFERROR(T(INDEX('交易记录'!$C$5:$C$304,MATCH(A152,'交易记录'!$A$5:$A$304,0))),"编号没找到"))</f>
        <v/>
      </c>
      <c r="O152" s="31" t="n"/>
    </row>
    <row r="153">
      <c r="A153" s="29" t="n"/>
      <c r="B153" s="30" t="n"/>
      <c r="C153" s="47" t="n"/>
      <c r="D153" s="32" t="n"/>
      <c r="E153" s="33" t="n"/>
      <c r="F153" s="36" t="n"/>
      <c r="G153" s="33" t="n"/>
      <c r="H153" s="20" t="str">
        <f>IF(AND(ISNUMBER(E153),ISNUMBER(F153)),E153*F153,"")</f>
        <v/>
      </c>
      <c r="I153" s="43" t="str">
        <f>IF(ISNUMBER(H153),ROUND(MAX(F153*'参数'!$C$11,'参数'!$C$12)+'参数'!$C$13,2),"")</f>
        <v/>
      </c>
      <c r="J153" s="43" t="str">
        <f>IF(ISNUMBER(H153),IF(D153="卖",ROUND(H153*N('参数'!$C$14)+F153*N('参数'!$C$15),2),0),"")</f>
        <v/>
      </c>
      <c r="K153" s="23" t="n"/>
      <c r="L153" s="20" t="str">
        <f>IF(ISNUMBER(K153),K153,IF(ISNUMBER(H153),I153+J153,""))</f>
        <v/>
      </c>
      <c r="M153" s="48" t="str">
        <f>IF(AND(ISNUMBER(E153),ISNUMBER(G153),ISNUMBER(F153)),(E153-G153)*IF(D153="卖",-1,1)*F153,"")</f>
        <v/>
      </c>
      <c r="N153" s="49" t="str">
        <f>IF(A153="","",IFERROR(T(INDEX('交易记录'!$C$5:$C$304,MATCH(A153,'交易记录'!$A$5:$A$304,0))),"编号没找到"))</f>
        <v/>
      </c>
      <c r="O153" s="31" t="n"/>
    </row>
    <row r="154">
      <c r="A154" s="29" t="n"/>
      <c r="B154" s="30" t="n"/>
      <c r="C154" s="47" t="n"/>
      <c r="D154" s="32" t="n"/>
      <c r="E154" s="33" t="n"/>
      <c r="F154" s="36" t="n"/>
      <c r="G154" s="33" t="n"/>
      <c r="H154" s="20" t="str">
        <f>IF(AND(ISNUMBER(E154),ISNUMBER(F154)),E154*F154,"")</f>
        <v/>
      </c>
      <c r="I154" s="43" t="str">
        <f>IF(ISNUMBER(H154),ROUND(MAX(F154*'参数'!$C$11,'参数'!$C$12)+'参数'!$C$13,2),"")</f>
        <v/>
      </c>
      <c r="J154" s="43" t="str">
        <f>IF(ISNUMBER(H154),IF(D154="卖",ROUND(H154*N('参数'!$C$14)+F154*N('参数'!$C$15),2),0),"")</f>
        <v/>
      </c>
      <c r="K154" s="23" t="n"/>
      <c r="L154" s="20" t="str">
        <f>IF(ISNUMBER(K154),K154,IF(ISNUMBER(H154),I154+J154,""))</f>
        <v/>
      </c>
      <c r="M154" s="48" t="str">
        <f>IF(AND(ISNUMBER(E154),ISNUMBER(G154),ISNUMBER(F154)),(E154-G154)*IF(D154="卖",-1,1)*F154,"")</f>
        <v/>
      </c>
      <c r="N154" s="49" t="str">
        <f>IF(A154="","",IFERROR(T(INDEX('交易记录'!$C$5:$C$304,MATCH(A154,'交易记录'!$A$5:$A$304,0))),"编号没找到"))</f>
        <v/>
      </c>
      <c r="O154" s="31" t="n"/>
    </row>
    <row r="155">
      <c r="A155" s="29" t="n"/>
      <c r="B155" s="30" t="n"/>
      <c r="C155" s="47" t="n"/>
      <c r="D155" s="32" t="n"/>
      <c r="E155" s="33" t="n"/>
      <c r="F155" s="36" t="n"/>
      <c r="G155" s="33" t="n"/>
      <c r="H155" s="20" t="str">
        <f>IF(AND(ISNUMBER(E155),ISNUMBER(F155)),E155*F155,"")</f>
        <v/>
      </c>
      <c r="I155" s="43" t="str">
        <f>IF(ISNUMBER(H155),ROUND(MAX(F155*'参数'!$C$11,'参数'!$C$12)+'参数'!$C$13,2),"")</f>
        <v/>
      </c>
      <c r="J155" s="43" t="str">
        <f>IF(ISNUMBER(H155),IF(D155="卖",ROUND(H155*N('参数'!$C$14)+F155*N('参数'!$C$15),2),0),"")</f>
        <v/>
      </c>
      <c r="K155" s="23" t="n"/>
      <c r="L155" s="20" t="str">
        <f>IF(ISNUMBER(K155),K155,IF(ISNUMBER(H155),I155+J155,""))</f>
        <v/>
      </c>
      <c r="M155" s="48" t="str">
        <f>IF(AND(ISNUMBER(E155),ISNUMBER(G155),ISNUMBER(F155)),(E155-G155)*IF(D155="卖",-1,1)*F155,"")</f>
        <v/>
      </c>
      <c r="N155" s="49" t="str">
        <f>IF(A155="","",IFERROR(T(INDEX('交易记录'!$C$5:$C$304,MATCH(A155,'交易记录'!$A$5:$A$304,0))),"编号没找到"))</f>
        <v/>
      </c>
      <c r="O155" s="31" t="n"/>
    </row>
    <row r="156">
      <c r="A156" s="29" t="n"/>
      <c r="B156" s="30" t="n"/>
      <c r="C156" s="47" t="n"/>
      <c r="D156" s="32" t="n"/>
      <c r="E156" s="33" t="n"/>
      <c r="F156" s="36" t="n"/>
      <c r="G156" s="33" t="n"/>
      <c r="H156" s="20" t="str">
        <f>IF(AND(ISNUMBER(E156),ISNUMBER(F156)),E156*F156,"")</f>
        <v/>
      </c>
      <c r="I156" s="43" t="str">
        <f>IF(ISNUMBER(H156),ROUND(MAX(F156*'参数'!$C$11,'参数'!$C$12)+'参数'!$C$13,2),"")</f>
        <v/>
      </c>
      <c r="J156" s="43" t="str">
        <f>IF(ISNUMBER(H156),IF(D156="卖",ROUND(H156*N('参数'!$C$14)+F156*N('参数'!$C$15),2),0),"")</f>
        <v/>
      </c>
      <c r="K156" s="23" t="n"/>
      <c r="L156" s="20" t="str">
        <f>IF(ISNUMBER(K156),K156,IF(ISNUMBER(H156),I156+J156,""))</f>
        <v/>
      </c>
      <c r="M156" s="48" t="str">
        <f>IF(AND(ISNUMBER(E156),ISNUMBER(G156),ISNUMBER(F156)),(E156-G156)*IF(D156="卖",-1,1)*F156,"")</f>
        <v/>
      </c>
      <c r="N156" s="49" t="str">
        <f>IF(A156="","",IFERROR(T(INDEX('交易记录'!$C$5:$C$304,MATCH(A156,'交易记录'!$A$5:$A$304,0))),"编号没找到"))</f>
        <v/>
      </c>
      <c r="O156" s="31" t="n"/>
    </row>
    <row r="157">
      <c r="A157" s="29" t="n"/>
      <c r="B157" s="30" t="n"/>
      <c r="C157" s="47" t="n"/>
      <c r="D157" s="32" t="n"/>
      <c r="E157" s="33" t="n"/>
      <c r="F157" s="36" t="n"/>
      <c r="G157" s="33" t="n"/>
      <c r="H157" s="20" t="str">
        <f>IF(AND(ISNUMBER(E157),ISNUMBER(F157)),E157*F157,"")</f>
        <v/>
      </c>
      <c r="I157" s="43" t="str">
        <f>IF(ISNUMBER(H157),ROUND(MAX(F157*'参数'!$C$11,'参数'!$C$12)+'参数'!$C$13,2),"")</f>
        <v/>
      </c>
      <c r="J157" s="43" t="str">
        <f>IF(ISNUMBER(H157),IF(D157="卖",ROUND(H157*N('参数'!$C$14)+F157*N('参数'!$C$15),2),0),"")</f>
        <v/>
      </c>
      <c r="K157" s="23" t="n"/>
      <c r="L157" s="20" t="str">
        <f>IF(ISNUMBER(K157),K157,IF(ISNUMBER(H157),I157+J157,""))</f>
        <v/>
      </c>
      <c r="M157" s="48" t="str">
        <f>IF(AND(ISNUMBER(E157),ISNUMBER(G157),ISNUMBER(F157)),(E157-G157)*IF(D157="卖",-1,1)*F157,"")</f>
        <v/>
      </c>
      <c r="N157" s="49" t="str">
        <f>IF(A157="","",IFERROR(T(INDEX('交易记录'!$C$5:$C$304,MATCH(A157,'交易记录'!$A$5:$A$304,0))),"编号没找到"))</f>
        <v/>
      </c>
      <c r="O157" s="31" t="n"/>
    </row>
    <row r="158">
      <c r="A158" s="29" t="n"/>
      <c r="B158" s="30" t="n"/>
      <c r="C158" s="47" t="n"/>
      <c r="D158" s="32" t="n"/>
      <c r="E158" s="33" t="n"/>
      <c r="F158" s="36" t="n"/>
      <c r="G158" s="33" t="n"/>
      <c r="H158" s="20" t="str">
        <f>IF(AND(ISNUMBER(E158),ISNUMBER(F158)),E158*F158,"")</f>
        <v/>
      </c>
      <c r="I158" s="43" t="str">
        <f>IF(ISNUMBER(H158),ROUND(MAX(F158*'参数'!$C$11,'参数'!$C$12)+'参数'!$C$13,2),"")</f>
        <v/>
      </c>
      <c r="J158" s="43" t="str">
        <f>IF(ISNUMBER(H158),IF(D158="卖",ROUND(H158*N('参数'!$C$14)+F158*N('参数'!$C$15),2),0),"")</f>
        <v/>
      </c>
      <c r="K158" s="23" t="n"/>
      <c r="L158" s="20" t="str">
        <f>IF(ISNUMBER(K158),K158,IF(ISNUMBER(H158),I158+J158,""))</f>
        <v/>
      </c>
      <c r="M158" s="48" t="str">
        <f>IF(AND(ISNUMBER(E158),ISNUMBER(G158),ISNUMBER(F158)),(E158-G158)*IF(D158="卖",-1,1)*F158,"")</f>
        <v/>
      </c>
      <c r="N158" s="49" t="str">
        <f>IF(A158="","",IFERROR(T(INDEX('交易记录'!$C$5:$C$304,MATCH(A158,'交易记录'!$A$5:$A$304,0))),"编号没找到"))</f>
        <v/>
      </c>
      <c r="O158" s="31" t="n"/>
    </row>
    <row r="159">
      <c r="A159" s="29" t="n"/>
      <c r="B159" s="30" t="n"/>
      <c r="C159" s="47" t="n"/>
      <c r="D159" s="32" t="n"/>
      <c r="E159" s="33" t="n"/>
      <c r="F159" s="36" t="n"/>
      <c r="G159" s="33" t="n"/>
      <c r="H159" s="20" t="str">
        <f>IF(AND(ISNUMBER(E159),ISNUMBER(F159)),E159*F159,"")</f>
        <v/>
      </c>
      <c r="I159" s="43" t="str">
        <f>IF(ISNUMBER(H159),ROUND(MAX(F159*'参数'!$C$11,'参数'!$C$12)+'参数'!$C$13,2),"")</f>
        <v/>
      </c>
      <c r="J159" s="43" t="str">
        <f>IF(ISNUMBER(H159),IF(D159="卖",ROUND(H159*N('参数'!$C$14)+F159*N('参数'!$C$15),2),0),"")</f>
        <v/>
      </c>
      <c r="K159" s="23" t="n"/>
      <c r="L159" s="20" t="str">
        <f>IF(ISNUMBER(K159),K159,IF(ISNUMBER(H159),I159+J159,""))</f>
        <v/>
      </c>
      <c r="M159" s="48" t="str">
        <f>IF(AND(ISNUMBER(E159),ISNUMBER(G159),ISNUMBER(F159)),(E159-G159)*IF(D159="卖",-1,1)*F159,"")</f>
        <v/>
      </c>
      <c r="N159" s="49" t="str">
        <f>IF(A159="","",IFERROR(T(INDEX('交易记录'!$C$5:$C$304,MATCH(A159,'交易记录'!$A$5:$A$304,0))),"编号没找到"))</f>
        <v/>
      </c>
      <c r="O159" s="31" t="n"/>
    </row>
    <row r="160">
      <c r="A160" s="29" t="n"/>
      <c r="B160" s="30" t="n"/>
      <c r="C160" s="47" t="n"/>
      <c r="D160" s="32" t="n"/>
      <c r="E160" s="33" t="n"/>
      <c r="F160" s="36" t="n"/>
      <c r="G160" s="33" t="n"/>
      <c r="H160" s="20" t="str">
        <f>IF(AND(ISNUMBER(E160),ISNUMBER(F160)),E160*F160,"")</f>
        <v/>
      </c>
      <c r="I160" s="43" t="str">
        <f>IF(ISNUMBER(H160),ROUND(MAX(F160*'参数'!$C$11,'参数'!$C$12)+'参数'!$C$13,2),"")</f>
        <v/>
      </c>
      <c r="J160" s="43" t="str">
        <f>IF(ISNUMBER(H160),IF(D160="卖",ROUND(H160*N('参数'!$C$14)+F160*N('参数'!$C$15),2),0),"")</f>
        <v/>
      </c>
      <c r="K160" s="23" t="n"/>
      <c r="L160" s="20" t="str">
        <f>IF(ISNUMBER(K160),K160,IF(ISNUMBER(H160),I160+J160,""))</f>
        <v/>
      </c>
      <c r="M160" s="48" t="str">
        <f>IF(AND(ISNUMBER(E160),ISNUMBER(G160),ISNUMBER(F160)),(E160-G160)*IF(D160="卖",-1,1)*F160,"")</f>
        <v/>
      </c>
      <c r="N160" s="49" t="str">
        <f>IF(A160="","",IFERROR(T(INDEX('交易记录'!$C$5:$C$304,MATCH(A160,'交易记录'!$A$5:$A$304,0))),"编号没找到"))</f>
        <v/>
      </c>
      <c r="O160" s="31" t="n"/>
    </row>
    <row r="161">
      <c r="A161" s="29" t="n"/>
      <c r="B161" s="30" t="n"/>
      <c r="C161" s="47" t="n"/>
      <c r="D161" s="32" t="n"/>
      <c r="E161" s="33" t="n"/>
      <c r="F161" s="36" t="n"/>
      <c r="G161" s="33" t="n"/>
      <c r="H161" s="20" t="str">
        <f>IF(AND(ISNUMBER(E161),ISNUMBER(F161)),E161*F161,"")</f>
        <v/>
      </c>
      <c r="I161" s="43" t="str">
        <f>IF(ISNUMBER(H161),ROUND(MAX(F161*'参数'!$C$11,'参数'!$C$12)+'参数'!$C$13,2),"")</f>
        <v/>
      </c>
      <c r="J161" s="43" t="str">
        <f>IF(ISNUMBER(H161),IF(D161="卖",ROUND(H161*N('参数'!$C$14)+F161*N('参数'!$C$15),2),0),"")</f>
        <v/>
      </c>
      <c r="K161" s="23" t="n"/>
      <c r="L161" s="20" t="str">
        <f>IF(ISNUMBER(K161),K161,IF(ISNUMBER(H161),I161+J161,""))</f>
        <v/>
      </c>
      <c r="M161" s="48" t="str">
        <f>IF(AND(ISNUMBER(E161),ISNUMBER(G161),ISNUMBER(F161)),(E161-G161)*IF(D161="卖",-1,1)*F161,"")</f>
        <v/>
      </c>
      <c r="N161" s="49" t="str">
        <f>IF(A161="","",IFERROR(T(INDEX('交易记录'!$C$5:$C$304,MATCH(A161,'交易记录'!$A$5:$A$304,0))),"编号没找到"))</f>
        <v/>
      </c>
      <c r="O161" s="31" t="n"/>
    </row>
    <row r="162">
      <c r="A162" s="29" t="n"/>
      <c r="B162" s="30" t="n"/>
      <c r="C162" s="47" t="n"/>
      <c r="D162" s="32" t="n"/>
      <c r="E162" s="33" t="n"/>
      <c r="F162" s="36" t="n"/>
      <c r="G162" s="33" t="n"/>
      <c r="H162" s="20" t="str">
        <f>IF(AND(ISNUMBER(E162),ISNUMBER(F162)),E162*F162,"")</f>
        <v/>
      </c>
      <c r="I162" s="43" t="str">
        <f>IF(ISNUMBER(H162),ROUND(MAX(F162*'参数'!$C$11,'参数'!$C$12)+'参数'!$C$13,2),"")</f>
        <v/>
      </c>
      <c r="J162" s="43" t="str">
        <f>IF(ISNUMBER(H162),IF(D162="卖",ROUND(H162*N('参数'!$C$14)+F162*N('参数'!$C$15),2),0),"")</f>
        <v/>
      </c>
      <c r="K162" s="23" t="n"/>
      <c r="L162" s="20" t="str">
        <f>IF(ISNUMBER(K162),K162,IF(ISNUMBER(H162),I162+J162,""))</f>
        <v/>
      </c>
      <c r="M162" s="48" t="str">
        <f>IF(AND(ISNUMBER(E162),ISNUMBER(G162),ISNUMBER(F162)),(E162-G162)*IF(D162="卖",-1,1)*F162,"")</f>
        <v/>
      </c>
      <c r="N162" s="49" t="str">
        <f>IF(A162="","",IFERROR(T(INDEX('交易记录'!$C$5:$C$304,MATCH(A162,'交易记录'!$A$5:$A$304,0))),"编号没找到"))</f>
        <v/>
      </c>
      <c r="O162" s="31" t="n"/>
    </row>
    <row r="163">
      <c r="A163" s="29" t="n"/>
      <c r="B163" s="30" t="n"/>
      <c r="C163" s="47" t="n"/>
      <c r="D163" s="32" t="n"/>
      <c r="E163" s="33" t="n"/>
      <c r="F163" s="36" t="n"/>
      <c r="G163" s="33" t="n"/>
      <c r="H163" s="20" t="str">
        <f>IF(AND(ISNUMBER(E163),ISNUMBER(F163)),E163*F163,"")</f>
        <v/>
      </c>
      <c r="I163" s="43" t="str">
        <f>IF(ISNUMBER(H163),ROUND(MAX(F163*'参数'!$C$11,'参数'!$C$12)+'参数'!$C$13,2),"")</f>
        <v/>
      </c>
      <c r="J163" s="43" t="str">
        <f>IF(ISNUMBER(H163),IF(D163="卖",ROUND(H163*N('参数'!$C$14)+F163*N('参数'!$C$15),2),0),"")</f>
        <v/>
      </c>
      <c r="K163" s="23" t="n"/>
      <c r="L163" s="20" t="str">
        <f>IF(ISNUMBER(K163),K163,IF(ISNUMBER(H163),I163+J163,""))</f>
        <v/>
      </c>
      <c r="M163" s="48" t="str">
        <f>IF(AND(ISNUMBER(E163),ISNUMBER(G163),ISNUMBER(F163)),(E163-G163)*IF(D163="卖",-1,1)*F163,"")</f>
        <v/>
      </c>
      <c r="N163" s="49" t="str">
        <f>IF(A163="","",IFERROR(T(INDEX('交易记录'!$C$5:$C$304,MATCH(A163,'交易记录'!$A$5:$A$304,0))),"编号没找到"))</f>
        <v/>
      </c>
      <c r="O163" s="31" t="n"/>
    </row>
    <row r="164">
      <c r="A164" s="29" t="n"/>
      <c r="B164" s="30" t="n"/>
      <c r="C164" s="47" t="n"/>
      <c r="D164" s="32" t="n"/>
      <c r="E164" s="33" t="n"/>
      <c r="F164" s="36" t="n"/>
      <c r="G164" s="33" t="n"/>
      <c r="H164" s="20" t="str">
        <f>IF(AND(ISNUMBER(E164),ISNUMBER(F164)),E164*F164,"")</f>
        <v/>
      </c>
      <c r="I164" s="43" t="str">
        <f>IF(ISNUMBER(H164),ROUND(MAX(F164*'参数'!$C$11,'参数'!$C$12)+'参数'!$C$13,2),"")</f>
        <v/>
      </c>
      <c r="J164" s="43" t="str">
        <f>IF(ISNUMBER(H164),IF(D164="卖",ROUND(H164*N('参数'!$C$14)+F164*N('参数'!$C$15),2),0),"")</f>
        <v/>
      </c>
      <c r="K164" s="23" t="n"/>
      <c r="L164" s="20" t="str">
        <f>IF(ISNUMBER(K164),K164,IF(ISNUMBER(H164),I164+J164,""))</f>
        <v/>
      </c>
      <c r="M164" s="48" t="str">
        <f>IF(AND(ISNUMBER(E164),ISNUMBER(G164),ISNUMBER(F164)),(E164-G164)*IF(D164="卖",-1,1)*F164,"")</f>
        <v/>
      </c>
      <c r="N164" s="49" t="str">
        <f>IF(A164="","",IFERROR(T(INDEX('交易记录'!$C$5:$C$304,MATCH(A164,'交易记录'!$A$5:$A$304,0))),"编号没找到"))</f>
        <v/>
      </c>
      <c r="O164" s="31" t="n"/>
    </row>
    <row r="165">
      <c r="A165" s="29" t="n"/>
      <c r="B165" s="30" t="n"/>
      <c r="C165" s="47" t="n"/>
      <c r="D165" s="32" t="n"/>
      <c r="E165" s="33" t="n"/>
      <c r="F165" s="36" t="n"/>
      <c r="G165" s="33" t="n"/>
      <c r="H165" s="20" t="str">
        <f>IF(AND(ISNUMBER(E165),ISNUMBER(F165)),E165*F165,"")</f>
        <v/>
      </c>
      <c r="I165" s="43" t="str">
        <f>IF(ISNUMBER(H165),ROUND(MAX(F165*'参数'!$C$11,'参数'!$C$12)+'参数'!$C$13,2),"")</f>
        <v/>
      </c>
      <c r="J165" s="43" t="str">
        <f>IF(ISNUMBER(H165),IF(D165="卖",ROUND(H165*N('参数'!$C$14)+F165*N('参数'!$C$15),2),0),"")</f>
        <v/>
      </c>
      <c r="K165" s="23" t="n"/>
      <c r="L165" s="20" t="str">
        <f>IF(ISNUMBER(K165),K165,IF(ISNUMBER(H165),I165+J165,""))</f>
        <v/>
      </c>
      <c r="M165" s="48" t="str">
        <f>IF(AND(ISNUMBER(E165),ISNUMBER(G165),ISNUMBER(F165)),(E165-G165)*IF(D165="卖",-1,1)*F165,"")</f>
        <v/>
      </c>
      <c r="N165" s="49" t="str">
        <f>IF(A165="","",IFERROR(T(INDEX('交易记录'!$C$5:$C$304,MATCH(A165,'交易记录'!$A$5:$A$304,0))),"编号没找到"))</f>
        <v/>
      </c>
      <c r="O165" s="31" t="n"/>
    </row>
    <row r="166">
      <c r="A166" s="29" t="n"/>
      <c r="B166" s="30" t="n"/>
      <c r="C166" s="47" t="n"/>
      <c r="D166" s="32" t="n"/>
      <c r="E166" s="33" t="n"/>
      <c r="F166" s="36" t="n"/>
      <c r="G166" s="33" t="n"/>
      <c r="H166" s="20" t="str">
        <f>IF(AND(ISNUMBER(E166),ISNUMBER(F166)),E166*F166,"")</f>
        <v/>
      </c>
      <c r="I166" s="43" t="str">
        <f>IF(ISNUMBER(H166),ROUND(MAX(F166*'参数'!$C$11,'参数'!$C$12)+'参数'!$C$13,2),"")</f>
        <v/>
      </c>
      <c r="J166" s="43" t="str">
        <f>IF(ISNUMBER(H166),IF(D166="卖",ROUND(H166*N('参数'!$C$14)+F166*N('参数'!$C$15),2),0),"")</f>
        <v/>
      </c>
      <c r="K166" s="23" t="n"/>
      <c r="L166" s="20" t="str">
        <f>IF(ISNUMBER(K166),K166,IF(ISNUMBER(H166),I166+J166,""))</f>
        <v/>
      </c>
      <c r="M166" s="48" t="str">
        <f>IF(AND(ISNUMBER(E166),ISNUMBER(G166),ISNUMBER(F166)),(E166-G166)*IF(D166="卖",-1,1)*F166,"")</f>
        <v/>
      </c>
      <c r="N166" s="49" t="str">
        <f>IF(A166="","",IFERROR(T(INDEX('交易记录'!$C$5:$C$304,MATCH(A166,'交易记录'!$A$5:$A$304,0))),"编号没找到"))</f>
        <v/>
      </c>
      <c r="O166" s="31" t="n"/>
    </row>
    <row r="167">
      <c r="A167" s="29" t="n"/>
      <c r="B167" s="30" t="n"/>
      <c r="C167" s="47" t="n"/>
      <c r="D167" s="32" t="n"/>
      <c r="E167" s="33" t="n"/>
      <c r="F167" s="36" t="n"/>
      <c r="G167" s="33" t="n"/>
      <c r="H167" s="20" t="str">
        <f>IF(AND(ISNUMBER(E167),ISNUMBER(F167)),E167*F167,"")</f>
        <v/>
      </c>
      <c r="I167" s="43" t="str">
        <f>IF(ISNUMBER(H167),ROUND(MAX(F167*'参数'!$C$11,'参数'!$C$12)+'参数'!$C$13,2),"")</f>
        <v/>
      </c>
      <c r="J167" s="43" t="str">
        <f>IF(ISNUMBER(H167),IF(D167="卖",ROUND(H167*N('参数'!$C$14)+F167*N('参数'!$C$15),2),0),"")</f>
        <v/>
      </c>
      <c r="K167" s="23" t="n"/>
      <c r="L167" s="20" t="str">
        <f>IF(ISNUMBER(K167),K167,IF(ISNUMBER(H167),I167+J167,""))</f>
        <v/>
      </c>
      <c r="M167" s="48" t="str">
        <f>IF(AND(ISNUMBER(E167),ISNUMBER(G167),ISNUMBER(F167)),(E167-G167)*IF(D167="卖",-1,1)*F167,"")</f>
        <v/>
      </c>
      <c r="N167" s="49" t="str">
        <f>IF(A167="","",IFERROR(T(INDEX('交易记录'!$C$5:$C$304,MATCH(A167,'交易记录'!$A$5:$A$304,0))),"编号没找到"))</f>
        <v/>
      </c>
      <c r="O167" s="31" t="n"/>
    </row>
    <row r="168">
      <c r="A168" s="29" t="n"/>
      <c r="B168" s="30" t="n"/>
      <c r="C168" s="47" t="n"/>
      <c r="D168" s="32" t="n"/>
      <c r="E168" s="33" t="n"/>
      <c r="F168" s="36" t="n"/>
      <c r="G168" s="33" t="n"/>
      <c r="H168" s="20" t="str">
        <f>IF(AND(ISNUMBER(E168),ISNUMBER(F168)),E168*F168,"")</f>
        <v/>
      </c>
      <c r="I168" s="43" t="str">
        <f>IF(ISNUMBER(H168),ROUND(MAX(F168*'参数'!$C$11,'参数'!$C$12)+'参数'!$C$13,2),"")</f>
        <v/>
      </c>
      <c r="J168" s="43" t="str">
        <f>IF(ISNUMBER(H168),IF(D168="卖",ROUND(H168*N('参数'!$C$14)+F168*N('参数'!$C$15),2),0),"")</f>
        <v/>
      </c>
      <c r="K168" s="23" t="n"/>
      <c r="L168" s="20" t="str">
        <f>IF(ISNUMBER(K168),K168,IF(ISNUMBER(H168),I168+J168,""))</f>
        <v/>
      </c>
      <c r="M168" s="48" t="str">
        <f>IF(AND(ISNUMBER(E168),ISNUMBER(G168),ISNUMBER(F168)),(E168-G168)*IF(D168="卖",-1,1)*F168,"")</f>
        <v/>
      </c>
      <c r="N168" s="49" t="str">
        <f>IF(A168="","",IFERROR(T(INDEX('交易记录'!$C$5:$C$304,MATCH(A168,'交易记录'!$A$5:$A$304,0))),"编号没找到"))</f>
        <v/>
      </c>
      <c r="O168" s="31" t="n"/>
    </row>
    <row r="169">
      <c r="A169" s="29" t="n"/>
      <c r="B169" s="30" t="n"/>
      <c r="C169" s="47" t="n"/>
      <c r="D169" s="32" t="n"/>
      <c r="E169" s="33" t="n"/>
      <c r="F169" s="36" t="n"/>
      <c r="G169" s="33" t="n"/>
      <c r="H169" s="20" t="str">
        <f>IF(AND(ISNUMBER(E169),ISNUMBER(F169)),E169*F169,"")</f>
        <v/>
      </c>
      <c r="I169" s="43" t="str">
        <f>IF(ISNUMBER(H169),ROUND(MAX(F169*'参数'!$C$11,'参数'!$C$12)+'参数'!$C$13,2),"")</f>
        <v/>
      </c>
      <c r="J169" s="43" t="str">
        <f>IF(ISNUMBER(H169),IF(D169="卖",ROUND(H169*N('参数'!$C$14)+F169*N('参数'!$C$15),2),0),"")</f>
        <v/>
      </c>
      <c r="K169" s="23" t="n"/>
      <c r="L169" s="20" t="str">
        <f>IF(ISNUMBER(K169),K169,IF(ISNUMBER(H169),I169+J169,""))</f>
        <v/>
      </c>
      <c r="M169" s="48" t="str">
        <f>IF(AND(ISNUMBER(E169),ISNUMBER(G169),ISNUMBER(F169)),(E169-G169)*IF(D169="卖",-1,1)*F169,"")</f>
        <v/>
      </c>
      <c r="N169" s="49" t="str">
        <f>IF(A169="","",IFERROR(T(INDEX('交易记录'!$C$5:$C$304,MATCH(A169,'交易记录'!$A$5:$A$304,0))),"编号没找到"))</f>
        <v/>
      </c>
      <c r="O169" s="31" t="n"/>
    </row>
    <row r="170">
      <c r="A170" s="29" t="n"/>
      <c r="B170" s="30" t="n"/>
      <c r="C170" s="47" t="n"/>
      <c r="D170" s="32" t="n"/>
      <c r="E170" s="33" t="n"/>
      <c r="F170" s="36" t="n"/>
      <c r="G170" s="33" t="n"/>
      <c r="H170" s="20" t="str">
        <f>IF(AND(ISNUMBER(E170),ISNUMBER(F170)),E170*F170,"")</f>
        <v/>
      </c>
      <c r="I170" s="43" t="str">
        <f>IF(ISNUMBER(H170),ROUND(MAX(F170*'参数'!$C$11,'参数'!$C$12)+'参数'!$C$13,2),"")</f>
        <v/>
      </c>
      <c r="J170" s="43" t="str">
        <f>IF(ISNUMBER(H170),IF(D170="卖",ROUND(H170*N('参数'!$C$14)+F170*N('参数'!$C$15),2),0),"")</f>
        <v/>
      </c>
      <c r="K170" s="23" t="n"/>
      <c r="L170" s="20" t="str">
        <f>IF(ISNUMBER(K170),K170,IF(ISNUMBER(H170),I170+J170,""))</f>
        <v/>
      </c>
      <c r="M170" s="48" t="str">
        <f>IF(AND(ISNUMBER(E170),ISNUMBER(G170),ISNUMBER(F170)),(E170-G170)*IF(D170="卖",-1,1)*F170,"")</f>
        <v/>
      </c>
      <c r="N170" s="49" t="str">
        <f>IF(A170="","",IFERROR(T(INDEX('交易记录'!$C$5:$C$304,MATCH(A170,'交易记录'!$A$5:$A$304,0))),"编号没找到"))</f>
        <v/>
      </c>
      <c r="O170" s="31" t="n"/>
    </row>
    <row r="171">
      <c r="A171" s="29" t="n"/>
      <c r="B171" s="30" t="n"/>
      <c r="C171" s="47" t="n"/>
      <c r="D171" s="32" t="n"/>
      <c r="E171" s="33" t="n"/>
      <c r="F171" s="36" t="n"/>
      <c r="G171" s="33" t="n"/>
      <c r="H171" s="20" t="str">
        <f>IF(AND(ISNUMBER(E171),ISNUMBER(F171)),E171*F171,"")</f>
        <v/>
      </c>
      <c r="I171" s="43" t="str">
        <f>IF(ISNUMBER(H171),ROUND(MAX(F171*'参数'!$C$11,'参数'!$C$12)+'参数'!$C$13,2),"")</f>
        <v/>
      </c>
      <c r="J171" s="43" t="str">
        <f>IF(ISNUMBER(H171),IF(D171="卖",ROUND(H171*N('参数'!$C$14)+F171*N('参数'!$C$15),2),0),"")</f>
        <v/>
      </c>
      <c r="K171" s="23" t="n"/>
      <c r="L171" s="20" t="str">
        <f>IF(ISNUMBER(K171),K171,IF(ISNUMBER(H171),I171+J171,""))</f>
        <v/>
      </c>
      <c r="M171" s="48" t="str">
        <f>IF(AND(ISNUMBER(E171),ISNUMBER(G171),ISNUMBER(F171)),(E171-G171)*IF(D171="卖",-1,1)*F171,"")</f>
        <v/>
      </c>
      <c r="N171" s="49" t="str">
        <f>IF(A171="","",IFERROR(T(INDEX('交易记录'!$C$5:$C$304,MATCH(A171,'交易记录'!$A$5:$A$304,0))),"编号没找到"))</f>
        <v/>
      </c>
      <c r="O171" s="31" t="n"/>
    </row>
    <row r="172">
      <c r="A172" s="29" t="n"/>
      <c r="B172" s="30" t="n"/>
      <c r="C172" s="47" t="n"/>
      <c r="D172" s="32" t="n"/>
      <c r="E172" s="33" t="n"/>
      <c r="F172" s="36" t="n"/>
      <c r="G172" s="33" t="n"/>
      <c r="H172" s="20" t="str">
        <f>IF(AND(ISNUMBER(E172),ISNUMBER(F172)),E172*F172,"")</f>
        <v/>
      </c>
      <c r="I172" s="43" t="str">
        <f>IF(ISNUMBER(H172),ROUND(MAX(F172*'参数'!$C$11,'参数'!$C$12)+'参数'!$C$13,2),"")</f>
        <v/>
      </c>
      <c r="J172" s="43" t="str">
        <f>IF(ISNUMBER(H172),IF(D172="卖",ROUND(H172*N('参数'!$C$14)+F172*N('参数'!$C$15),2),0),"")</f>
        <v/>
      </c>
      <c r="K172" s="23" t="n"/>
      <c r="L172" s="20" t="str">
        <f>IF(ISNUMBER(K172),K172,IF(ISNUMBER(H172),I172+J172,""))</f>
        <v/>
      </c>
      <c r="M172" s="48" t="str">
        <f>IF(AND(ISNUMBER(E172),ISNUMBER(G172),ISNUMBER(F172)),(E172-G172)*IF(D172="卖",-1,1)*F172,"")</f>
        <v/>
      </c>
      <c r="N172" s="49" t="str">
        <f>IF(A172="","",IFERROR(T(INDEX('交易记录'!$C$5:$C$304,MATCH(A172,'交易记录'!$A$5:$A$304,0))),"编号没找到"))</f>
        <v/>
      </c>
      <c r="O172" s="31" t="n"/>
    </row>
    <row r="173">
      <c r="A173" s="29" t="n"/>
      <c r="B173" s="30" t="n"/>
      <c r="C173" s="47" t="n"/>
      <c r="D173" s="32" t="n"/>
      <c r="E173" s="33" t="n"/>
      <c r="F173" s="36" t="n"/>
      <c r="G173" s="33" t="n"/>
      <c r="H173" s="20" t="str">
        <f>IF(AND(ISNUMBER(E173),ISNUMBER(F173)),E173*F173,"")</f>
        <v/>
      </c>
      <c r="I173" s="43" t="str">
        <f>IF(ISNUMBER(H173),ROUND(MAX(F173*'参数'!$C$11,'参数'!$C$12)+'参数'!$C$13,2),"")</f>
        <v/>
      </c>
      <c r="J173" s="43" t="str">
        <f>IF(ISNUMBER(H173),IF(D173="卖",ROUND(H173*N('参数'!$C$14)+F173*N('参数'!$C$15),2),0),"")</f>
        <v/>
      </c>
      <c r="K173" s="23" t="n"/>
      <c r="L173" s="20" t="str">
        <f>IF(ISNUMBER(K173),K173,IF(ISNUMBER(H173),I173+J173,""))</f>
        <v/>
      </c>
      <c r="M173" s="48" t="str">
        <f>IF(AND(ISNUMBER(E173),ISNUMBER(G173),ISNUMBER(F173)),(E173-G173)*IF(D173="卖",-1,1)*F173,"")</f>
        <v/>
      </c>
      <c r="N173" s="49" t="str">
        <f>IF(A173="","",IFERROR(T(INDEX('交易记录'!$C$5:$C$304,MATCH(A173,'交易记录'!$A$5:$A$304,0))),"编号没找到"))</f>
        <v/>
      </c>
      <c r="O173" s="31" t="n"/>
    </row>
    <row r="174">
      <c r="A174" s="29" t="n"/>
      <c r="B174" s="30" t="n"/>
      <c r="C174" s="47" t="n"/>
      <c r="D174" s="32" t="n"/>
      <c r="E174" s="33" t="n"/>
      <c r="F174" s="36" t="n"/>
      <c r="G174" s="33" t="n"/>
      <c r="H174" s="20" t="str">
        <f>IF(AND(ISNUMBER(E174),ISNUMBER(F174)),E174*F174,"")</f>
        <v/>
      </c>
      <c r="I174" s="43" t="str">
        <f>IF(ISNUMBER(H174),ROUND(MAX(F174*'参数'!$C$11,'参数'!$C$12)+'参数'!$C$13,2),"")</f>
        <v/>
      </c>
      <c r="J174" s="43" t="str">
        <f>IF(ISNUMBER(H174),IF(D174="卖",ROUND(H174*N('参数'!$C$14)+F174*N('参数'!$C$15),2),0),"")</f>
        <v/>
      </c>
      <c r="K174" s="23" t="n"/>
      <c r="L174" s="20" t="str">
        <f>IF(ISNUMBER(K174),K174,IF(ISNUMBER(H174),I174+J174,""))</f>
        <v/>
      </c>
      <c r="M174" s="48" t="str">
        <f>IF(AND(ISNUMBER(E174),ISNUMBER(G174),ISNUMBER(F174)),(E174-G174)*IF(D174="卖",-1,1)*F174,"")</f>
        <v/>
      </c>
      <c r="N174" s="49" t="str">
        <f>IF(A174="","",IFERROR(T(INDEX('交易记录'!$C$5:$C$304,MATCH(A174,'交易记录'!$A$5:$A$304,0))),"编号没找到"))</f>
        <v/>
      </c>
      <c r="O174" s="31" t="n"/>
    </row>
    <row r="175">
      <c r="A175" s="29" t="n"/>
      <c r="B175" s="30" t="n"/>
      <c r="C175" s="47" t="n"/>
      <c r="D175" s="32" t="n"/>
      <c r="E175" s="33" t="n"/>
      <c r="F175" s="36" t="n"/>
      <c r="G175" s="33" t="n"/>
      <c r="H175" s="20" t="str">
        <f>IF(AND(ISNUMBER(E175),ISNUMBER(F175)),E175*F175,"")</f>
        <v/>
      </c>
      <c r="I175" s="43" t="str">
        <f>IF(ISNUMBER(H175),ROUND(MAX(F175*'参数'!$C$11,'参数'!$C$12)+'参数'!$C$13,2),"")</f>
        <v/>
      </c>
      <c r="J175" s="43" t="str">
        <f>IF(ISNUMBER(H175),IF(D175="卖",ROUND(H175*N('参数'!$C$14)+F175*N('参数'!$C$15),2),0),"")</f>
        <v/>
      </c>
      <c r="K175" s="23" t="n"/>
      <c r="L175" s="20" t="str">
        <f>IF(ISNUMBER(K175),K175,IF(ISNUMBER(H175),I175+J175,""))</f>
        <v/>
      </c>
      <c r="M175" s="48" t="str">
        <f>IF(AND(ISNUMBER(E175),ISNUMBER(G175),ISNUMBER(F175)),(E175-G175)*IF(D175="卖",-1,1)*F175,"")</f>
        <v/>
      </c>
      <c r="N175" s="49" t="str">
        <f>IF(A175="","",IFERROR(T(INDEX('交易记录'!$C$5:$C$304,MATCH(A175,'交易记录'!$A$5:$A$304,0))),"编号没找到"))</f>
        <v/>
      </c>
      <c r="O175" s="31" t="n"/>
    </row>
    <row r="176">
      <c r="A176" s="29" t="n"/>
      <c r="B176" s="30" t="n"/>
      <c r="C176" s="47" t="n"/>
      <c r="D176" s="32" t="n"/>
      <c r="E176" s="33" t="n"/>
      <c r="F176" s="36" t="n"/>
      <c r="G176" s="33" t="n"/>
      <c r="H176" s="20" t="str">
        <f>IF(AND(ISNUMBER(E176),ISNUMBER(F176)),E176*F176,"")</f>
        <v/>
      </c>
      <c r="I176" s="43" t="str">
        <f>IF(ISNUMBER(H176),ROUND(MAX(F176*'参数'!$C$11,'参数'!$C$12)+'参数'!$C$13,2),"")</f>
        <v/>
      </c>
      <c r="J176" s="43" t="str">
        <f>IF(ISNUMBER(H176),IF(D176="卖",ROUND(H176*N('参数'!$C$14)+F176*N('参数'!$C$15),2),0),"")</f>
        <v/>
      </c>
      <c r="K176" s="23" t="n"/>
      <c r="L176" s="20" t="str">
        <f>IF(ISNUMBER(K176),K176,IF(ISNUMBER(H176),I176+J176,""))</f>
        <v/>
      </c>
      <c r="M176" s="48" t="str">
        <f>IF(AND(ISNUMBER(E176),ISNUMBER(G176),ISNUMBER(F176)),(E176-G176)*IF(D176="卖",-1,1)*F176,"")</f>
        <v/>
      </c>
      <c r="N176" s="49" t="str">
        <f>IF(A176="","",IFERROR(T(INDEX('交易记录'!$C$5:$C$304,MATCH(A176,'交易记录'!$A$5:$A$304,0))),"编号没找到"))</f>
        <v/>
      </c>
      <c r="O176" s="31" t="n"/>
    </row>
    <row r="177">
      <c r="A177" s="29" t="n"/>
      <c r="B177" s="30" t="n"/>
      <c r="C177" s="47" t="n"/>
      <c r="D177" s="32" t="n"/>
      <c r="E177" s="33" t="n"/>
      <c r="F177" s="36" t="n"/>
      <c r="G177" s="33" t="n"/>
      <c r="H177" s="20" t="str">
        <f>IF(AND(ISNUMBER(E177),ISNUMBER(F177)),E177*F177,"")</f>
        <v/>
      </c>
      <c r="I177" s="43" t="str">
        <f>IF(ISNUMBER(H177),ROUND(MAX(F177*'参数'!$C$11,'参数'!$C$12)+'参数'!$C$13,2),"")</f>
        <v/>
      </c>
      <c r="J177" s="43" t="str">
        <f>IF(ISNUMBER(H177),IF(D177="卖",ROUND(H177*N('参数'!$C$14)+F177*N('参数'!$C$15),2),0),"")</f>
        <v/>
      </c>
      <c r="K177" s="23" t="n"/>
      <c r="L177" s="20" t="str">
        <f>IF(ISNUMBER(K177),K177,IF(ISNUMBER(H177),I177+J177,""))</f>
        <v/>
      </c>
      <c r="M177" s="48" t="str">
        <f>IF(AND(ISNUMBER(E177),ISNUMBER(G177),ISNUMBER(F177)),(E177-G177)*IF(D177="卖",-1,1)*F177,"")</f>
        <v/>
      </c>
      <c r="N177" s="49" t="str">
        <f>IF(A177="","",IFERROR(T(INDEX('交易记录'!$C$5:$C$304,MATCH(A177,'交易记录'!$A$5:$A$304,0))),"编号没找到"))</f>
        <v/>
      </c>
      <c r="O177" s="31" t="n"/>
    </row>
    <row r="178">
      <c r="A178" s="29" t="n"/>
      <c r="B178" s="30" t="n"/>
      <c r="C178" s="47" t="n"/>
      <c r="D178" s="32" t="n"/>
      <c r="E178" s="33" t="n"/>
      <c r="F178" s="36" t="n"/>
      <c r="G178" s="33" t="n"/>
      <c r="H178" s="20" t="str">
        <f>IF(AND(ISNUMBER(E178),ISNUMBER(F178)),E178*F178,"")</f>
        <v/>
      </c>
      <c r="I178" s="43" t="str">
        <f>IF(ISNUMBER(H178),ROUND(MAX(F178*'参数'!$C$11,'参数'!$C$12)+'参数'!$C$13,2),"")</f>
        <v/>
      </c>
      <c r="J178" s="43" t="str">
        <f>IF(ISNUMBER(H178),IF(D178="卖",ROUND(H178*N('参数'!$C$14)+F178*N('参数'!$C$15),2),0),"")</f>
        <v/>
      </c>
      <c r="K178" s="23" t="n"/>
      <c r="L178" s="20" t="str">
        <f>IF(ISNUMBER(K178),K178,IF(ISNUMBER(H178),I178+J178,""))</f>
        <v/>
      </c>
      <c r="M178" s="48" t="str">
        <f>IF(AND(ISNUMBER(E178),ISNUMBER(G178),ISNUMBER(F178)),(E178-G178)*IF(D178="卖",-1,1)*F178,"")</f>
        <v/>
      </c>
      <c r="N178" s="49" t="str">
        <f>IF(A178="","",IFERROR(T(INDEX('交易记录'!$C$5:$C$304,MATCH(A178,'交易记录'!$A$5:$A$304,0))),"编号没找到"))</f>
        <v/>
      </c>
      <c r="O178" s="31" t="n"/>
    </row>
    <row r="179">
      <c r="A179" s="29" t="n"/>
      <c r="B179" s="30" t="n"/>
      <c r="C179" s="47" t="n"/>
      <c r="D179" s="32" t="n"/>
      <c r="E179" s="33" t="n"/>
      <c r="F179" s="36" t="n"/>
      <c r="G179" s="33" t="n"/>
      <c r="H179" s="20" t="str">
        <f>IF(AND(ISNUMBER(E179),ISNUMBER(F179)),E179*F179,"")</f>
        <v/>
      </c>
      <c r="I179" s="43" t="str">
        <f>IF(ISNUMBER(H179),ROUND(MAX(F179*'参数'!$C$11,'参数'!$C$12)+'参数'!$C$13,2),"")</f>
        <v/>
      </c>
      <c r="J179" s="43" t="str">
        <f>IF(ISNUMBER(H179),IF(D179="卖",ROUND(H179*N('参数'!$C$14)+F179*N('参数'!$C$15),2),0),"")</f>
        <v/>
      </c>
      <c r="K179" s="23" t="n"/>
      <c r="L179" s="20" t="str">
        <f>IF(ISNUMBER(K179),K179,IF(ISNUMBER(H179),I179+J179,""))</f>
        <v/>
      </c>
      <c r="M179" s="48" t="str">
        <f>IF(AND(ISNUMBER(E179),ISNUMBER(G179),ISNUMBER(F179)),(E179-G179)*IF(D179="卖",-1,1)*F179,"")</f>
        <v/>
      </c>
      <c r="N179" s="49" t="str">
        <f>IF(A179="","",IFERROR(T(INDEX('交易记录'!$C$5:$C$304,MATCH(A179,'交易记录'!$A$5:$A$304,0))),"编号没找到"))</f>
        <v/>
      </c>
      <c r="O179" s="31" t="n"/>
    </row>
    <row r="180">
      <c r="A180" s="29" t="n"/>
      <c r="B180" s="30" t="n"/>
      <c r="C180" s="47" t="n"/>
      <c r="D180" s="32" t="n"/>
      <c r="E180" s="33" t="n"/>
      <c r="F180" s="36" t="n"/>
      <c r="G180" s="33" t="n"/>
      <c r="H180" s="20" t="str">
        <f>IF(AND(ISNUMBER(E180),ISNUMBER(F180)),E180*F180,"")</f>
        <v/>
      </c>
      <c r="I180" s="43" t="str">
        <f>IF(ISNUMBER(H180),ROUND(MAX(F180*'参数'!$C$11,'参数'!$C$12)+'参数'!$C$13,2),"")</f>
        <v/>
      </c>
      <c r="J180" s="43" t="str">
        <f>IF(ISNUMBER(H180),IF(D180="卖",ROUND(H180*N('参数'!$C$14)+F180*N('参数'!$C$15),2),0),"")</f>
        <v/>
      </c>
      <c r="K180" s="23" t="n"/>
      <c r="L180" s="20" t="str">
        <f>IF(ISNUMBER(K180),K180,IF(ISNUMBER(H180),I180+J180,""))</f>
        <v/>
      </c>
      <c r="M180" s="48" t="str">
        <f>IF(AND(ISNUMBER(E180),ISNUMBER(G180),ISNUMBER(F180)),(E180-G180)*IF(D180="卖",-1,1)*F180,"")</f>
        <v/>
      </c>
      <c r="N180" s="49" t="str">
        <f>IF(A180="","",IFERROR(T(INDEX('交易记录'!$C$5:$C$304,MATCH(A180,'交易记录'!$A$5:$A$304,0))),"编号没找到"))</f>
        <v/>
      </c>
      <c r="O180" s="31" t="n"/>
    </row>
    <row r="181">
      <c r="A181" s="29" t="n"/>
      <c r="B181" s="30" t="n"/>
      <c r="C181" s="47" t="n"/>
      <c r="D181" s="32" t="n"/>
      <c r="E181" s="33" t="n"/>
      <c r="F181" s="36" t="n"/>
      <c r="G181" s="33" t="n"/>
      <c r="H181" s="20" t="str">
        <f>IF(AND(ISNUMBER(E181),ISNUMBER(F181)),E181*F181,"")</f>
        <v/>
      </c>
      <c r="I181" s="43" t="str">
        <f>IF(ISNUMBER(H181),ROUND(MAX(F181*'参数'!$C$11,'参数'!$C$12)+'参数'!$C$13,2),"")</f>
        <v/>
      </c>
      <c r="J181" s="43" t="str">
        <f>IF(ISNUMBER(H181),IF(D181="卖",ROUND(H181*N('参数'!$C$14)+F181*N('参数'!$C$15),2),0),"")</f>
        <v/>
      </c>
      <c r="K181" s="23" t="n"/>
      <c r="L181" s="20" t="str">
        <f>IF(ISNUMBER(K181),K181,IF(ISNUMBER(H181),I181+J181,""))</f>
        <v/>
      </c>
      <c r="M181" s="48" t="str">
        <f>IF(AND(ISNUMBER(E181),ISNUMBER(G181),ISNUMBER(F181)),(E181-G181)*IF(D181="卖",-1,1)*F181,"")</f>
        <v/>
      </c>
      <c r="N181" s="49" t="str">
        <f>IF(A181="","",IFERROR(T(INDEX('交易记录'!$C$5:$C$304,MATCH(A181,'交易记录'!$A$5:$A$304,0))),"编号没找到"))</f>
        <v/>
      </c>
      <c r="O181" s="31" t="n"/>
    </row>
    <row r="182">
      <c r="A182" s="29" t="n"/>
      <c r="B182" s="30" t="n"/>
      <c r="C182" s="47" t="n"/>
      <c r="D182" s="32" t="n"/>
      <c r="E182" s="33" t="n"/>
      <c r="F182" s="36" t="n"/>
      <c r="G182" s="33" t="n"/>
      <c r="H182" s="20" t="str">
        <f>IF(AND(ISNUMBER(E182),ISNUMBER(F182)),E182*F182,"")</f>
        <v/>
      </c>
      <c r="I182" s="43" t="str">
        <f>IF(ISNUMBER(H182),ROUND(MAX(F182*'参数'!$C$11,'参数'!$C$12)+'参数'!$C$13,2),"")</f>
        <v/>
      </c>
      <c r="J182" s="43" t="str">
        <f>IF(ISNUMBER(H182),IF(D182="卖",ROUND(H182*N('参数'!$C$14)+F182*N('参数'!$C$15),2),0),"")</f>
        <v/>
      </c>
      <c r="K182" s="23" t="n"/>
      <c r="L182" s="20" t="str">
        <f>IF(ISNUMBER(K182),K182,IF(ISNUMBER(H182),I182+J182,""))</f>
        <v/>
      </c>
      <c r="M182" s="48" t="str">
        <f>IF(AND(ISNUMBER(E182),ISNUMBER(G182),ISNUMBER(F182)),(E182-G182)*IF(D182="卖",-1,1)*F182,"")</f>
        <v/>
      </c>
      <c r="N182" s="49" t="str">
        <f>IF(A182="","",IFERROR(T(INDEX('交易记录'!$C$5:$C$304,MATCH(A182,'交易记录'!$A$5:$A$304,0))),"编号没找到"))</f>
        <v/>
      </c>
      <c r="O182" s="31" t="n"/>
    </row>
    <row r="183">
      <c r="A183" s="29" t="n"/>
      <c r="B183" s="30" t="n"/>
      <c r="C183" s="47" t="n"/>
      <c r="D183" s="32" t="n"/>
      <c r="E183" s="33" t="n"/>
      <c r="F183" s="36" t="n"/>
      <c r="G183" s="33" t="n"/>
      <c r="H183" s="20" t="str">
        <f>IF(AND(ISNUMBER(E183),ISNUMBER(F183)),E183*F183,"")</f>
        <v/>
      </c>
      <c r="I183" s="43" t="str">
        <f>IF(ISNUMBER(H183),ROUND(MAX(F183*'参数'!$C$11,'参数'!$C$12)+'参数'!$C$13,2),"")</f>
        <v/>
      </c>
      <c r="J183" s="43" t="str">
        <f>IF(ISNUMBER(H183),IF(D183="卖",ROUND(H183*N('参数'!$C$14)+F183*N('参数'!$C$15),2),0),"")</f>
        <v/>
      </c>
      <c r="K183" s="23" t="n"/>
      <c r="L183" s="20" t="str">
        <f>IF(ISNUMBER(K183),K183,IF(ISNUMBER(H183),I183+J183,""))</f>
        <v/>
      </c>
      <c r="M183" s="48" t="str">
        <f>IF(AND(ISNUMBER(E183),ISNUMBER(G183),ISNUMBER(F183)),(E183-G183)*IF(D183="卖",-1,1)*F183,"")</f>
        <v/>
      </c>
      <c r="N183" s="49" t="str">
        <f>IF(A183="","",IFERROR(T(INDEX('交易记录'!$C$5:$C$304,MATCH(A183,'交易记录'!$A$5:$A$304,0))),"编号没找到"))</f>
        <v/>
      </c>
      <c r="O183" s="31" t="n"/>
    </row>
    <row r="184">
      <c r="A184" s="29" t="n"/>
      <c r="B184" s="30" t="n"/>
      <c r="C184" s="47" t="n"/>
      <c r="D184" s="32" t="n"/>
      <c r="E184" s="33" t="n"/>
      <c r="F184" s="36" t="n"/>
      <c r="G184" s="33" t="n"/>
      <c r="H184" s="20" t="str">
        <f>IF(AND(ISNUMBER(E184),ISNUMBER(F184)),E184*F184,"")</f>
        <v/>
      </c>
      <c r="I184" s="43" t="str">
        <f>IF(ISNUMBER(H184),ROUND(MAX(F184*'参数'!$C$11,'参数'!$C$12)+'参数'!$C$13,2),"")</f>
        <v/>
      </c>
      <c r="J184" s="43" t="str">
        <f>IF(ISNUMBER(H184),IF(D184="卖",ROUND(H184*N('参数'!$C$14)+F184*N('参数'!$C$15),2),0),"")</f>
        <v/>
      </c>
      <c r="K184" s="23" t="n"/>
      <c r="L184" s="20" t="str">
        <f>IF(ISNUMBER(K184),K184,IF(ISNUMBER(H184),I184+J184,""))</f>
        <v/>
      </c>
      <c r="M184" s="48" t="str">
        <f>IF(AND(ISNUMBER(E184),ISNUMBER(G184),ISNUMBER(F184)),(E184-G184)*IF(D184="卖",-1,1)*F184,"")</f>
        <v/>
      </c>
      <c r="N184" s="49" t="str">
        <f>IF(A184="","",IFERROR(T(INDEX('交易记录'!$C$5:$C$304,MATCH(A184,'交易记录'!$A$5:$A$304,0))),"编号没找到"))</f>
        <v/>
      </c>
      <c r="O184" s="31" t="n"/>
    </row>
    <row r="185">
      <c r="A185" s="29" t="n"/>
      <c r="B185" s="30" t="n"/>
      <c r="C185" s="47" t="n"/>
      <c r="D185" s="32" t="n"/>
      <c r="E185" s="33" t="n"/>
      <c r="F185" s="36" t="n"/>
      <c r="G185" s="33" t="n"/>
      <c r="H185" s="20" t="str">
        <f>IF(AND(ISNUMBER(E185),ISNUMBER(F185)),E185*F185,"")</f>
        <v/>
      </c>
      <c r="I185" s="43" t="str">
        <f>IF(ISNUMBER(H185),ROUND(MAX(F185*'参数'!$C$11,'参数'!$C$12)+'参数'!$C$13,2),"")</f>
        <v/>
      </c>
      <c r="J185" s="43" t="str">
        <f>IF(ISNUMBER(H185),IF(D185="卖",ROUND(H185*N('参数'!$C$14)+F185*N('参数'!$C$15),2),0),"")</f>
        <v/>
      </c>
      <c r="K185" s="23" t="n"/>
      <c r="L185" s="20" t="str">
        <f>IF(ISNUMBER(K185),K185,IF(ISNUMBER(H185),I185+J185,""))</f>
        <v/>
      </c>
      <c r="M185" s="48" t="str">
        <f>IF(AND(ISNUMBER(E185),ISNUMBER(G185),ISNUMBER(F185)),(E185-G185)*IF(D185="卖",-1,1)*F185,"")</f>
        <v/>
      </c>
      <c r="N185" s="49" t="str">
        <f>IF(A185="","",IFERROR(T(INDEX('交易记录'!$C$5:$C$304,MATCH(A185,'交易记录'!$A$5:$A$304,0))),"编号没找到"))</f>
        <v/>
      </c>
      <c r="O185" s="31" t="n"/>
    </row>
    <row r="186">
      <c r="A186" s="29" t="n"/>
      <c r="B186" s="30" t="n"/>
      <c r="C186" s="47" t="n"/>
      <c r="D186" s="32" t="n"/>
      <c r="E186" s="33" t="n"/>
      <c r="F186" s="36" t="n"/>
      <c r="G186" s="33" t="n"/>
      <c r="H186" s="20" t="str">
        <f>IF(AND(ISNUMBER(E186),ISNUMBER(F186)),E186*F186,"")</f>
        <v/>
      </c>
      <c r="I186" s="43" t="str">
        <f>IF(ISNUMBER(H186),ROUND(MAX(F186*'参数'!$C$11,'参数'!$C$12)+'参数'!$C$13,2),"")</f>
        <v/>
      </c>
      <c r="J186" s="43" t="str">
        <f>IF(ISNUMBER(H186),IF(D186="卖",ROUND(H186*N('参数'!$C$14)+F186*N('参数'!$C$15),2),0),"")</f>
        <v/>
      </c>
      <c r="K186" s="23" t="n"/>
      <c r="L186" s="20" t="str">
        <f>IF(ISNUMBER(K186),K186,IF(ISNUMBER(H186),I186+J186,""))</f>
        <v/>
      </c>
      <c r="M186" s="48" t="str">
        <f>IF(AND(ISNUMBER(E186),ISNUMBER(G186),ISNUMBER(F186)),(E186-G186)*IF(D186="卖",-1,1)*F186,"")</f>
        <v/>
      </c>
      <c r="N186" s="49" t="str">
        <f>IF(A186="","",IFERROR(T(INDEX('交易记录'!$C$5:$C$304,MATCH(A186,'交易记录'!$A$5:$A$304,0))),"编号没找到"))</f>
        <v/>
      </c>
      <c r="O186" s="31" t="n"/>
    </row>
    <row r="187">
      <c r="A187" s="29" t="n"/>
      <c r="B187" s="30" t="n"/>
      <c r="C187" s="47" t="n"/>
      <c r="D187" s="32" t="n"/>
      <c r="E187" s="33" t="n"/>
      <c r="F187" s="36" t="n"/>
      <c r="G187" s="33" t="n"/>
      <c r="H187" s="20" t="str">
        <f>IF(AND(ISNUMBER(E187),ISNUMBER(F187)),E187*F187,"")</f>
        <v/>
      </c>
      <c r="I187" s="43" t="str">
        <f>IF(ISNUMBER(H187),ROUND(MAX(F187*'参数'!$C$11,'参数'!$C$12)+'参数'!$C$13,2),"")</f>
        <v/>
      </c>
      <c r="J187" s="43" t="str">
        <f>IF(ISNUMBER(H187),IF(D187="卖",ROUND(H187*N('参数'!$C$14)+F187*N('参数'!$C$15),2),0),"")</f>
        <v/>
      </c>
      <c r="K187" s="23" t="n"/>
      <c r="L187" s="20" t="str">
        <f>IF(ISNUMBER(K187),K187,IF(ISNUMBER(H187),I187+J187,""))</f>
        <v/>
      </c>
      <c r="M187" s="48" t="str">
        <f>IF(AND(ISNUMBER(E187),ISNUMBER(G187),ISNUMBER(F187)),(E187-G187)*IF(D187="卖",-1,1)*F187,"")</f>
        <v/>
      </c>
      <c r="N187" s="49" t="str">
        <f>IF(A187="","",IFERROR(T(INDEX('交易记录'!$C$5:$C$304,MATCH(A187,'交易记录'!$A$5:$A$304,0))),"编号没找到"))</f>
        <v/>
      </c>
      <c r="O187" s="31" t="n"/>
    </row>
    <row r="188">
      <c r="A188" s="29" t="n"/>
      <c r="B188" s="30" t="n"/>
      <c r="C188" s="47" t="n"/>
      <c r="D188" s="32" t="n"/>
      <c r="E188" s="33" t="n"/>
      <c r="F188" s="36" t="n"/>
      <c r="G188" s="33" t="n"/>
      <c r="H188" s="20" t="str">
        <f>IF(AND(ISNUMBER(E188),ISNUMBER(F188)),E188*F188,"")</f>
        <v/>
      </c>
      <c r="I188" s="43" t="str">
        <f>IF(ISNUMBER(H188),ROUND(MAX(F188*'参数'!$C$11,'参数'!$C$12)+'参数'!$C$13,2),"")</f>
        <v/>
      </c>
      <c r="J188" s="43" t="str">
        <f>IF(ISNUMBER(H188),IF(D188="卖",ROUND(H188*N('参数'!$C$14)+F188*N('参数'!$C$15),2),0),"")</f>
        <v/>
      </c>
      <c r="K188" s="23" t="n"/>
      <c r="L188" s="20" t="str">
        <f>IF(ISNUMBER(K188),K188,IF(ISNUMBER(H188),I188+J188,""))</f>
        <v/>
      </c>
      <c r="M188" s="48" t="str">
        <f>IF(AND(ISNUMBER(E188),ISNUMBER(G188),ISNUMBER(F188)),(E188-G188)*IF(D188="卖",-1,1)*F188,"")</f>
        <v/>
      </c>
      <c r="N188" s="49" t="str">
        <f>IF(A188="","",IFERROR(T(INDEX('交易记录'!$C$5:$C$304,MATCH(A188,'交易记录'!$A$5:$A$304,0))),"编号没找到"))</f>
        <v/>
      </c>
      <c r="O188" s="31" t="n"/>
    </row>
    <row r="189">
      <c r="A189" s="29" t="n"/>
      <c r="B189" s="30" t="n"/>
      <c r="C189" s="47" t="n"/>
      <c r="D189" s="32" t="n"/>
      <c r="E189" s="33" t="n"/>
      <c r="F189" s="36" t="n"/>
      <c r="G189" s="33" t="n"/>
      <c r="H189" s="20" t="str">
        <f>IF(AND(ISNUMBER(E189),ISNUMBER(F189)),E189*F189,"")</f>
        <v/>
      </c>
      <c r="I189" s="43" t="str">
        <f>IF(ISNUMBER(H189),ROUND(MAX(F189*'参数'!$C$11,'参数'!$C$12)+'参数'!$C$13,2),"")</f>
        <v/>
      </c>
      <c r="J189" s="43" t="str">
        <f>IF(ISNUMBER(H189),IF(D189="卖",ROUND(H189*N('参数'!$C$14)+F189*N('参数'!$C$15),2),0),"")</f>
        <v/>
      </c>
      <c r="K189" s="23" t="n"/>
      <c r="L189" s="20" t="str">
        <f>IF(ISNUMBER(K189),K189,IF(ISNUMBER(H189),I189+J189,""))</f>
        <v/>
      </c>
      <c r="M189" s="48" t="str">
        <f>IF(AND(ISNUMBER(E189),ISNUMBER(G189),ISNUMBER(F189)),(E189-G189)*IF(D189="卖",-1,1)*F189,"")</f>
        <v/>
      </c>
      <c r="N189" s="49" t="str">
        <f>IF(A189="","",IFERROR(T(INDEX('交易记录'!$C$5:$C$304,MATCH(A189,'交易记录'!$A$5:$A$304,0))),"编号没找到"))</f>
        <v/>
      </c>
      <c r="O189" s="31" t="n"/>
    </row>
    <row r="190">
      <c r="A190" s="29" t="n"/>
      <c r="B190" s="30" t="n"/>
      <c r="C190" s="47" t="n"/>
      <c r="D190" s="32" t="n"/>
      <c r="E190" s="33" t="n"/>
      <c r="F190" s="36" t="n"/>
      <c r="G190" s="33" t="n"/>
      <c r="H190" s="20" t="str">
        <f>IF(AND(ISNUMBER(E190),ISNUMBER(F190)),E190*F190,"")</f>
        <v/>
      </c>
      <c r="I190" s="43" t="str">
        <f>IF(ISNUMBER(H190),ROUND(MAX(F190*'参数'!$C$11,'参数'!$C$12)+'参数'!$C$13,2),"")</f>
        <v/>
      </c>
      <c r="J190" s="43" t="str">
        <f>IF(ISNUMBER(H190),IF(D190="卖",ROUND(H190*N('参数'!$C$14)+F190*N('参数'!$C$15),2),0),"")</f>
        <v/>
      </c>
      <c r="K190" s="23" t="n"/>
      <c r="L190" s="20" t="str">
        <f>IF(ISNUMBER(K190),K190,IF(ISNUMBER(H190),I190+J190,""))</f>
        <v/>
      </c>
      <c r="M190" s="48" t="str">
        <f>IF(AND(ISNUMBER(E190),ISNUMBER(G190),ISNUMBER(F190)),(E190-G190)*IF(D190="卖",-1,1)*F190,"")</f>
        <v/>
      </c>
      <c r="N190" s="49" t="str">
        <f>IF(A190="","",IFERROR(T(INDEX('交易记录'!$C$5:$C$304,MATCH(A190,'交易记录'!$A$5:$A$304,0))),"编号没找到"))</f>
        <v/>
      </c>
      <c r="O190" s="31" t="n"/>
    </row>
    <row r="191">
      <c r="A191" s="29" t="n"/>
      <c r="B191" s="30" t="n"/>
      <c r="C191" s="47" t="n"/>
      <c r="D191" s="32" t="n"/>
      <c r="E191" s="33" t="n"/>
      <c r="F191" s="36" t="n"/>
      <c r="G191" s="33" t="n"/>
      <c r="H191" s="20" t="str">
        <f>IF(AND(ISNUMBER(E191),ISNUMBER(F191)),E191*F191,"")</f>
        <v/>
      </c>
      <c r="I191" s="43" t="str">
        <f>IF(ISNUMBER(H191),ROUND(MAX(F191*'参数'!$C$11,'参数'!$C$12)+'参数'!$C$13,2),"")</f>
        <v/>
      </c>
      <c r="J191" s="43" t="str">
        <f>IF(ISNUMBER(H191),IF(D191="卖",ROUND(H191*N('参数'!$C$14)+F191*N('参数'!$C$15),2),0),"")</f>
        <v/>
      </c>
      <c r="K191" s="23" t="n"/>
      <c r="L191" s="20" t="str">
        <f>IF(ISNUMBER(K191),K191,IF(ISNUMBER(H191),I191+J191,""))</f>
        <v/>
      </c>
      <c r="M191" s="48" t="str">
        <f>IF(AND(ISNUMBER(E191),ISNUMBER(G191),ISNUMBER(F191)),(E191-G191)*IF(D191="卖",-1,1)*F191,"")</f>
        <v/>
      </c>
      <c r="N191" s="49" t="str">
        <f>IF(A191="","",IFERROR(T(INDEX('交易记录'!$C$5:$C$304,MATCH(A191,'交易记录'!$A$5:$A$304,0))),"编号没找到"))</f>
        <v/>
      </c>
      <c r="O191" s="31" t="n"/>
    </row>
    <row r="192">
      <c r="A192" s="29" t="n"/>
      <c r="B192" s="30" t="n"/>
      <c r="C192" s="47" t="n"/>
      <c r="D192" s="32" t="n"/>
      <c r="E192" s="33" t="n"/>
      <c r="F192" s="36" t="n"/>
      <c r="G192" s="33" t="n"/>
      <c r="H192" s="20" t="str">
        <f>IF(AND(ISNUMBER(E192),ISNUMBER(F192)),E192*F192,"")</f>
        <v/>
      </c>
      <c r="I192" s="43" t="str">
        <f>IF(ISNUMBER(H192),ROUND(MAX(F192*'参数'!$C$11,'参数'!$C$12)+'参数'!$C$13,2),"")</f>
        <v/>
      </c>
      <c r="J192" s="43" t="str">
        <f>IF(ISNUMBER(H192),IF(D192="卖",ROUND(H192*N('参数'!$C$14)+F192*N('参数'!$C$15),2),0),"")</f>
        <v/>
      </c>
      <c r="K192" s="23" t="n"/>
      <c r="L192" s="20" t="str">
        <f>IF(ISNUMBER(K192),K192,IF(ISNUMBER(H192),I192+J192,""))</f>
        <v/>
      </c>
      <c r="M192" s="48" t="str">
        <f>IF(AND(ISNUMBER(E192),ISNUMBER(G192),ISNUMBER(F192)),(E192-G192)*IF(D192="卖",-1,1)*F192,"")</f>
        <v/>
      </c>
      <c r="N192" s="49" t="str">
        <f>IF(A192="","",IFERROR(T(INDEX('交易记录'!$C$5:$C$304,MATCH(A192,'交易记录'!$A$5:$A$304,0))),"编号没找到"))</f>
        <v/>
      </c>
      <c r="O192" s="31" t="n"/>
    </row>
    <row r="193">
      <c r="A193" s="29" t="n"/>
      <c r="B193" s="30" t="n"/>
      <c r="C193" s="47" t="n"/>
      <c r="D193" s="32" t="n"/>
      <c r="E193" s="33" t="n"/>
      <c r="F193" s="36" t="n"/>
      <c r="G193" s="33" t="n"/>
      <c r="H193" s="20" t="str">
        <f>IF(AND(ISNUMBER(E193),ISNUMBER(F193)),E193*F193,"")</f>
        <v/>
      </c>
      <c r="I193" s="43" t="str">
        <f>IF(ISNUMBER(H193),ROUND(MAX(F193*'参数'!$C$11,'参数'!$C$12)+'参数'!$C$13,2),"")</f>
        <v/>
      </c>
      <c r="J193" s="43" t="str">
        <f>IF(ISNUMBER(H193),IF(D193="卖",ROUND(H193*N('参数'!$C$14)+F193*N('参数'!$C$15),2),0),"")</f>
        <v/>
      </c>
      <c r="K193" s="23" t="n"/>
      <c r="L193" s="20" t="str">
        <f>IF(ISNUMBER(K193),K193,IF(ISNUMBER(H193),I193+J193,""))</f>
        <v/>
      </c>
      <c r="M193" s="48" t="str">
        <f>IF(AND(ISNUMBER(E193),ISNUMBER(G193),ISNUMBER(F193)),(E193-G193)*IF(D193="卖",-1,1)*F193,"")</f>
        <v/>
      </c>
      <c r="N193" s="49" t="str">
        <f>IF(A193="","",IFERROR(T(INDEX('交易记录'!$C$5:$C$304,MATCH(A193,'交易记录'!$A$5:$A$304,0))),"编号没找到"))</f>
        <v/>
      </c>
      <c r="O193" s="31" t="n"/>
    </row>
    <row r="194">
      <c r="A194" s="29" t="n"/>
      <c r="B194" s="30" t="n"/>
      <c r="C194" s="47" t="n"/>
      <c r="D194" s="32" t="n"/>
      <c r="E194" s="33" t="n"/>
      <c r="F194" s="36" t="n"/>
      <c r="G194" s="33" t="n"/>
      <c r="H194" s="20" t="str">
        <f>IF(AND(ISNUMBER(E194),ISNUMBER(F194)),E194*F194,"")</f>
        <v/>
      </c>
      <c r="I194" s="43" t="str">
        <f>IF(ISNUMBER(H194),ROUND(MAX(F194*'参数'!$C$11,'参数'!$C$12)+'参数'!$C$13,2),"")</f>
        <v/>
      </c>
      <c r="J194" s="43" t="str">
        <f>IF(ISNUMBER(H194),IF(D194="卖",ROUND(H194*N('参数'!$C$14)+F194*N('参数'!$C$15),2),0),"")</f>
        <v/>
      </c>
      <c r="K194" s="23" t="n"/>
      <c r="L194" s="20" t="str">
        <f>IF(ISNUMBER(K194),K194,IF(ISNUMBER(H194),I194+J194,""))</f>
        <v/>
      </c>
      <c r="M194" s="48" t="str">
        <f>IF(AND(ISNUMBER(E194),ISNUMBER(G194),ISNUMBER(F194)),(E194-G194)*IF(D194="卖",-1,1)*F194,"")</f>
        <v/>
      </c>
      <c r="N194" s="49" t="str">
        <f>IF(A194="","",IFERROR(T(INDEX('交易记录'!$C$5:$C$304,MATCH(A194,'交易记录'!$A$5:$A$304,0))),"编号没找到"))</f>
        <v/>
      </c>
      <c r="O194" s="31" t="n"/>
    </row>
    <row r="195">
      <c r="A195" s="29" t="n"/>
      <c r="B195" s="30" t="n"/>
      <c r="C195" s="47" t="n"/>
      <c r="D195" s="32" t="n"/>
      <c r="E195" s="33" t="n"/>
      <c r="F195" s="36" t="n"/>
      <c r="G195" s="33" t="n"/>
      <c r="H195" s="20" t="str">
        <f>IF(AND(ISNUMBER(E195),ISNUMBER(F195)),E195*F195,"")</f>
        <v/>
      </c>
      <c r="I195" s="43" t="str">
        <f>IF(ISNUMBER(H195),ROUND(MAX(F195*'参数'!$C$11,'参数'!$C$12)+'参数'!$C$13,2),"")</f>
        <v/>
      </c>
      <c r="J195" s="43" t="str">
        <f>IF(ISNUMBER(H195),IF(D195="卖",ROUND(H195*N('参数'!$C$14)+F195*N('参数'!$C$15),2),0),"")</f>
        <v/>
      </c>
      <c r="K195" s="23" t="n"/>
      <c r="L195" s="20" t="str">
        <f>IF(ISNUMBER(K195),K195,IF(ISNUMBER(H195),I195+J195,""))</f>
        <v/>
      </c>
      <c r="M195" s="48" t="str">
        <f>IF(AND(ISNUMBER(E195),ISNUMBER(G195),ISNUMBER(F195)),(E195-G195)*IF(D195="卖",-1,1)*F195,"")</f>
        <v/>
      </c>
      <c r="N195" s="49" t="str">
        <f>IF(A195="","",IFERROR(T(INDEX('交易记录'!$C$5:$C$304,MATCH(A195,'交易记录'!$A$5:$A$304,0))),"编号没找到"))</f>
        <v/>
      </c>
      <c r="O195" s="31" t="n"/>
    </row>
    <row r="196">
      <c r="A196" s="29" t="n"/>
      <c r="B196" s="30" t="n"/>
      <c r="C196" s="47" t="n"/>
      <c r="D196" s="32" t="n"/>
      <c r="E196" s="33" t="n"/>
      <c r="F196" s="36" t="n"/>
      <c r="G196" s="33" t="n"/>
      <c r="H196" s="20" t="str">
        <f>IF(AND(ISNUMBER(E196),ISNUMBER(F196)),E196*F196,"")</f>
        <v/>
      </c>
      <c r="I196" s="43" t="str">
        <f>IF(ISNUMBER(H196),ROUND(MAX(F196*'参数'!$C$11,'参数'!$C$12)+'参数'!$C$13,2),"")</f>
        <v/>
      </c>
      <c r="J196" s="43" t="str">
        <f>IF(ISNUMBER(H196),IF(D196="卖",ROUND(H196*N('参数'!$C$14)+F196*N('参数'!$C$15),2),0),"")</f>
        <v/>
      </c>
      <c r="K196" s="23" t="n"/>
      <c r="L196" s="20" t="str">
        <f>IF(ISNUMBER(K196),K196,IF(ISNUMBER(H196),I196+J196,""))</f>
        <v/>
      </c>
      <c r="M196" s="48" t="str">
        <f>IF(AND(ISNUMBER(E196),ISNUMBER(G196),ISNUMBER(F196)),(E196-G196)*IF(D196="卖",-1,1)*F196,"")</f>
        <v/>
      </c>
      <c r="N196" s="49" t="str">
        <f>IF(A196="","",IFERROR(T(INDEX('交易记录'!$C$5:$C$304,MATCH(A196,'交易记录'!$A$5:$A$304,0))),"编号没找到"))</f>
        <v/>
      </c>
      <c r="O196" s="31" t="n"/>
    </row>
    <row r="197">
      <c r="A197" s="29" t="n"/>
      <c r="B197" s="30" t="n"/>
      <c r="C197" s="47" t="n"/>
      <c r="D197" s="32" t="n"/>
      <c r="E197" s="33" t="n"/>
      <c r="F197" s="36" t="n"/>
      <c r="G197" s="33" t="n"/>
      <c r="H197" s="20" t="str">
        <f>IF(AND(ISNUMBER(E197),ISNUMBER(F197)),E197*F197,"")</f>
        <v/>
      </c>
      <c r="I197" s="43" t="str">
        <f>IF(ISNUMBER(H197),ROUND(MAX(F197*'参数'!$C$11,'参数'!$C$12)+'参数'!$C$13,2),"")</f>
        <v/>
      </c>
      <c r="J197" s="43" t="str">
        <f>IF(ISNUMBER(H197),IF(D197="卖",ROUND(H197*N('参数'!$C$14)+F197*N('参数'!$C$15),2),0),"")</f>
        <v/>
      </c>
      <c r="K197" s="23" t="n"/>
      <c r="L197" s="20" t="str">
        <f>IF(ISNUMBER(K197),K197,IF(ISNUMBER(H197),I197+J197,""))</f>
        <v/>
      </c>
      <c r="M197" s="48" t="str">
        <f>IF(AND(ISNUMBER(E197),ISNUMBER(G197),ISNUMBER(F197)),(E197-G197)*IF(D197="卖",-1,1)*F197,"")</f>
        <v/>
      </c>
      <c r="N197" s="49" t="str">
        <f>IF(A197="","",IFERROR(T(INDEX('交易记录'!$C$5:$C$304,MATCH(A197,'交易记录'!$A$5:$A$304,0))),"编号没找到"))</f>
        <v/>
      </c>
      <c r="O197" s="31" t="n"/>
    </row>
    <row r="198">
      <c r="A198" s="29" t="n"/>
      <c r="B198" s="30" t="n"/>
      <c r="C198" s="47" t="n"/>
      <c r="D198" s="32" t="n"/>
      <c r="E198" s="33" t="n"/>
      <c r="F198" s="36" t="n"/>
      <c r="G198" s="33" t="n"/>
      <c r="H198" s="20" t="str">
        <f>IF(AND(ISNUMBER(E198),ISNUMBER(F198)),E198*F198,"")</f>
        <v/>
      </c>
      <c r="I198" s="43" t="str">
        <f>IF(ISNUMBER(H198),ROUND(MAX(F198*'参数'!$C$11,'参数'!$C$12)+'参数'!$C$13,2),"")</f>
        <v/>
      </c>
      <c r="J198" s="43" t="str">
        <f>IF(ISNUMBER(H198),IF(D198="卖",ROUND(H198*N('参数'!$C$14)+F198*N('参数'!$C$15),2),0),"")</f>
        <v/>
      </c>
      <c r="K198" s="23" t="n"/>
      <c r="L198" s="20" t="str">
        <f>IF(ISNUMBER(K198),K198,IF(ISNUMBER(H198),I198+J198,""))</f>
        <v/>
      </c>
      <c r="M198" s="48" t="str">
        <f>IF(AND(ISNUMBER(E198),ISNUMBER(G198),ISNUMBER(F198)),(E198-G198)*IF(D198="卖",-1,1)*F198,"")</f>
        <v/>
      </c>
      <c r="N198" s="49" t="str">
        <f>IF(A198="","",IFERROR(T(INDEX('交易记录'!$C$5:$C$304,MATCH(A198,'交易记录'!$A$5:$A$304,0))),"编号没找到"))</f>
        <v/>
      </c>
      <c r="O198" s="31" t="n"/>
    </row>
    <row r="199">
      <c r="A199" s="29" t="n"/>
      <c r="B199" s="30" t="n"/>
      <c r="C199" s="47" t="n"/>
      <c r="D199" s="32" t="n"/>
      <c r="E199" s="33" t="n"/>
      <c r="F199" s="36" t="n"/>
      <c r="G199" s="33" t="n"/>
      <c r="H199" s="20" t="str">
        <f>IF(AND(ISNUMBER(E199),ISNUMBER(F199)),E199*F199,"")</f>
        <v/>
      </c>
      <c r="I199" s="43" t="str">
        <f>IF(ISNUMBER(H199),ROUND(MAX(F199*'参数'!$C$11,'参数'!$C$12)+'参数'!$C$13,2),"")</f>
        <v/>
      </c>
      <c r="J199" s="43" t="str">
        <f>IF(ISNUMBER(H199),IF(D199="卖",ROUND(H199*N('参数'!$C$14)+F199*N('参数'!$C$15),2),0),"")</f>
        <v/>
      </c>
      <c r="K199" s="23" t="n"/>
      <c r="L199" s="20" t="str">
        <f>IF(ISNUMBER(K199),K199,IF(ISNUMBER(H199),I199+J199,""))</f>
        <v/>
      </c>
      <c r="M199" s="48" t="str">
        <f>IF(AND(ISNUMBER(E199),ISNUMBER(G199),ISNUMBER(F199)),(E199-G199)*IF(D199="卖",-1,1)*F199,"")</f>
        <v/>
      </c>
      <c r="N199" s="49" t="str">
        <f>IF(A199="","",IFERROR(T(INDEX('交易记录'!$C$5:$C$304,MATCH(A199,'交易记录'!$A$5:$A$304,0))),"编号没找到"))</f>
        <v/>
      </c>
      <c r="O199" s="31" t="n"/>
    </row>
    <row r="200">
      <c r="A200" s="29" t="n"/>
      <c r="B200" s="30" t="n"/>
      <c r="C200" s="47" t="n"/>
      <c r="D200" s="32" t="n"/>
      <c r="E200" s="33" t="n"/>
      <c r="F200" s="36" t="n"/>
      <c r="G200" s="33" t="n"/>
      <c r="H200" s="20" t="str">
        <f>IF(AND(ISNUMBER(E200),ISNUMBER(F200)),E200*F200,"")</f>
        <v/>
      </c>
      <c r="I200" s="43" t="str">
        <f>IF(ISNUMBER(H200),ROUND(MAX(F200*'参数'!$C$11,'参数'!$C$12)+'参数'!$C$13,2),"")</f>
        <v/>
      </c>
      <c r="J200" s="43" t="str">
        <f>IF(ISNUMBER(H200),IF(D200="卖",ROUND(H200*N('参数'!$C$14)+F200*N('参数'!$C$15),2),0),"")</f>
        <v/>
      </c>
      <c r="K200" s="23" t="n"/>
      <c r="L200" s="20" t="str">
        <f>IF(ISNUMBER(K200),K200,IF(ISNUMBER(H200),I200+J200,""))</f>
        <v/>
      </c>
      <c r="M200" s="48" t="str">
        <f>IF(AND(ISNUMBER(E200),ISNUMBER(G200),ISNUMBER(F200)),(E200-G200)*IF(D200="卖",-1,1)*F200,"")</f>
        <v/>
      </c>
      <c r="N200" s="49" t="str">
        <f>IF(A200="","",IFERROR(T(INDEX('交易记录'!$C$5:$C$304,MATCH(A200,'交易记录'!$A$5:$A$304,0))),"编号没找到"))</f>
        <v/>
      </c>
      <c r="O200" s="31" t="n"/>
    </row>
    <row r="201">
      <c r="A201" s="29" t="n"/>
      <c r="B201" s="30" t="n"/>
      <c r="C201" s="47" t="n"/>
      <c r="D201" s="32" t="n"/>
      <c r="E201" s="33" t="n"/>
      <c r="F201" s="36" t="n"/>
      <c r="G201" s="33" t="n"/>
      <c r="H201" s="20" t="str">
        <f>IF(AND(ISNUMBER(E201),ISNUMBER(F201)),E201*F201,"")</f>
        <v/>
      </c>
      <c r="I201" s="43" t="str">
        <f>IF(ISNUMBER(H201),ROUND(MAX(F201*'参数'!$C$11,'参数'!$C$12)+'参数'!$C$13,2),"")</f>
        <v/>
      </c>
      <c r="J201" s="43" t="str">
        <f>IF(ISNUMBER(H201),IF(D201="卖",ROUND(H201*N('参数'!$C$14)+F201*N('参数'!$C$15),2),0),"")</f>
        <v/>
      </c>
      <c r="K201" s="23" t="n"/>
      <c r="L201" s="20" t="str">
        <f>IF(ISNUMBER(K201),K201,IF(ISNUMBER(H201),I201+J201,""))</f>
        <v/>
      </c>
      <c r="M201" s="48" t="str">
        <f>IF(AND(ISNUMBER(E201),ISNUMBER(G201),ISNUMBER(F201)),(E201-G201)*IF(D201="卖",-1,1)*F201,"")</f>
        <v/>
      </c>
      <c r="N201" s="49" t="str">
        <f>IF(A201="","",IFERROR(T(INDEX('交易记录'!$C$5:$C$304,MATCH(A201,'交易记录'!$A$5:$A$304,0))),"编号没找到"))</f>
        <v/>
      </c>
      <c r="O201" s="31" t="n"/>
    </row>
    <row r="202">
      <c r="A202" s="29" t="n"/>
      <c r="B202" s="30" t="n"/>
      <c r="C202" s="47" t="n"/>
      <c r="D202" s="32" t="n"/>
      <c r="E202" s="33" t="n"/>
      <c r="F202" s="36" t="n"/>
      <c r="G202" s="33" t="n"/>
      <c r="H202" s="20" t="str">
        <f>IF(AND(ISNUMBER(E202),ISNUMBER(F202)),E202*F202,"")</f>
        <v/>
      </c>
      <c r="I202" s="43" t="str">
        <f>IF(ISNUMBER(H202),ROUND(MAX(F202*'参数'!$C$11,'参数'!$C$12)+'参数'!$C$13,2),"")</f>
        <v/>
      </c>
      <c r="J202" s="43" t="str">
        <f>IF(ISNUMBER(H202),IF(D202="卖",ROUND(H202*N('参数'!$C$14)+F202*N('参数'!$C$15),2),0),"")</f>
        <v/>
      </c>
      <c r="K202" s="23" t="n"/>
      <c r="L202" s="20" t="str">
        <f>IF(ISNUMBER(K202),K202,IF(ISNUMBER(H202),I202+J202,""))</f>
        <v/>
      </c>
      <c r="M202" s="48" t="str">
        <f>IF(AND(ISNUMBER(E202),ISNUMBER(G202),ISNUMBER(F202)),(E202-G202)*IF(D202="卖",-1,1)*F202,"")</f>
        <v/>
      </c>
      <c r="N202" s="49" t="str">
        <f>IF(A202="","",IFERROR(T(INDEX('交易记录'!$C$5:$C$304,MATCH(A202,'交易记录'!$A$5:$A$304,0))),"编号没找到"))</f>
        <v/>
      </c>
      <c r="O202" s="31" t="n"/>
    </row>
    <row r="203">
      <c r="A203" s="29" t="n"/>
      <c r="B203" s="30" t="n"/>
      <c r="C203" s="47" t="n"/>
      <c r="D203" s="32" t="n"/>
      <c r="E203" s="33" t="n"/>
      <c r="F203" s="36" t="n"/>
      <c r="G203" s="33" t="n"/>
      <c r="H203" s="20" t="str">
        <f>IF(AND(ISNUMBER(E203),ISNUMBER(F203)),E203*F203,"")</f>
        <v/>
      </c>
      <c r="I203" s="43" t="str">
        <f>IF(ISNUMBER(H203),ROUND(MAX(F203*'参数'!$C$11,'参数'!$C$12)+'参数'!$C$13,2),"")</f>
        <v/>
      </c>
      <c r="J203" s="43" t="str">
        <f>IF(ISNUMBER(H203),IF(D203="卖",ROUND(H203*N('参数'!$C$14)+F203*N('参数'!$C$15),2),0),"")</f>
        <v/>
      </c>
      <c r="K203" s="23" t="n"/>
      <c r="L203" s="20" t="str">
        <f>IF(ISNUMBER(K203),K203,IF(ISNUMBER(H203),I203+J203,""))</f>
        <v/>
      </c>
      <c r="M203" s="48" t="str">
        <f>IF(AND(ISNUMBER(E203),ISNUMBER(G203),ISNUMBER(F203)),(E203-G203)*IF(D203="卖",-1,1)*F203,"")</f>
        <v/>
      </c>
      <c r="N203" s="49" t="str">
        <f>IF(A203="","",IFERROR(T(INDEX('交易记录'!$C$5:$C$304,MATCH(A203,'交易记录'!$A$5:$A$304,0))),"编号没找到"))</f>
        <v/>
      </c>
      <c r="O203" s="31" t="n"/>
    </row>
    <row r="204">
      <c r="A204" s="29" t="n"/>
      <c r="B204" s="30" t="n"/>
      <c r="C204" s="47" t="n"/>
      <c r="D204" s="32" t="n"/>
      <c r="E204" s="33" t="n"/>
      <c r="F204" s="36" t="n"/>
      <c r="G204" s="33" t="n"/>
      <c r="H204" s="20" t="str">
        <f>IF(AND(ISNUMBER(E204),ISNUMBER(F204)),E204*F204,"")</f>
        <v/>
      </c>
      <c r="I204" s="43" t="str">
        <f>IF(ISNUMBER(H204),ROUND(MAX(F204*'参数'!$C$11,'参数'!$C$12)+'参数'!$C$13,2),"")</f>
        <v/>
      </c>
      <c r="J204" s="43" t="str">
        <f>IF(ISNUMBER(H204),IF(D204="卖",ROUND(H204*N('参数'!$C$14)+F204*N('参数'!$C$15),2),0),"")</f>
        <v/>
      </c>
      <c r="K204" s="23" t="n"/>
      <c r="L204" s="20" t="str">
        <f>IF(ISNUMBER(K204),K204,IF(ISNUMBER(H204),I204+J204,""))</f>
        <v/>
      </c>
      <c r="M204" s="48" t="str">
        <f>IF(AND(ISNUMBER(E204),ISNUMBER(G204),ISNUMBER(F204)),(E204-G204)*IF(D204="卖",-1,1)*F204,"")</f>
        <v/>
      </c>
      <c r="N204" s="49" t="str">
        <f>IF(A204="","",IFERROR(T(INDEX('交易记录'!$C$5:$C$304,MATCH(A204,'交易记录'!$A$5:$A$304,0))),"编号没找到"))</f>
        <v/>
      </c>
      <c r="O204" s="31" t="n"/>
    </row>
    <row r="205">
      <c r="A205" s="29" t="n"/>
      <c r="B205" s="30" t="n"/>
      <c r="C205" s="47" t="n"/>
      <c r="D205" s="32" t="n"/>
      <c r="E205" s="33" t="n"/>
      <c r="F205" s="36" t="n"/>
      <c r="G205" s="33" t="n"/>
      <c r="H205" s="20" t="str">
        <f>IF(AND(ISNUMBER(E205),ISNUMBER(F205)),E205*F205,"")</f>
        <v/>
      </c>
      <c r="I205" s="43" t="str">
        <f>IF(ISNUMBER(H205),ROUND(MAX(F205*'参数'!$C$11,'参数'!$C$12)+'参数'!$C$13,2),"")</f>
        <v/>
      </c>
      <c r="J205" s="43" t="str">
        <f>IF(ISNUMBER(H205),IF(D205="卖",ROUND(H205*N('参数'!$C$14)+F205*N('参数'!$C$15),2),0),"")</f>
        <v/>
      </c>
      <c r="K205" s="23" t="n"/>
      <c r="L205" s="20" t="str">
        <f>IF(ISNUMBER(K205),K205,IF(ISNUMBER(H205),I205+J205,""))</f>
        <v/>
      </c>
      <c r="M205" s="48" t="str">
        <f>IF(AND(ISNUMBER(E205),ISNUMBER(G205),ISNUMBER(F205)),(E205-G205)*IF(D205="卖",-1,1)*F205,"")</f>
        <v/>
      </c>
      <c r="N205" s="49" t="str">
        <f>IF(A205="","",IFERROR(T(INDEX('交易记录'!$C$5:$C$304,MATCH(A205,'交易记录'!$A$5:$A$304,0))),"编号没找到"))</f>
        <v/>
      </c>
      <c r="O205" s="31" t="n"/>
    </row>
    <row r="206">
      <c r="A206" s="29" t="n"/>
      <c r="B206" s="30" t="n"/>
      <c r="C206" s="47" t="n"/>
      <c r="D206" s="32" t="n"/>
      <c r="E206" s="33" t="n"/>
      <c r="F206" s="36" t="n"/>
      <c r="G206" s="33" t="n"/>
      <c r="H206" s="20" t="str">
        <f>IF(AND(ISNUMBER(E206),ISNUMBER(F206)),E206*F206,"")</f>
        <v/>
      </c>
      <c r="I206" s="43" t="str">
        <f>IF(ISNUMBER(H206),ROUND(MAX(F206*'参数'!$C$11,'参数'!$C$12)+'参数'!$C$13,2),"")</f>
        <v/>
      </c>
      <c r="J206" s="43" t="str">
        <f>IF(ISNUMBER(H206),IF(D206="卖",ROUND(H206*N('参数'!$C$14)+F206*N('参数'!$C$15),2),0),"")</f>
        <v/>
      </c>
      <c r="K206" s="23" t="n"/>
      <c r="L206" s="20" t="str">
        <f>IF(ISNUMBER(K206),K206,IF(ISNUMBER(H206),I206+J206,""))</f>
        <v/>
      </c>
      <c r="M206" s="48" t="str">
        <f>IF(AND(ISNUMBER(E206),ISNUMBER(G206),ISNUMBER(F206)),(E206-G206)*IF(D206="卖",-1,1)*F206,"")</f>
        <v/>
      </c>
      <c r="N206" s="49" t="str">
        <f>IF(A206="","",IFERROR(T(INDEX('交易记录'!$C$5:$C$304,MATCH(A206,'交易记录'!$A$5:$A$304,0))),"编号没找到"))</f>
        <v/>
      </c>
      <c r="O206" s="31" t="n"/>
    </row>
    <row r="207">
      <c r="A207" s="29" t="n"/>
      <c r="B207" s="30" t="n"/>
      <c r="C207" s="47" t="n"/>
      <c r="D207" s="32" t="n"/>
      <c r="E207" s="33" t="n"/>
      <c r="F207" s="36" t="n"/>
      <c r="G207" s="33" t="n"/>
      <c r="H207" s="20" t="str">
        <f>IF(AND(ISNUMBER(E207),ISNUMBER(F207)),E207*F207,"")</f>
        <v/>
      </c>
      <c r="I207" s="43" t="str">
        <f>IF(ISNUMBER(H207),ROUND(MAX(F207*'参数'!$C$11,'参数'!$C$12)+'参数'!$C$13,2),"")</f>
        <v/>
      </c>
      <c r="J207" s="43" t="str">
        <f>IF(ISNUMBER(H207),IF(D207="卖",ROUND(H207*N('参数'!$C$14)+F207*N('参数'!$C$15),2),0),"")</f>
        <v/>
      </c>
      <c r="K207" s="23" t="n"/>
      <c r="L207" s="20" t="str">
        <f>IF(ISNUMBER(K207),K207,IF(ISNUMBER(H207),I207+J207,""))</f>
        <v/>
      </c>
      <c r="M207" s="48" t="str">
        <f>IF(AND(ISNUMBER(E207),ISNUMBER(G207),ISNUMBER(F207)),(E207-G207)*IF(D207="卖",-1,1)*F207,"")</f>
        <v/>
      </c>
      <c r="N207" s="49" t="str">
        <f>IF(A207="","",IFERROR(T(INDEX('交易记录'!$C$5:$C$304,MATCH(A207,'交易记录'!$A$5:$A$304,0))),"编号没找到"))</f>
        <v/>
      </c>
      <c r="O207" s="31" t="n"/>
    </row>
    <row r="208">
      <c r="A208" s="29" t="n"/>
      <c r="B208" s="30" t="n"/>
      <c r="C208" s="47" t="n"/>
      <c r="D208" s="32" t="n"/>
      <c r="E208" s="33" t="n"/>
      <c r="F208" s="36" t="n"/>
      <c r="G208" s="33" t="n"/>
      <c r="H208" s="20" t="str">
        <f>IF(AND(ISNUMBER(E208),ISNUMBER(F208)),E208*F208,"")</f>
        <v/>
      </c>
      <c r="I208" s="43" t="str">
        <f>IF(ISNUMBER(H208),ROUND(MAX(F208*'参数'!$C$11,'参数'!$C$12)+'参数'!$C$13,2),"")</f>
        <v/>
      </c>
      <c r="J208" s="43" t="str">
        <f>IF(ISNUMBER(H208),IF(D208="卖",ROUND(H208*N('参数'!$C$14)+F208*N('参数'!$C$15),2),0),"")</f>
        <v/>
      </c>
      <c r="K208" s="23" t="n"/>
      <c r="L208" s="20" t="str">
        <f>IF(ISNUMBER(K208),K208,IF(ISNUMBER(H208),I208+J208,""))</f>
        <v/>
      </c>
      <c r="M208" s="48" t="str">
        <f>IF(AND(ISNUMBER(E208),ISNUMBER(G208),ISNUMBER(F208)),(E208-G208)*IF(D208="卖",-1,1)*F208,"")</f>
        <v/>
      </c>
      <c r="N208" s="49" t="str">
        <f>IF(A208="","",IFERROR(T(INDEX('交易记录'!$C$5:$C$304,MATCH(A208,'交易记录'!$A$5:$A$304,0))),"编号没找到"))</f>
        <v/>
      </c>
      <c r="O208" s="31" t="n"/>
    </row>
    <row r="209">
      <c r="A209" s="29" t="n"/>
      <c r="B209" s="30" t="n"/>
      <c r="C209" s="47" t="n"/>
      <c r="D209" s="32" t="n"/>
      <c r="E209" s="33" t="n"/>
      <c r="F209" s="36" t="n"/>
      <c r="G209" s="33" t="n"/>
      <c r="H209" s="20" t="str">
        <f>IF(AND(ISNUMBER(E209),ISNUMBER(F209)),E209*F209,"")</f>
        <v/>
      </c>
      <c r="I209" s="43" t="str">
        <f>IF(ISNUMBER(H209),ROUND(MAX(F209*'参数'!$C$11,'参数'!$C$12)+'参数'!$C$13,2),"")</f>
        <v/>
      </c>
      <c r="J209" s="43" t="str">
        <f>IF(ISNUMBER(H209),IF(D209="卖",ROUND(H209*N('参数'!$C$14)+F209*N('参数'!$C$15),2),0),"")</f>
        <v/>
      </c>
      <c r="K209" s="23" t="n"/>
      <c r="L209" s="20" t="str">
        <f>IF(ISNUMBER(K209),K209,IF(ISNUMBER(H209),I209+J209,""))</f>
        <v/>
      </c>
      <c r="M209" s="48" t="str">
        <f>IF(AND(ISNUMBER(E209),ISNUMBER(G209),ISNUMBER(F209)),(E209-G209)*IF(D209="卖",-1,1)*F209,"")</f>
        <v/>
      </c>
      <c r="N209" s="49" t="str">
        <f>IF(A209="","",IFERROR(T(INDEX('交易记录'!$C$5:$C$304,MATCH(A209,'交易记录'!$A$5:$A$304,0))),"编号没找到"))</f>
        <v/>
      </c>
      <c r="O209" s="31" t="n"/>
    </row>
    <row r="210">
      <c r="A210" s="29" t="n"/>
      <c r="B210" s="30" t="n"/>
      <c r="C210" s="47" t="n"/>
      <c r="D210" s="32" t="n"/>
      <c r="E210" s="33" t="n"/>
      <c r="F210" s="36" t="n"/>
      <c r="G210" s="33" t="n"/>
      <c r="H210" s="20" t="str">
        <f>IF(AND(ISNUMBER(E210),ISNUMBER(F210)),E210*F210,"")</f>
        <v/>
      </c>
      <c r="I210" s="43" t="str">
        <f>IF(ISNUMBER(H210),ROUND(MAX(F210*'参数'!$C$11,'参数'!$C$12)+'参数'!$C$13,2),"")</f>
        <v/>
      </c>
      <c r="J210" s="43" t="str">
        <f>IF(ISNUMBER(H210),IF(D210="卖",ROUND(H210*N('参数'!$C$14)+F210*N('参数'!$C$15),2),0),"")</f>
        <v/>
      </c>
      <c r="K210" s="23" t="n"/>
      <c r="L210" s="20" t="str">
        <f>IF(ISNUMBER(K210),K210,IF(ISNUMBER(H210),I210+J210,""))</f>
        <v/>
      </c>
      <c r="M210" s="48" t="str">
        <f>IF(AND(ISNUMBER(E210),ISNUMBER(G210),ISNUMBER(F210)),(E210-G210)*IF(D210="卖",-1,1)*F210,"")</f>
        <v/>
      </c>
      <c r="N210" s="49" t="str">
        <f>IF(A210="","",IFERROR(T(INDEX('交易记录'!$C$5:$C$304,MATCH(A210,'交易记录'!$A$5:$A$304,0))),"编号没找到"))</f>
        <v/>
      </c>
      <c r="O210" s="31" t="n"/>
    </row>
    <row r="211">
      <c r="A211" s="29" t="n"/>
      <c r="B211" s="30" t="n"/>
      <c r="C211" s="47" t="n"/>
      <c r="D211" s="32" t="n"/>
      <c r="E211" s="33" t="n"/>
      <c r="F211" s="36" t="n"/>
      <c r="G211" s="33" t="n"/>
      <c r="H211" s="20" t="str">
        <f>IF(AND(ISNUMBER(E211),ISNUMBER(F211)),E211*F211,"")</f>
        <v/>
      </c>
      <c r="I211" s="43" t="str">
        <f>IF(ISNUMBER(H211),ROUND(MAX(F211*'参数'!$C$11,'参数'!$C$12)+'参数'!$C$13,2),"")</f>
        <v/>
      </c>
      <c r="J211" s="43" t="str">
        <f>IF(ISNUMBER(H211),IF(D211="卖",ROUND(H211*N('参数'!$C$14)+F211*N('参数'!$C$15),2),0),"")</f>
        <v/>
      </c>
      <c r="K211" s="23" t="n"/>
      <c r="L211" s="20" t="str">
        <f>IF(ISNUMBER(K211),K211,IF(ISNUMBER(H211),I211+J211,""))</f>
        <v/>
      </c>
      <c r="M211" s="48" t="str">
        <f>IF(AND(ISNUMBER(E211),ISNUMBER(G211),ISNUMBER(F211)),(E211-G211)*IF(D211="卖",-1,1)*F211,"")</f>
        <v/>
      </c>
      <c r="N211" s="49" t="str">
        <f>IF(A211="","",IFERROR(T(INDEX('交易记录'!$C$5:$C$304,MATCH(A211,'交易记录'!$A$5:$A$304,0))),"编号没找到"))</f>
        <v/>
      </c>
      <c r="O211" s="31" t="n"/>
    </row>
    <row r="212">
      <c r="A212" s="29" t="n"/>
      <c r="B212" s="30" t="n"/>
      <c r="C212" s="47" t="n"/>
      <c r="D212" s="32" t="n"/>
      <c r="E212" s="33" t="n"/>
      <c r="F212" s="36" t="n"/>
      <c r="G212" s="33" t="n"/>
      <c r="H212" s="20" t="str">
        <f>IF(AND(ISNUMBER(E212),ISNUMBER(F212)),E212*F212,"")</f>
        <v/>
      </c>
      <c r="I212" s="43" t="str">
        <f>IF(ISNUMBER(H212),ROUND(MAX(F212*'参数'!$C$11,'参数'!$C$12)+'参数'!$C$13,2),"")</f>
        <v/>
      </c>
      <c r="J212" s="43" t="str">
        <f>IF(ISNUMBER(H212),IF(D212="卖",ROUND(H212*N('参数'!$C$14)+F212*N('参数'!$C$15),2),0),"")</f>
        <v/>
      </c>
      <c r="K212" s="23" t="n"/>
      <c r="L212" s="20" t="str">
        <f>IF(ISNUMBER(K212),K212,IF(ISNUMBER(H212),I212+J212,""))</f>
        <v/>
      </c>
      <c r="M212" s="48" t="str">
        <f>IF(AND(ISNUMBER(E212),ISNUMBER(G212),ISNUMBER(F212)),(E212-G212)*IF(D212="卖",-1,1)*F212,"")</f>
        <v/>
      </c>
      <c r="N212" s="49" t="str">
        <f>IF(A212="","",IFERROR(T(INDEX('交易记录'!$C$5:$C$304,MATCH(A212,'交易记录'!$A$5:$A$304,0))),"编号没找到"))</f>
        <v/>
      </c>
      <c r="O212" s="31" t="n"/>
    </row>
    <row r="213">
      <c r="A213" s="29" t="n"/>
      <c r="B213" s="30" t="n"/>
      <c r="C213" s="47" t="n"/>
      <c r="D213" s="32" t="n"/>
      <c r="E213" s="33" t="n"/>
      <c r="F213" s="36" t="n"/>
      <c r="G213" s="33" t="n"/>
      <c r="H213" s="20" t="str">
        <f>IF(AND(ISNUMBER(E213),ISNUMBER(F213)),E213*F213,"")</f>
        <v/>
      </c>
      <c r="I213" s="43" t="str">
        <f>IF(ISNUMBER(H213),ROUND(MAX(F213*'参数'!$C$11,'参数'!$C$12)+'参数'!$C$13,2),"")</f>
        <v/>
      </c>
      <c r="J213" s="43" t="str">
        <f>IF(ISNUMBER(H213),IF(D213="卖",ROUND(H213*N('参数'!$C$14)+F213*N('参数'!$C$15),2),0),"")</f>
        <v/>
      </c>
      <c r="K213" s="23" t="n"/>
      <c r="L213" s="20" t="str">
        <f>IF(ISNUMBER(K213),K213,IF(ISNUMBER(H213),I213+J213,""))</f>
        <v/>
      </c>
      <c r="M213" s="48" t="str">
        <f>IF(AND(ISNUMBER(E213),ISNUMBER(G213),ISNUMBER(F213)),(E213-G213)*IF(D213="卖",-1,1)*F213,"")</f>
        <v/>
      </c>
      <c r="N213" s="49" t="str">
        <f>IF(A213="","",IFERROR(T(INDEX('交易记录'!$C$5:$C$304,MATCH(A213,'交易记录'!$A$5:$A$304,0))),"编号没找到"))</f>
        <v/>
      </c>
      <c r="O213" s="31" t="n"/>
    </row>
    <row r="214">
      <c r="A214" s="29" t="n"/>
      <c r="B214" s="30" t="n"/>
      <c r="C214" s="47" t="n"/>
      <c r="D214" s="32" t="n"/>
      <c r="E214" s="33" t="n"/>
      <c r="F214" s="36" t="n"/>
      <c r="G214" s="33" t="n"/>
      <c r="H214" s="20" t="str">
        <f>IF(AND(ISNUMBER(E214),ISNUMBER(F214)),E214*F214,"")</f>
        <v/>
      </c>
      <c r="I214" s="43" t="str">
        <f>IF(ISNUMBER(H214),ROUND(MAX(F214*'参数'!$C$11,'参数'!$C$12)+'参数'!$C$13,2),"")</f>
        <v/>
      </c>
      <c r="J214" s="43" t="str">
        <f>IF(ISNUMBER(H214),IF(D214="卖",ROUND(H214*N('参数'!$C$14)+F214*N('参数'!$C$15),2),0),"")</f>
        <v/>
      </c>
      <c r="K214" s="23" t="n"/>
      <c r="L214" s="20" t="str">
        <f>IF(ISNUMBER(K214),K214,IF(ISNUMBER(H214),I214+J214,""))</f>
        <v/>
      </c>
      <c r="M214" s="48" t="str">
        <f>IF(AND(ISNUMBER(E214),ISNUMBER(G214),ISNUMBER(F214)),(E214-G214)*IF(D214="卖",-1,1)*F214,"")</f>
        <v/>
      </c>
      <c r="N214" s="49" t="str">
        <f>IF(A214="","",IFERROR(T(INDEX('交易记录'!$C$5:$C$304,MATCH(A214,'交易记录'!$A$5:$A$304,0))),"编号没找到"))</f>
        <v/>
      </c>
      <c r="O214" s="31" t="n"/>
    </row>
    <row r="215">
      <c r="A215" s="29" t="n"/>
      <c r="B215" s="30" t="n"/>
      <c r="C215" s="47" t="n"/>
      <c r="D215" s="32" t="n"/>
      <c r="E215" s="33" t="n"/>
      <c r="F215" s="36" t="n"/>
      <c r="G215" s="33" t="n"/>
      <c r="H215" s="20" t="str">
        <f>IF(AND(ISNUMBER(E215),ISNUMBER(F215)),E215*F215,"")</f>
        <v/>
      </c>
      <c r="I215" s="43" t="str">
        <f>IF(ISNUMBER(H215),ROUND(MAX(F215*'参数'!$C$11,'参数'!$C$12)+'参数'!$C$13,2),"")</f>
        <v/>
      </c>
      <c r="J215" s="43" t="str">
        <f>IF(ISNUMBER(H215),IF(D215="卖",ROUND(H215*N('参数'!$C$14)+F215*N('参数'!$C$15),2),0),"")</f>
        <v/>
      </c>
      <c r="K215" s="23" t="n"/>
      <c r="L215" s="20" t="str">
        <f>IF(ISNUMBER(K215),K215,IF(ISNUMBER(H215),I215+J215,""))</f>
        <v/>
      </c>
      <c r="M215" s="48" t="str">
        <f>IF(AND(ISNUMBER(E215),ISNUMBER(G215),ISNUMBER(F215)),(E215-G215)*IF(D215="卖",-1,1)*F215,"")</f>
        <v/>
      </c>
      <c r="N215" s="49" t="str">
        <f>IF(A215="","",IFERROR(T(INDEX('交易记录'!$C$5:$C$304,MATCH(A215,'交易记录'!$A$5:$A$304,0))),"编号没找到"))</f>
        <v/>
      </c>
      <c r="O215" s="31" t="n"/>
    </row>
    <row r="216">
      <c r="A216" s="29" t="n"/>
      <c r="B216" s="30" t="n"/>
      <c r="C216" s="47" t="n"/>
      <c r="D216" s="32" t="n"/>
      <c r="E216" s="33" t="n"/>
      <c r="F216" s="36" t="n"/>
      <c r="G216" s="33" t="n"/>
      <c r="H216" s="20" t="str">
        <f>IF(AND(ISNUMBER(E216),ISNUMBER(F216)),E216*F216,"")</f>
        <v/>
      </c>
      <c r="I216" s="43" t="str">
        <f>IF(ISNUMBER(H216),ROUND(MAX(F216*'参数'!$C$11,'参数'!$C$12)+'参数'!$C$13,2),"")</f>
        <v/>
      </c>
      <c r="J216" s="43" t="str">
        <f>IF(ISNUMBER(H216),IF(D216="卖",ROUND(H216*N('参数'!$C$14)+F216*N('参数'!$C$15),2),0),"")</f>
        <v/>
      </c>
      <c r="K216" s="23" t="n"/>
      <c r="L216" s="20" t="str">
        <f>IF(ISNUMBER(K216),K216,IF(ISNUMBER(H216),I216+J216,""))</f>
        <v/>
      </c>
      <c r="M216" s="48" t="str">
        <f>IF(AND(ISNUMBER(E216),ISNUMBER(G216),ISNUMBER(F216)),(E216-G216)*IF(D216="卖",-1,1)*F216,"")</f>
        <v/>
      </c>
      <c r="N216" s="49" t="str">
        <f>IF(A216="","",IFERROR(T(INDEX('交易记录'!$C$5:$C$304,MATCH(A216,'交易记录'!$A$5:$A$304,0))),"编号没找到"))</f>
        <v/>
      </c>
      <c r="O216" s="31" t="n"/>
    </row>
    <row r="217">
      <c r="A217" s="29" t="n"/>
      <c r="B217" s="30" t="n"/>
      <c r="C217" s="47" t="n"/>
      <c r="D217" s="32" t="n"/>
      <c r="E217" s="33" t="n"/>
      <c r="F217" s="36" t="n"/>
      <c r="G217" s="33" t="n"/>
      <c r="H217" s="20" t="str">
        <f>IF(AND(ISNUMBER(E217),ISNUMBER(F217)),E217*F217,"")</f>
        <v/>
      </c>
      <c r="I217" s="43" t="str">
        <f>IF(ISNUMBER(H217),ROUND(MAX(F217*'参数'!$C$11,'参数'!$C$12)+'参数'!$C$13,2),"")</f>
        <v/>
      </c>
      <c r="J217" s="43" t="str">
        <f>IF(ISNUMBER(H217),IF(D217="卖",ROUND(H217*N('参数'!$C$14)+F217*N('参数'!$C$15),2),0),"")</f>
        <v/>
      </c>
      <c r="K217" s="23" t="n"/>
      <c r="L217" s="20" t="str">
        <f>IF(ISNUMBER(K217),K217,IF(ISNUMBER(H217),I217+J217,""))</f>
        <v/>
      </c>
      <c r="M217" s="48" t="str">
        <f>IF(AND(ISNUMBER(E217),ISNUMBER(G217),ISNUMBER(F217)),(E217-G217)*IF(D217="卖",-1,1)*F217,"")</f>
        <v/>
      </c>
      <c r="N217" s="49" t="str">
        <f>IF(A217="","",IFERROR(T(INDEX('交易记录'!$C$5:$C$304,MATCH(A217,'交易记录'!$A$5:$A$304,0))),"编号没找到"))</f>
        <v/>
      </c>
      <c r="O217" s="31" t="n"/>
    </row>
    <row r="218">
      <c r="A218" s="29" t="n"/>
      <c r="B218" s="30" t="n"/>
      <c r="C218" s="47" t="n"/>
      <c r="D218" s="32" t="n"/>
      <c r="E218" s="33" t="n"/>
      <c r="F218" s="36" t="n"/>
      <c r="G218" s="33" t="n"/>
      <c r="H218" s="20" t="str">
        <f>IF(AND(ISNUMBER(E218),ISNUMBER(F218)),E218*F218,"")</f>
        <v/>
      </c>
      <c r="I218" s="43" t="str">
        <f>IF(ISNUMBER(H218),ROUND(MAX(F218*'参数'!$C$11,'参数'!$C$12)+'参数'!$C$13,2),"")</f>
        <v/>
      </c>
      <c r="J218" s="43" t="str">
        <f>IF(ISNUMBER(H218),IF(D218="卖",ROUND(H218*N('参数'!$C$14)+F218*N('参数'!$C$15),2),0),"")</f>
        <v/>
      </c>
      <c r="K218" s="23" t="n"/>
      <c r="L218" s="20" t="str">
        <f>IF(ISNUMBER(K218),K218,IF(ISNUMBER(H218),I218+J218,""))</f>
        <v/>
      </c>
      <c r="M218" s="48" t="str">
        <f>IF(AND(ISNUMBER(E218),ISNUMBER(G218),ISNUMBER(F218)),(E218-G218)*IF(D218="卖",-1,1)*F218,"")</f>
        <v/>
      </c>
      <c r="N218" s="49" t="str">
        <f>IF(A218="","",IFERROR(T(INDEX('交易记录'!$C$5:$C$304,MATCH(A218,'交易记录'!$A$5:$A$304,0))),"编号没找到"))</f>
        <v/>
      </c>
      <c r="O218" s="31" t="n"/>
    </row>
    <row r="219">
      <c r="A219" s="29" t="n"/>
      <c r="B219" s="30" t="n"/>
      <c r="C219" s="47" t="n"/>
      <c r="D219" s="32" t="n"/>
      <c r="E219" s="33" t="n"/>
      <c r="F219" s="36" t="n"/>
      <c r="G219" s="33" t="n"/>
      <c r="H219" s="20" t="str">
        <f>IF(AND(ISNUMBER(E219),ISNUMBER(F219)),E219*F219,"")</f>
        <v/>
      </c>
      <c r="I219" s="43" t="str">
        <f>IF(ISNUMBER(H219),ROUND(MAX(F219*'参数'!$C$11,'参数'!$C$12)+'参数'!$C$13,2),"")</f>
        <v/>
      </c>
      <c r="J219" s="43" t="str">
        <f>IF(ISNUMBER(H219),IF(D219="卖",ROUND(H219*N('参数'!$C$14)+F219*N('参数'!$C$15),2),0),"")</f>
        <v/>
      </c>
      <c r="K219" s="23" t="n"/>
      <c r="L219" s="20" t="str">
        <f>IF(ISNUMBER(K219),K219,IF(ISNUMBER(H219),I219+J219,""))</f>
        <v/>
      </c>
      <c r="M219" s="48" t="str">
        <f>IF(AND(ISNUMBER(E219),ISNUMBER(G219),ISNUMBER(F219)),(E219-G219)*IF(D219="卖",-1,1)*F219,"")</f>
        <v/>
      </c>
      <c r="N219" s="49" t="str">
        <f>IF(A219="","",IFERROR(T(INDEX('交易记录'!$C$5:$C$304,MATCH(A219,'交易记录'!$A$5:$A$304,0))),"编号没找到"))</f>
        <v/>
      </c>
      <c r="O219" s="31" t="n"/>
    </row>
    <row r="220">
      <c r="A220" s="29" t="n"/>
      <c r="B220" s="30" t="n"/>
      <c r="C220" s="47" t="n"/>
      <c r="D220" s="32" t="n"/>
      <c r="E220" s="33" t="n"/>
      <c r="F220" s="36" t="n"/>
      <c r="G220" s="33" t="n"/>
      <c r="H220" s="20" t="str">
        <f>IF(AND(ISNUMBER(E220),ISNUMBER(F220)),E220*F220,"")</f>
        <v/>
      </c>
      <c r="I220" s="43" t="str">
        <f>IF(ISNUMBER(H220),ROUND(MAX(F220*'参数'!$C$11,'参数'!$C$12)+'参数'!$C$13,2),"")</f>
        <v/>
      </c>
      <c r="J220" s="43" t="str">
        <f>IF(ISNUMBER(H220),IF(D220="卖",ROUND(H220*N('参数'!$C$14)+F220*N('参数'!$C$15),2),0),"")</f>
        <v/>
      </c>
      <c r="K220" s="23" t="n"/>
      <c r="L220" s="20" t="str">
        <f>IF(ISNUMBER(K220),K220,IF(ISNUMBER(H220),I220+J220,""))</f>
        <v/>
      </c>
      <c r="M220" s="48" t="str">
        <f>IF(AND(ISNUMBER(E220),ISNUMBER(G220),ISNUMBER(F220)),(E220-G220)*IF(D220="卖",-1,1)*F220,"")</f>
        <v/>
      </c>
      <c r="N220" s="49" t="str">
        <f>IF(A220="","",IFERROR(T(INDEX('交易记录'!$C$5:$C$304,MATCH(A220,'交易记录'!$A$5:$A$304,0))),"编号没找到"))</f>
        <v/>
      </c>
      <c r="O220" s="31" t="n"/>
    </row>
    <row r="221">
      <c r="A221" s="29" t="n"/>
      <c r="B221" s="30" t="n"/>
      <c r="C221" s="47" t="n"/>
      <c r="D221" s="32" t="n"/>
      <c r="E221" s="33" t="n"/>
      <c r="F221" s="36" t="n"/>
      <c r="G221" s="33" t="n"/>
      <c r="H221" s="20" t="str">
        <f>IF(AND(ISNUMBER(E221),ISNUMBER(F221)),E221*F221,"")</f>
        <v/>
      </c>
      <c r="I221" s="43" t="str">
        <f>IF(ISNUMBER(H221),ROUND(MAX(F221*'参数'!$C$11,'参数'!$C$12)+'参数'!$C$13,2),"")</f>
        <v/>
      </c>
      <c r="J221" s="43" t="str">
        <f>IF(ISNUMBER(H221),IF(D221="卖",ROUND(H221*N('参数'!$C$14)+F221*N('参数'!$C$15),2),0),"")</f>
        <v/>
      </c>
      <c r="K221" s="23" t="n"/>
      <c r="L221" s="20" t="str">
        <f>IF(ISNUMBER(K221),K221,IF(ISNUMBER(H221),I221+J221,""))</f>
        <v/>
      </c>
      <c r="M221" s="48" t="str">
        <f>IF(AND(ISNUMBER(E221),ISNUMBER(G221),ISNUMBER(F221)),(E221-G221)*IF(D221="卖",-1,1)*F221,"")</f>
        <v/>
      </c>
      <c r="N221" s="49" t="str">
        <f>IF(A221="","",IFERROR(T(INDEX('交易记录'!$C$5:$C$304,MATCH(A221,'交易记录'!$A$5:$A$304,0))),"编号没找到"))</f>
        <v/>
      </c>
      <c r="O221" s="31" t="n"/>
    </row>
    <row r="222">
      <c r="A222" s="29" t="n"/>
      <c r="B222" s="30" t="n"/>
      <c r="C222" s="47" t="n"/>
      <c r="D222" s="32" t="n"/>
      <c r="E222" s="33" t="n"/>
      <c r="F222" s="36" t="n"/>
      <c r="G222" s="33" t="n"/>
      <c r="H222" s="20" t="str">
        <f>IF(AND(ISNUMBER(E222),ISNUMBER(F222)),E222*F222,"")</f>
        <v/>
      </c>
      <c r="I222" s="43" t="str">
        <f>IF(ISNUMBER(H222),ROUND(MAX(F222*'参数'!$C$11,'参数'!$C$12)+'参数'!$C$13,2),"")</f>
        <v/>
      </c>
      <c r="J222" s="43" t="str">
        <f>IF(ISNUMBER(H222),IF(D222="卖",ROUND(H222*N('参数'!$C$14)+F222*N('参数'!$C$15),2),0),"")</f>
        <v/>
      </c>
      <c r="K222" s="23" t="n"/>
      <c r="L222" s="20" t="str">
        <f>IF(ISNUMBER(K222),K222,IF(ISNUMBER(H222),I222+J222,""))</f>
        <v/>
      </c>
      <c r="M222" s="48" t="str">
        <f>IF(AND(ISNUMBER(E222),ISNUMBER(G222),ISNUMBER(F222)),(E222-G222)*IF(D222="卖",-1,1)*F222,"")</f>
        <v/>
      </c>
      <c r="N222" s="49" t="str">
        <f>IF(A222="","",IFERROR(T(INDEX('交易记录'!$C$5:$C$304,MATCH(A222,'交易记录'!$A$5:$A$304,0))),"编号没找到"))</f>
        <v/>
      </c>
      <c r="O222" s="31" t="n"/>
    </row>
    <row r="223">
      <c r="A223" s="29" t="n"/>
      <c r="B223" s="30" t="n"/>
      <c r="C223" s="47" t="n"/>
      <c r="D223" s="32" t="n"/>
      <c r="E223" s="33" t="n"/>
      <c r="F223" s="36" t="n"/>
      <c r="G223" s="33" t="n"/>
      <c r="H223" s="20" t="str">
        <f>IF(AND(ISNUMBER(E223),ISNUMBER(F223)),E223*F223,"")</f>
        <v/>
      </c>
      <c r="I223" s="43" t="str">
        <f>IF(ISNUMBER(H223),ROUND(MAX(F223*'参数'!$C$11,'参数'!$C$12)+'参数'!$C$13,2),"")</f>
        <v/>
      </c>
      <c r="J223" s="43" t="str">
        <f>IF(ISNUMBER(H223),IF(D223="卖",ROUND(H223*N('参数'!$C$14)+F223*N('参数'!$C$15),2),0),"")</f>
        <v/>
      </c>
      <c r="K223" s="23" t="n"/>
      <c r="L223" s="20" t="str">
        <f>IF(ISNUMBER(K223),K223,IF(ISNUMBER(H223),I223+J223,""))</f>
        <v/>
      </c>
      <c r="M223" s="48" t="str">
        <f>IF(AND(ISNUMBER(E223),ISNUMBER(G223),ISNUMBER(F223)),(E223-G223)*IF(D223="卖",-1,1)*F223,"")</f>
        <v/>
      </c>
      <c r="N223" s="49" t="str">
        <f>IF(A223="","",IFERROR(T(INDEX('交易记录'!$C$5:$C$304,MATCH(A223,'交易记录'!$A$5:$A$304,0))),"编号没找到"))</f>
        <v/>
      </c>
      <c r="O223" s="31" t="n"/>
    </row>
    <row r="224">
      <c r="A224" s="29" t="n"/>
      <c r="B224" s="30" t="n"/>
      <c r="C224" s="47" t="n"/>
      <c r="D224" s="32" t="n"/>
      <c r="E224" s="33" t="n"/>
      <c r="F224" s="36" t="n"/>
      <c r="G224" s="33" t="n"/>
      <c r="H224" s="20" t="str">
        <f>IF(AND(ISNUMBER(E224),ISNUMBER(F224)),E224*F224,"")</f>
        <v/>
      </c>
      <c r="I224" s="43" t="str">
        <f>IF(ISNUMBER(H224),ROUND(MAX(F224*'参数'!$C$11,'参数'!$C$12)+'参数'!$C$13,2),"")</f>
        <v/>
      </c>
      <c r="J224" s="43" t="str">
        <f>IF(ISNUMBER(H224),IF(D224="卖",ROUND(H224*N('参数'!$C$14)+F224*N('参数'!$C$15),2),0),"")</f>
        <v/>
      </c>
      <c r="K224" s="23" t="n"/>
      <c r="L224" s="20" t="str">
        <f>IF(ISNUMBER(K224),K224,IF(ISNUMBER(H224),I224+J224,""))</f>
        <v/>
      </c>
      <c r="M224" s="48" t="str">
        <f>IF(AND(ISNUMBER(E224),ISNUMBER(G224),ISNUMBER(F224)),(E224-G224)*IF(D224="卖",-1,1)*F224,"")</f>
        <v/>
      </c>
      <c r="N224" s="49" t="str">
        <f>IF(A224="","",IFERROR(T(INDEX('交易记录'!$C$5:$C$304,MATCH(A224,'交易记录'!$A$5:$A$304,0))),"编号没找到"))</f>
        <v/>
      </c>
      <c r="O224" s="31" t="n"/>
    </row>
    <row r="225">
      <c r="A225" s="29" t="n"/>
      <c r="B225" s="30" t="n"/>
      <c r="C225" s="47" t="n"/>
      <c r="D225" s="32" t="n"/>
      <c r="E225" s="33" t="n"/>
      <c r="F225" s="36" t="n"/>
      <c r="G225" s="33" t="n"/>
      <c r="H225" s="20" t="str">
        <f>IF(AND(ISNUMBER(E225),ISNUMBER(F225)),E225*F225,"")</f>
        <v/>
      </c>
      <c r="I225" s="43" t="str">
        <f>IF(ISNUMBER(H225),ROUND(MAX(F225*'参数'!$C$11,'参数'!$C$12)+'参数'!$C$13,2),"")</f>
        <v/>
      </c>
      <c r="J225" s="43" t="str">
        <f>IF(ISNUMBER(H225),IF(D225="卖",ROUND(H225*N('参数'!$C$14)+F225*N('参数'!$C$15),2),0),"")</f>
        <v/>
      </c>
      <c r="K225" s="23" t="n"/>
      <c r="L225" s="20" t="str">
        <f>IF(ISNUMBER(K225),K225,IF(ISNUMBER(H225),I225+J225,""))</f>
        <v/>
      </c>
      <c r="M225" s="48" t="str">
        <f>IF(AND(ISNUMBER(E225),ISNUMBER(G225),ISNUMBER(F225)),(E225-G225)*IF(D225="卖",-1,1)*F225,"")</f>
        <v/>
      </c>
      <c r="N225" s="49" t="str">
        <f>IF(A225="","",IFERROR(T(INDEX('交易记录'!$C$5:$C$304,MATCH(A225,'交易记录'!$A$5:$A$304,0))),"编号没找到"))</f>
        <v/>
      </c>
      <c r="O225" s="31" t="n"/>
    </row>
    <row r="226">
      <c r="A226" s="29" t="n"/>
      <c r="B226" s="30" t="n"/>
      <c r="C226" s="47" t="n"/>
      <c r="D226" s="32" t="n"/>
      <c r="E226" s="33" t="n"/>
      <c r="F226" s="36" t="n"/>
      <c r="G226" s="33" t="n"/>
      <c r="H226" s="20" t="str">
        <f>IF(AND(ISNUMBER(E226),ISNUMBER(F226)),E226*F226,"")</f>
        <v/>
      </c>
      <c r="I226" s="43" t="str">
        <f>IF(ISNUMBER(H226),ROUND(MAX(F226*'参数'!$C$11,'参数'!$C$12)+'参数'!$C$13,2),"")</f>
        <v/>
      </c>
      <c r="J226" s="43" t="str">
        <f>IF(ISNUMBER(H226),IF(D226="卖",ROUND(H226*N('参数'!$C$14)+F226*N('参数'!$C$15),2),0),"")</f>
        <v/>
      </c>
      <c r="K226" s="23" t="n"/>
      <c r="L226" s="20" t="str">
        <f>IF(ISNUMBER(K226),K226,IF(ISNUMBER(H226),I226+J226,""))</f>
        <v/>
      </c>
      <c r="M226" s="48" t="str">
        <f>IF(AND(ISNUMBER(E226),ISNUMBER(G226),ISNUMBER(F226)),(E226-G226)*IF(D226="卖",-1,1)*F226,"")</f>
        <v/>
      </c>
      <c r="N226" s="49" t="str">
        <f>IF(A226="","",IFERROR(T(INDEX('交易记录'!$C$5:$C$304,MATCH(A226,'交易记录'!$A$5:$A$304,0))),"编号没找到"))</f>
        <v/>
      </c>
      <c r="O226" s="31" t="n"/>
    </row>
    <row r="227">
      <c r="A227" s="29" t="n"/>
      <c r="B227" s="30" t="n"/>
      <c r="C227" s="47" t="n"/>
      <c r="D227" s="32" t="n"/>
      <c r="E227" s="33" t="n"/>
      <c r="F227" s="36" t="n"/>
      <c r="G227" s="33" t="n"/>
      <c r="H227" s="20" t="str">
        <f>IF(AND(ISNUMBER(E227),ISNUMBER(F227)),E227*F227,"")</f>
        <v/>
      </c>
      <c r="I227" s="43" t="str">
        <f>IF(ISNUMBER(H227),ROUND(MAX(F227*'参数'!$C$11,'参数'!$C$12)+'参数'!$C$13,2),"")</f>
        <v/>
      </c>
      <c r="J227" s="43" t="str">
        <f>IF(ISNUMBER(H227),IF(D227="卖",ROUND(H227*N('参数'!$C$14)+F227*N('参数'!$C$15),2),0),"")</f>
        <v/>
      </c>
      <c r="K227" s="23" t="n"/>
      <c r="L227" s="20" t="str">
        <f>IF(ISNUMBER(K227),K227,IF(ISNUMBER(H227),I227+J227,""))</f>
        <v/>
      </c>
      <c r="M227" s="48" t="str">
        <f>IF(AND(ISNUMBER(E227),ISNUMBER(G227),ISNUMBER(F227)),(E227-G227)*IF(D227="卖",-1,1)*F227,"")</f>
        <v/>
      </c>
      <c r="N227" s="49" t="str">
        <f>IF(A227="","",IFERROR(T(INDEX('交易记录'!$C$5:$C$304,MATCH(A227,'交易记录'!$A$5:$A$304,0))),"编号没找到"))</f>
        <v/>
      </c>
      <c r="O227" s="31" t="n"/>
    </row>
    <row r="228">
      <c r="A228" s="29" t="n"/>
      <c r="B228" s="30" t="n"/>
      <c r="C228" s="47" t="n"/>
      <c r="D228" s="32" t="n"/>
      <c r="E228" s="33" t="n"/>
      <c r="F228" s="36" t="n"/>
      <c r="G228" s="33" t="n"/>
      <c r="H228" s="20" t="str">
        <f>IF(AND(ISNUMBER(E228),ISNUMBER(F228)),E228*F228,"")</f>
        <v/>
      </c>
      <c r="I228" s="43" t="str">
        <f>IF(ISNUMBER(H228),ROUND(MAX(F228*'参数'!$C$11,'参数'!$C$12)+'参数'!$C$13,2),"")</f>
        <v/>
      </c>
      <c r="J228" s="43" t="str">
        <f>IF(ISNUMBER(H228),IF(D228="卖",ROUND(H228*N('参数'!$C$14)+F228*N('参数'!$C$15),2),0),"")</f>
        <v/>
      </c>
      <c r="K228" s="23" t="n"/>
      <c r="L228" s="20" t="str">
        <f>IF(ISNUMBER(K228),K228,IF(ISNUMBER(H228),I228+J228,""))</f>
        <v/>
      </c>
      <c r="M228" s="48" t="str">
        <f>IF(AND(ISNUMBER(E228),ISNUMBER(G228),ISNUMBER(F228)),(E228-G228)*IF(D228="卖",-1,1)*F228,"")</f>
        <v/>
      </c>
      <c r="N228" s="49" t="str">
        <f>IF(A228="","",IFERROR(T(INDEX('交易记录'!$C$5:$C$304,MATCH(A228,'交易记录'!$A$5:$A$304,0))),"编号没找到"))</f>
        <v/>
      </c>
      <c r="O228" s="31" t="n"/>
    </row>
    <row r="229">
      <c r="A229" s="29" t="n"/>
      <c r="B229" s="30" t="n"/>
      <c r="C229" s="47" t="n"/>
      <c r="D229" s="32" t="n"/>
      <c r="E229" s="33" t="n"/>
      <c r="F229" s="36" t="n"/>
      <c r="G229" s="33" t="n"/>
      <c r="H229" s="20" t="str">
        <f>IF(AND(ISNUMBER(E229),ISNUMBER(F229)),E229*F229,"")</f>
        <v/>
      </c>
      <c r="I229" s="43" t="str">
        <f>IF(ISNUMBER(H229),ROUND(MAX(F229*'参数'!$C$11,'参数'!$C$12)+'参数'!$C$13,2),"")</f>
        <v/>
      </c>
      <c r="J229" s="43" t="str">
        <f>IF(ISNUMBER(H229),IF(D229="卖",ROUND(H229*N('参数'!$C$14)+F229*N('参数'!$C$15),2),0),"")</f>
        <v/>
      </c>
      <c r="K229" s="23" t="n"/>
      <c r="L229" s="20" t="str">
        <f>IF(ISNUMBER(K229),K229,IF(ISNUMBER(H229),I229+J229,""))</f>
        <v/>
      </c>
      <c r="M229" s="48" t="str">
        <f>IF(AND(ISNUMBER(E229),ISNUMBER(G229),ISNUMBER(F229)),(E229-G229)*IF(D229="卖",-1,1)*F229,"")</f>
        <v/>
      </c>
      <c r="N229" s="49" t="str">
        <f>IF(A229="","",IFERROR(T(INDEX('交易记录'!$C$5:$C$304,MATCH(A229,'交易记录'!$A$5:$A$304,0))),"编号没找到"))</f>
        <v/>
      </c>
      <c r="O229" s="31" t="n"/>
    </row>
    <row r="230">
      <c r="A230" s="29" t="n"/>
      <c r="B230" s="30" t="n"/>
      <c r="C230" s="47" t="n"/>
      <c r="D230" s="32" t="n"/>
      <c r="E230" s="33" t="n"/>
      <c r="F230" s="36" t="n"/>
      <c r="G230" s="33" t="n"/>
      <c r="H230" s="20" t="str">
        <f>IF(AND(ISNUMBER(E230),ISNUMBER(F230)),E230*F230,"")</f>
        <v/>
      </c>
      <c r="I230" s="43" t="str">
        <f>IF(ISNUMBER(H230),ROUND(MAX(F230*'参数'!$C$11,'参数'!$C$12)+'参数'!$C$13,2),"")</f>
        <v/>
      </c>
      <c r="J230" s="43" t="str">
        <f>IF(ISNUMBER(H230),IF(D230="卖",ROUND(H230*N('参数'!$C$14)+F230*N('参数'!$C$15),2),0),"")</f>
        <v/>
      </c>
      <c r="K230" s="23" t="n"/>
      <c r="L230" s="20" t="str">
        <f>IF(ISNUMBER(K230),K230,IF(ISNUMBER(H230),I230+J230,""))</f>
        <v/>
      </c>
      <c r="M230" s="48" t="str">
        <f>IF(AND(ISNUMBER(E230),ISNUMBER(G230),ISNUMBER(F230)),(E230-G230)*IF(D230="卖",-1,1)*F230,"")</f>
        <v/>
      </c>
      <c r="N230" s="49" t="str">
        <f>IF(A230="","",IFERROR(T(INDEX('交易记录'!$C$5:$C$304,MATCH(A230,'交易记录'!$A$5:$A$304,0))),"编号没找到"))</f>
        <v/>
      </c>
      <c r="O230" s="31" t="n"/>
    </row>
    <row r="231">
      <c r="A231" s="29" t="n"/>
      <c r="B231" s="30" t="n"/>
      <c r="C231" s="47" t="n"/>
      <c r="D231" s="32" t="n"/>
      <c r="E231" s="33" t="n"/>
      <c r="F231" s="36" t="n"/>
      <c r="G231" s="33" t="n"/>
      <c r="H231" s="20" t="str">
        <f>IF(AND(ISNUMBER(E231),ISNUMBER(F231)),E231*F231,"")</f>
        <v/>
      </c>
      <c r="I231" s="43" t="str">
        <f>IF(ISNUMBER(H231),ROUND(MAX(F231*'参数'!$C$11,'参数'!$C$12)+'参数'!$C$13,2),"")</f>
        <v/>
      </c>
      <c r="J231" s="43" t="str">
        <f>IF(ISNUMBER(H231),IF(D231="卖",ROUND(H231*N('参数'!$C$14)+F231*N('参数'!$C$15),2),0),"")</f>
        <v/>
      </c>
      <c r="K231" s="23" t="n"/>
      <c r="L231" s="20" t="str">
        <f>IF(ISNUMBER(K231),K231,IF(ISNUMBER(H231),I231+J231,""))</f>
        <v/>
      </c>
      <c r="M231" s="48" t="str">
        <f>IF(AND(ISNUMBER(E231),ISNUMBER(G231),ISNUMBER(F231)),(E231-G231)*IF(D231="卖",-1,1)*F231,"")</f>
        <v/>
      </c>
      <c r="N231" s="49" t="str">
        <f>IF(A231="","",IFERROR(T(INDEX('交易记录'!$C$5:$C$304,MATCH(A231,'交易记录'!$A$5:$A$304,0))),"编号没找到"))</f>
        <v/>
      </c>
      <c r="O231" s="31" t="n"/>
    </row>
    <row r="232">
      <c r="A232" s="29" t="n"/>
      <c r="B232" s="30" t="n"/>
      <c r="C232" s="47" t="n"/>
      <c r="D232" s="32" t="n"/>
      <c r="E232" s="33" t="n"/>
      <c r="F232" s="36" t="n"/>
      <c r="G232" s="33" t="n"/>
      <c r="H232" s="20" t="str">
        <f>IF(AND(ISNUMBER(E232),ISNUMBER(F232)),E232*F232,"")</f>
        <v/>
      </c>
      <c r="I232" s="43" t="str">
        <f>IF(ISNUMBER(H232),ROUND(MAX(F232*'参数'!$C$11,'参数'!$C$12)+'参数'!$C$13,2),"")</f>
        <v/>
      </c>
      <c r="J232" s="43" t="str">
        <f>IF(ISNUMBER(H232),IF(D232="卖",ROUND(H232*N('参数'!$C$14)+F232*N('参数'!$C$15),2),0),"")</f>
        <v/>
      </c>
      <c r="K232" s="23" t="n"/>
      <c r="L232" s="20" t="str">
        <f>IF(ISNUMBER(K232),K232,IF(ISNUMBER(H232),I232+J232,""))</f>
        <v/>
      </c>
      <c r="M232" s="48" t="str">
        <f>IF(AND(ISNUMBER(E232),ISNUMBER(G232),ISNUMBER(F232)),(E232-G232)*IF(D232="卖",-1,1)*F232,"")</f>
        <v/>
      </c>
      <c r="N232" s="49" t="str">
        <f>IF(A232="","",IFERROR(T(INDEX('交易记录'!$C$5:$C$304,MATCH(A232,'交易记录'!$A$5:$A$304,0))),"编号没找到"))</f>
        <v/>
      </c>
      <c r="O232" s="31" t="n"/>
    </row>
    <row r="233">
      <c r="A233" s="29" t="n"/>
      <c r="B233" s="30" t="n"/>
      <c r="C233" s="47" t="n"/>
      <c r="D233" s="32" t="n"/>
      <c r="E233" s="33" t="n"/>
      <c r="F233" s="36" t="n"/>
      <c r="G233" s="33" t="n"/>
      <c r="H233" s="20" t="str">
        <f>IF(AND(ISNUMBER(E233),ISNUMBER(F233)),E233*F233,"")</f>
        <v/>
      </c>
      <c r="I233" s="43" t="str">
        <f>IF(ISNUMBER(H233),ROUND(MAX(F233*'参数'!$C$11,'参数'!$C$12)+'参数'!$C$13,2),"")</f>
        <v/>
      </c>
      <c r="J233" s="43" t="str">
        <f>IF(ISNUMBER(H233),IF(D233="卖",ROUND(H233*N('参数'!$C$14)+F233*N('参数'!$C$15),2),0),"")</f>
        <v/>
      </c>
      <c r="K233" s="23" t="n"/>
      <c r="L233" s="20" t="str">
        <f>IF(ISNUMBER(K233),K233,IF(ISNUMBER(H233),I233+J233,""))</f>
        <v/>
      </c>
      <c r="M233" s="48" t="str">
        <f>IF(AND(ISNUMBER(E233),ISNUMBER(G233),ISNUMBER(F233)),(E233-G233)*IF(D233="卖",-1,1)*F233,"")</f>
        <v/>
      </c>
      <c r="N233" s="49" t="str">
        <f>IF(A233="","",IFERROR(T(INDEX('交易记录'!$C$5:$C$304,MATCH(A233,'交易记录'!$A$5:$A$304,0))),"编号没找到"))</f>
        <v/>
      </c>
      <c r="O233" s="31" t="n"/>
    </row>
    <row r="234">
      <c r="A234" s="29" t="n"/>
      <c r="B234" s="30" t="n"/>
      <c r="C234" s="47" t="n"/>
      <c r="D234" s="32" t="n"/>
      <c r="E234" s="33" t="n"/>
      <c r="F234" s="36" t="n"/>
      <c r="G234" s="33" t="n"/>
      <c r="H234" s="20" t="str">
        <f>IF(AND(ISNUMBER(E234),ISNUMBER(F234)),E234*F234,"")</f>
        <v/>
      </c>
      <c r="I234" s="43" t="str">
        <f>IF(ISNUMBER(H234),ROUND(MAX(F234*'参数'!$C$11,'参数'!$C$12)+'参数'!$C$13,2),"")</f>
        <v/>
      </c>
      <c r="J234" s="43" t="str">
        <f>IF(ISNUMBER(H234),IF(D234="卖",ROUND(H234*N('参数'!$C$14)+F234*N('参数'!$C$15),2),0),"")</f>
        <v/>
      </c>
      <c r="K234" s="23" t="n"/>
      <c r="L234" s="20" t="str">
        <f>IF(ISNUMBER(K234),K234,IF(ISNUMBER(H234),I234+J234,""))</f>
        <v/>
      </c>
      <c r="M234" s="48" t="str">
        <f>IF(AND(ISNUMBER(E234),ISNUMBER(G234),ISNUMBER(F234)),(E234-G234)*IF(D234="卖",-1,1)*F234,"")</f>
        <v/>
      </c>
      <c r="N234" s="49" t="str">
        <f>IF(A234="","",IFERROR(T(INDEX('交易记录'!$C$5:$C$304,MATCH(A234,'交易记录'!$A$5:$A$304,0))),"编号没找到"))</f>
        <v/>
      </c>
      <c r="O234" s="31" t="n"/>
    </row>
    <row r="235">
      <c r="A235" s="29" t="n"/>
      <c r="B235" s="30" t="n"/>
      <c r="C235" s="47" t="n"/>
      <c r="D235" s="32" t="n"/>
      <c r="E235" s="33" t="n"/>
      <c r="F235" s="36" t="n"/>
      <c r="G235" s="33" t="n"/>
      <c r="H235" s="20" t="str">
        <f>IF(AND(ISNUMBER(E235),ISNUMBER(F235)),E235*F235,"")</f>
        <v/>
      </c>
      <c r="I235" s="43" t="str">
        <f>IF(ISNUMBER(H235),ROUND(MAX(F235*'参数'!$C$11,'参数'!$C$12)+'参数'!$C$13,2),"")</f>
        <v/>
      </c>
      <c r="J235" s="43" t="str">
        <f>IF(ISNUMBER(H235),IF(D235="卖",ROUND(H235*N('参数'!$C$14)+F235*N('参数'!$C$15),2),0),"")</f>
        <v/>
      </c>
      <c r="K235" s="23" t="n"/>
      <c r="L235" s="20" t="str">
        <f>IF(ISNUMBER(K235),K235,IF(ISNUMBER(H235),I235+J235,""))</f>
        <v/>
      </c>
      <c r="M235" s="48" t="str">
        <f>IF(AND(ISNUMBER(E235),ISNUMBER(G235),ISNUMBER(F235)),(E235-G235)*IF(D235="卖",-1,1)*F235,"")</f>
        <v/>
      </c>
      <c r="N235" s="49" t="str">
        <f>IF(A235="","",IFERROR(T(INDEX('交易记录'!$C$5:$C$304,MATCH(A235,'交易记录'!$A$5:$A$304,0))),"编号没找到"))</f>
        <v/>
      </c>
      <c r="O235" s="31" t="n"/>
    </row>
    <row r="236">
      <c r="A236" s="29" t="n"/>
      <c r="B236" s="30" t="n"/>
      <c r="C236" s="47" t="n"/>
      <c r="D236" s="32" t="n"/>
      <c r="E236" s="33" t="n"/>
      <c r="F236" s="36" t="n"/>
      <c r="G236" s="33" t="n"/>
      <c r="H236" s="20" t="str">
        <f>IF(AND(ISNUMBER(E236),ISNUMBER(F236)),E236*F236,"")</f>
        <v/>
      </c>
      <c r="I236" s="43" t="str">
        <f>IF(ISNUMBER(H236),ROUND(MAX(F236*'参数'!$C$11,'参数'!$C$12)+'参数'!$C$13,2),"")</f>
        <v/>
      </c>
      <c r="J236" s="43" t="str">
        <f>IF(ISNUMBER(H236),IF(D236="卖",ROUND(H236*N('参数'!$C$14)+F236*N('参数'!$C$15),2),0),"")</f>
        <v/>
      </c>
      <c r="K236" s="23" t="n"/>
      <c r="L236" s="20" t="str">
        <f>IF(ISNUMBER(K236),K236,IF(ISNUMBER(H236),I236+J236,""))</f>
        <v/>
      </c>
      <c r="M236" s="48" t="str">
        <f>IF(AND(ISNUMBER(E236),ISNUMBER(G236),ISNUMBER(F236)),(E236-G236)*IF(D236="卖",-1,1)*F236,"")</f>
        <v/>
      </c>
      <c r="N236" s="49" t="str">
        <f>IF(A236="","",IFERROR(T(INDEX('交易记录'!$C$5:$C$304,MATCH(A236,'交易记录'!$A$5:$A$304,0))),"编号没找到"))</f>
        <v/>
      </c>
      <c r="O236" s="31" t="n"/>
    </row>
    <row r="237">
      <c r="A237" s="29" t="n"/>
      <c r="B237" s="30" t="n"/>
      <c r="C237" s="47" t="n"/>
      <c r="D237" s="32" t="n"/>
      <c r="E237" s="33" t="n"/>
      <c r="F237" s="36" t="n"/>
      <c r="G237" s="33" t="n"/>
      <c r="H237" s="20" t="str">
        <f>IF(AND(ISNUMBER(E237),ISNUMBER(F237)),E237*F237,"")</f>
        <v/>
      </c>
      <c r="I237" s="43" t="str">
        <f>IF(ISNUMBER(H237),ROUND(MAX(F237*'参数'!$C$11,'参数'!$C$12)+'参数'!$C$13,2),"")</f>
        <v/>
      </c>
      <c r="J237" s="43" t="str">
        <f>IF(ISNUMBER(H237),IF(D237="卖",ROUND(H237*N('参数'!$C$14)+F237*N('参数'!$C$15),2),0),"")</f>
        <v/>
      </c>
      <c r="K237" s="23" t="n"/>
      <c r="L237" s="20" t="str">
        <f>IF(ISNUMBER(K237),K237,IF(ISNUMBER(H237),I237+J237,""))</f>
        <v/>
      </c>
      <c r="M237" s="48" t="str">
        <f>IF(AND(ISNUMBER(E237),ISNUMBER(G237),ISNUMBER(F237)),(E237-G237)*IF(D237="卖",-1,1)*F237,"")</f>
        <v/>
      </c>
      <c r="N237" s="49" t="str">
        <f>IF(A237="","",IFERROR(T(INDEX('交易记录'!$C$5:$C$304,MATCH(A237,'交易记录'!$A$5:$A$304,0))),"编号没找到"))</f>
        <v/>
      </c>
      <c r="O237" s="31" t="n"/>
    </row>
    <row r="238">
      <c r="A238" s="29" t="n"/>
      <c r="B238" s="30" t="n"/>
      <c r="C238" s="47" t="n"/>
      <c r="D238" s="32" t="n"/>
      <c r="E238" s="33" t="n"/>
      <c r="F238" s="36" t="n"/>
      <c r="G238" s="33" t="n"/>
      <c r="H238" s="20" t="str">
        <f>IF(AND(ISNUMBER(E238),ISNUMBER(F238)),E238*F238,"")</f>
        <v/>
      </c>
      <c r="I238" s="43" t="str">
        <f>IF(ISNUMBER(H238),ROUND(MAX(F238*'参数'!$C$11,'参数'!$C$12)+'参数'!$C$13,2),"")</f>
        <v/>
      </c>
      <c r="J238" s="43" t="str">
        <f>IF(ISNUMBER(H238),IF(D238="卖",ROUND(H238*N('参数'!$C$14)+F238*N('参数'!$C$15),2),0),"")</f>
        <v/>
      </c>
      <c r="K238" s="23" t="n"/>
      <c r="L238" s="20" t="str">
        <f>IF(ISNUMBER(K238),K238,IF(ISNUMBER(H238),I238+J238,""))</f>
        <v/>
      </c>
      <c r="M238" s="48" t="str">
        <f>IF(AND(ISNUMBER(E238),ISNUMBER(G238),ISNUMBER(F238)),(E238-G238)*IF(D238="卖",-1,1)*F238,"")</f>
        <v/>
      </c>
      <c r="N238" s="49" t="str">
        <f>IF(A238="","",IFERROR(T(INDEX('交易记录'!$C$5:$C$304,MATCH(A238,'交易记录'!$A$5:$A$304,0))),"编号没找到"))</f>
        <v/>
      </c>
      <c r="O238" s="31" t="n"/>
    </row>
    <row r="239">
      <c r="A239" s="29" t="n"/>
      <c r="B239" s="30" t="n"/>
      <c r="C239" s="47" t="n"/>
      <c r="D239" s="32" t="n"/>
      <c r="E239" s="33" t="n"/>
      <c r="F239" s="36" t="n"/>
      <c r="G239" s="33" t="n"/>
      <c r="H239" s="20" t="str">
        <f>IF(AND(ISNUMBER(E239),ISNUMBER(F239)),E239*F239,"")</f>
        <v/>
      </c>
      <c r="I239" s="43" t="str">
        <f>IF(ISNUMBER(H239),ROUND(MAX(F239*'参数'!$C$11,'参数'!$C$12)+'参数'!$C$13,2),"")</f>
        <v/>
      </c>
      <c r="J239" s="43" t="str">
        <f>IF(ISNUMBER(H239),IF(D239="卖",ROUND(H239*N('参数'!$C$14)+F239*N('参数'!$C$15),2),0),"")</f>
        <v/>
      </c>
      <c r="K239" s="23" t="n"/>
      <c r="L239" s="20" t="str">
        <f>IF(ISNUMBER(K239),K239,IF(ISNUMBER(H239),I239+J239,""))</f>
        <v/>
      </c>
      <c r="M239" s="48" t="str">
        <f>IF(AND(ISNUMBER(E239),ISNUMBER(G239),ISNUMBER(F239)),(E239-G239)*IF(D239="卖",-1,1)*F239,"")</f>
        <v/>
      </c>
      <c r="N239" s="49" t="str">
        <f>IF(A239="","",IFERROR(T(INDEX('交易记录'!$C$5:$C$304,MATCH(A239,'交易记录'!$A$5:$A$304,0))),"编号没找到"))</f>
        <v/>
      </c>
      <c r="O239" s="31" t="n"/>
    </row>
    <row r="240">
      <c r="A240" s="29" t="n"/>
      <c r="B240" s="30" t="n"/>
      <c r="C240" s="47" t="n"/>
      <c r="D240" s="32" t="n"/>
      <c r="E240" s="33" t="n"/>
      <c r="F240" s="36" t="n"/>
      <c r="G240" s="33" t="n"/>
      <c r="H240" s="20" t="str">
        <f>IF(AND(ISNUMBER(E240),ISNUMBER(F240)),E240*F240,"")</f>
        <v/>
      </c>
      <c r="I240" s="43" t="str">
        <f>IF(ISNUMBER(H240),ROUND(MAX(F240*'参数'!$C$11,'参数'!$C$12)+'参数'!$C$13,2),"")</f>
        <v/>
      </c>
      <c r="J240" s="43" t="str">
        <f>IF(ISNUMBER(H240),IF(D240="卖",ROUND(H240*N('参数'!$C$14)+F240*N('参数'!$C$15),2),0),"")</f>
        <v/>
      </c>
      <c r="K240" s="23" t="n"/>
      <c r="L240" s="20" t="str">
        <f>IF(ISNUMBER(K240),K240,IF(ISNUMBER(H240),I240+J240,""))</f>
        <v/>
      </c>
      <c r="M240" s="48" t="str">
        <f>IF(AND(ISNUMBER(E240),ISNUMBER(G240),ISNUMBER(F240)),(E240-G240)*IF(D240="卖",-1,1)*F240,"")</f>
        <v/>
      </c>
      <c r="N240" s="49" t="str">
        <f>IF(A240="","",IFERROR(T(INDEX('交易记录'!$C$5:$C$304,MATCH(A240,'交易记录'!$A$5:$A$304,0))),"编号没找到"))</f>
        <v/>
      </c>
      <c r="O240" s="31" t="n"/>
    </row>
    <row r="241">
      <c r="A241" s="29" t="n"/>
      <c r="B241" s="30" t="n"/>
      <c r="C241" s="47" t="n"/>
      <c r="D241" s="32" t="n"/>
      <c r="E241" s="33" t="n"/>
      <c r="F241" s="36" t="n"/>
      <c r="G241" s="33" t="n"/>
      <c r="H241" s="20" t="str">
        <f>IF(AND(ISNUMBER(E241),ISNUMBER(F241)),E241*F241,"")</f>
        <v/>
      </c>
      <c r="I241" s="43" t="str">
        <f>IF(ISNUMBER(H241),ROUND(MAX(F241*'参数'!$C$11,'参数'!$C$12)+'参数'!$C$13,2),"")</f>
        <v/>
      </c>
      <c r="J241" s="43" t="str">
        <f>IF(ISNUMBER(H241),IF(D241="卖",ROUND(H241*N('参数'!$C$14)+F241*N('参数'!$C$15),2),0),"")</f>
        <v/>
      </c>
      <c r="K241" s="23" t="n"/>
      <c r="L241" s="20" t="str">
        <f>IF(ISNUMBER(K241),K241,IF(ISNUMBER(H241),I241+J241,""))</f>
        <v/>
      </c>
      <c r="M241" s="48" t="str">
        <f>IF(AND(ISNUMBER(E241),ISNUMBER(G241),ISNUMBER(F241)),(E241-G241)*IF(D241="卖",-1,1)*F241,"")</f>
        <v/>
      </c>
      <c r="N241" s="49" t="str">
        <f>IF(A241="","",IFERROR(T(INDEX('交易记录'!$C$5:$C$304,MATCH(A241,'交易记录'!$A$5:$A$304,0))),"编号没找到"))</f>
        <v/>
      </c>
      <c r="O241" s="31" t="n"/>
    </row>
    <row r="242">
      <c r="A242" s="29" t="n"/>
      <c r="B242" s="30" t="n"/>
      <c r="C242" s="47" t="n"/>
      <c r="D242" s="32" t="n"/>
      <c r="E242" s="33" t="n"/>
      <c r="F242" s="36" t="n"/>
      <c r="G242" s="33" t="n"/>
      <c r="H242" s="20" t="str">
        <f>IF(AND(ISNUMBER(E242),ISNUMBER(F242)),E242*F242,"")</f>
        <v/>
      </c>
      <c r="I242" s="43" t="str">
        <f>IF(ISNUMBER(H242),ROUND(MAX(F242*'参数'!$C$11,'参数'!$C$12)+'参数'!$C$13,2),"")</f>
        <v/>
      </c>
      <c r="J242" s="43" t="str">
        <f>IF(ISNUMBER(H242),IF(D242="卖",ROUND(H242*N('参数'!$C$14)+F242*N('参数'!$C$15),2),0),"")</f>
        <v/>
      </c>
      <c r="K242" s="23" t="n"/>
      <c r="L242" s="20" t="str">
        <f>IF(ISNUMBER(K242),K242,IF(ISNUMBER(H242),I242+J242,""))</f>
        <v/>
      </c>
      <c r="M242" s="48" t="str">
        <f>IF(AND(ISNUMBER(E242),ISNUMBER(G242),ISNUMBER(F242)),(E242-G242)*IF(D242="卖",-1,1)*F242,"")</f>
        <v/>
      </c>
      <c r="N242" s="49" t="str">
        <f>IF(A242="","",IFERROR(T(INDEX('交易记录'!$C$5:$C$304,MATCH(A242,'交易记录'!$A$5:$A$304,0))),"编号没找到"))</f>
        <v/>
      </c>
      <c r="O242" s="31" t="n"/>
    </row>
    <row r="243">
      <c r="A243" s="29" t="n"/>
      <c r="B243" s="30" t="n"/>
      <c r="C243" s="47" t="n"/>
      <c r="D243" s="32" t="n"/>
      <c r="E243" s="33" t="n"/>
      <c r="F243" s="36" t="n"/>
      <c r="G243" s="33" t="n"/>
      <c r="H243" s="20" t="str">
        <f>IF(AND(ISNUMBER(E243),ISNUMBER(F243)),E243*F243,"")</f>
        <v/>
      </c>
      <c r="I243" s="43" t="str">
        <f>IF(ISNUMBER(H243),ROUND(MAX(F243*'参数'!$C$11,'参数'!$C$12)+'参数'!$C$13,2),"")</f>
        <v/>
      </c>
      <c r="J243" s="43" t="str">
        <f>IF(ISNUMBER(H243),IF(D243="卖",ROUND(H243*N('参数'!$C$14)+F243*N('参数'!$C$15),2),0),"")</f>
        <v/>
      </c>
      <c r="K243" s="23" t="n"/>
      <c r="L243" s="20" t="str">
        <f>IF(ISNUMBER(K243),K243,IF(ISNUMBER(H243),I243+J243,""))</f>
        <v/>
      </c>
      <c r="M243" s="48" t="str">
        <f>IF(AND(ISNUMBER(E243),ISNUMBER(G243),ISNUMBER(F243)),(E243-G243)*IF(D243="卖",-1,1)*F243,"")</f>
        <v/>
      </c>
      <c r="N243" s="49" t="str">
        <f>IF(A243="","",IFERROR(T(INDEX('交易记录'!$C$5:$C$304,MATCH(A243,'交易记录'!$A$5:$A$304,0))),"编号没找到"))</f>
        <v/>
      </c>
      <c r="O243" s="31" t="n"/>
    </row>
    <row r="244">
      <c r="A244" s="29" t="n"/>
      <c r="B244" s="30" t="n"/>
      <c r="C244" s="47" t="n"/>
      <c r="D244" s="32" t="n"/>
      <c r="E244" s="33" t="n"/>
      <c r="F244" s="36" t="n"/>
      <c r="G244" s="33" t="n"/>
      <c r="H244" s="20" t="str">
        <f>IF(AND(ISNUMBER(E244),ISNUMBER(F244)),E244*F244,"")</f>
        <v/>
      </c>
      <c r="I244" s="43" t="str">
        <f>IF(ISNUMBER(H244),ROUND(MAX(F244*'参数'!$C$11,'参数'!$C$12)+'参数'!$C$13,2),"")</f>
        <v/>
      </c>
      <c r="J244" s="43" t="str">
        <f>IF(ISNUMBER(H244),IF(D244="卖",ROUND(H244*N('参数'!$C$14)+F244*N('参数'!$C$15),2),0),"")</f>
        <v/>
      </c>
      <c r="K244" s="23" t="n"/>
      <c r="L244" s="20" t="str">
        <f>IF(ISNUMBER(K244),K244,IF(ISNUMBER(H244),I244+J244,""))</f>
        <v/>
      </c>
      <c r="M244" s="48" t="str">
        <f>IF(AND(ISNUMBER(E244),ISNUMBER(G244),ISNUMBER(F244)),(E244-G244)*IF(D244="卖",-1,1)*F244,"")</f>
        <v/>
      </c>
      <c r="N244" s="49" t="str">
        <f>IF(A244="","",IFERROR(T(INDEX('交易记录'!$C$5:$C$304,MATCH(A244,'交易记录'!$A$5:$A$304,0))),"编号没找到"))</f>
        <v/>
      </c>
      <c r="O244" s="31" t="n"/>
    </row>
    <row r="245">
      <c r="A245" s="29" t="n"/>
      <c r="B245" s="30" t="n"/>
      <c r="C245" s="47" t="n"/>
      <c r="D245" s="32" t="n"/>
      <c r="E245" s="33" t="n"/>
      <c r="F245" s="36" t="n"/>
      <c r="G245" s="33" t="n"/>
      <c r="H245" s="20" t="str">
        <f>IF(AND(ISNUMBER(E245),ISNUMBER(F245)),E245*F245,"")</f>
        <v/>
      </c>
      <c r="I245" s="43" t="str">
        <f>IF(ISNUMBER(H245),ROUND(MAX(F245*'参数'!$C$11,'参数'!$C$12)+'参数'!$C$13,2),"")</f>
        <v/>
      </c>
      <c r="J245" s="43" t="str">
        <f>IF(ISNUMBER(H245),IF(D245="卖",ROUND(H245*N('参数'!$C$14)+F245*N('参数'!$C$15),2),0),"")</f>
        <v/>
      </c>
      <c r="K245" s="23" t="n"/>
      <c r="L245" s="20" t="str">
        <f>IF(ISNUMBER(K245),K245,IF(ISNUMBER(H245),I245+J245,""))</f>
        <v/>
      </c>
      <c r="M245" s="48" t="str">
        <f>IF(AND(ISNUMBER(E245),ISNUMBER(G245),ISNUMBER(F245)),(E245-G245)*IF(D245="卖",-1,1)*F245,"")</f>
        <v/>
      </c>
      <c r="N245" s="49" t="str">
        <f>IF(A245="","",IFERROR(T(INDEX('交易记录'!$C$5:$C$304,MATCH(A245,'交易记录'!$A$5:$A$304,0))),"编号没找到"))</f>
        <v/>
      </c>
      <c r="O245" s="31" t="n"/>
    </row>
    <row r="246">
      <c r="A246" s="29" t="n"/>
      <c r="B246" s="30" t="n"/>
      <c r="C246" s="47" t="n"/>
      <c r="D246" s="32" t="n"/>
      <c r="E246" s="33" t="n"/>
      <c r="F246" s="36" t="n"/>
      <c r="G246" s="33" t="n"/>
      <c r="H246" s="20" t="str">
        <f>IF(AND(ISNUMBER(E246),ISNUMBER(F246)),E246*F246,"")</f>
        <v/>
      </c>
      <c r="I246" s="43" t="str">
        <f>IF(ISNUMBER(H246),ROUND(MAX(F246*'参数'!$C$11,'参数'!$C$12)+'参数'!$C$13,2),"")</f>
        <v/>
      </c>
      <c r="J246" s="43" t="str">
        <f>IF(ISNUMBER(H246),IF(D246="卖",ROUND(H246*N('参数'!$C$14)+F246*N('参数'!$C$15),2),0),"")</f>
        <v/>
      </c>
      <c r="K246" s="23" t="n"/>
      <c r="L246" s="20" t="str">
        <f>IF(ISNUMBER(K246),K246,IF(ISNUMBER(H246),I246+J246,""))</f>
        <v/>
      </c>
      <c r="M246" s="48" t="str">
        <f>IF(AND(ISNUMBER(E246),ISNUMBER(G246),ISNUMBER(F246)),(E246-G246)*IF(D246="卖",-1,1)*F246,"")</f>
        <v/>
      </c>
      <c r="N246" s="49" t="str">
        <f>IF(A246="","",IFERROR(T(INDEX('交易记录'!$C$5:$C$304,MATCH(A246,'交易记录'!$A$5:$A$304,0))),"编号没找到"))</f>
        <v/>
      </c>
      <c r="O246" s="31" t="n"/>
    </row>
    <row r="247">
      <c r="A247" s="29" t="n"/>
      <c r="B247" s="30" t="n"/>
      <c r="C247" s="47" t="n"/>
      <c r="D247" s="32" t="n"/>
      <c r="E247" s="33" t="n"/>
      <c r="F247" s="36" t="n"/>
      <c r="G247" s="33" t="n"/>
      <c r="H247" s="20" t="str">
        <f>IF(AND(ISNUMBER(E247),ISNUMBER(F247)),E247*F247,"")</f>
        <v/>
      </c>
      <c r="I247" s="43" t="str">
        <f>IF(ISNUMBER(H247),ROUND(MAX(F247*'参数'!$C$11,'参数'!$C$12)+'参数'!$C$13,2),"")</f>
        <v/>
      </c>
      <c r="J247" s="43" t="str">
        <f>IF(ISNUMBER(H247),IF(D247="卖",ROUND(H247*N('参数'!$C$14)+F247*N('参数'!$C$15),2),0),"")</f>
        <v/>
      </c>
      <c r="K247" s="23" t="n"/>
      <c r="L247" s="20" t="str">
        <f>IF(ISNUMBER(K247),K247,IF(ISNUMBER(H247),I247+J247,""))</f>
        <v/>
      </c>
      <c r="M247" s="48" t="str">
        <f>IF(AND(ISNUMBER(E247),ISNUMBER(G247),ISNUMBER(F247)),(E247-G247)*IF(D247="卖",-1,1)*F247,"")</f>
        <v/>
      </c>
      <c r="N247" s="49" t="str">
        <f>IF(A247="","",IFERROR(T(INDEX('交易记录'!$C$5:$C$304,MATCH(A247,'交易记录'!$A$5:$A$304,0))),"编号没找到"))</f>
        <v/>
      </c>
      <c r="O247" s="31" t="n"/>
    </row>
    <row r="248">
      <c r="A248" s="29" t="n"/>
      <c r="B248" s="30" t="n"/>
      <c r="C248" s="47" t="n"/>
      <c r="D248" s="32" t="n"/>
      <c r="E248" s="33" t="n"/>
      <c r="F248" s="36" t="n"/>
      <c r="G248" s="33" t="n"/>
      <c r="H248" s="20" t="str">
        <f>IF(AND(ISNUMBER(E248),ISNUMBER(F248)),E248*F248,"")</f>
        <v/>
      </c>
      <c r="I248" s="43" t="str">
        <f>IF(ISNUMBER(H248),ROUND(MAX(F248*'参数'!$C$11,'参数'!$C$12)+'参数'!$C$13,2),"")</f>
        <v/>
      </c>
      <c r="J248" s="43" t="str">
        <f>IF(ISNUMBER(H248),IF(D248="卖",ROUND(H248*N('参数'!$C$14)+F248*N('参数'!$C$15),2),0),"")</f>
        <v/>
      </c>
      <c r="K248" s="23" t="n"/>
      <c r="L248" s="20" t="str">
        <f>IF(ISNUMBER(K248),K248,IF(ISNUMBER(H248),I248+J248,""))</f>
        <v/>
      </c>
      <c r="M248" s="48" t="str">
        <f>IF(AND(ISNUMBER(E248),ISNUMBER(G248),ISNUMBER(F248)),(E248-G248)*IF(D248="卖",-1,1)*F248,"")</f>
        <v/>
      </c>
      <c r="N248" s="49" t="str">
        <f>IF(A248="","",IFERROR(T(INDEX('交易记录'!$C$5:$C$304,MATCH(A248,'交易记录'!$A$5:$A$304,0))),"编号没找到"))</f>
        <v/>
      </c>
      <c r="O248" s="31" t="n"/>
    </row>
    <row r="249">
      <c r="A249" s="29" t="n"/>
      <c r="B249" s="30" t="n"/>
      <c r="C249" s="47" t="n"/>
      <c r="D249" s="32" t="n"/>
      <c r="E249" s="33" t="n"/>
      <c r="F249" s="36" t="n"/>
      <c r="G249" s="33" t="n"/>
      <c r="H249" s="20" t="str">
        <f>IF(AND(ISNUMBER(E249),ISNUMBER(F249)),E249*F249,"")</f>
        <v/>
      </c>
      <c r="I249" s="43" t="str">
        <f>IF(ISNUMBER(H249),ROUND(MAX(F249*'参数'!$C$11,'参数'!$C$12)+'参数'!$C$13,2),"")</f>
        <v/>
      </c>
      <c r="J249" s="43" t="str">
        <f>IF(ISNUMBER(H249),IF(D249="卖",ROUND(H249*N('参数'!$C$14)+F249*N('参数'!$C$15),2),0),"")</f>
        <v/>
      </c>
      <c r="K249" s="23" t="n"/>
      <c r="L249" s="20" t="str">
        <f>IF(ISNUMBER(K249),K249,IF(ISNUMBER(H249),I249+J249,""))</f>
        <v/>
      </c>
      <c r="M249" s="48" t="str">
        <f>IF(AND(ISNUMBER(E249),ISNUMBER(G249),ISNUMBER(F249)),(E249-G249)*IF(D249="卖",-1,1)*F249,"")</f>
        <v/>
      </c>
      <c r="N249" s="49" t="str">
        <f>IF(A249="","",IFERROR(T(INDEX('交易记录'!$C$5:$C$304,MATCH(A249,'交易记录'!$A$5:$A$304,0))),"编号没找到"))</f>
        <v/>
      </c>
      <c r="O249" s="31" t="n"/>
    </row>
    <row r="250">
      <c r="A250" s="29" t="n"/>
      <c r="B250" s="30" t="n"/>
      <c r="C250" s="47" t="n"/>
      <c r="D250" s="32" t="n"/>
      <c r="E250" s="33" t="n"/>
      <c r="F250" s="36" t="n"/>
      <c r="G250" s="33" t="n"/>
      <c r="H250" s="20" t="str">
        <f>IF(AND(ISNUMBER(E250),ISNUMBER(F250)),E250*F250,"")</f>
        <v/>
      </c>
      <c r="I250" s="43" t="str">
        <f>IF(ISNUMBER(H250),ROUND(MAX(F250*'参数'!$C$11,'参数'!$C$12)+'参数'!$C$13,2),"")</f>
        <v/>
      </c>
      <c r="J250" s="43" t="str">
        <f>IF(ISNUMBER(H250),IF(D250="卖",ROUND(H250*N('参数'!$C$14)+F250*N('参数'!$C$15),2),0),"")</f>
        <v/>
      </c>
      <c r="K250" s="23" t="n"/>
      <c r="L250" s="20" t="str">
        <f>IF(ISNUMBER(K250),K250,IF(ISNUMBER(H250),I250+J250,""))</f>
        <v/>
      </c>
      <c r="M250" s="48" t="str">
        <f>IF(AND(ISNUMBER(E250),ISNUMBER(G250),ISNUMBER(F250)),(E250-G250)*IF(D250="卖",-1,1)*F250,"")</f>
        <v/>
      </c>
      <c r="N250" s="49" t="str">
        <f>IF(A250="","",IFERROR(T(INDEX('交易记录'!$C$5:$C$304,MATCH(A250,'交易记录'!$A$5:$A$304,0))),"编号没找到"))</f>
        <v/>
      </c>
      <c r="O250" s="31" t="n"/>
    </row>
    <row r="251">
      <c r="A251" s="29" t="n"/>
      <c r="B251" s="30" t="n"/>
      <c r="C251" s="47" t="n"/>
      <c r="D251" s="32" t="n"/>
      <c r="E251" s="33" t="n"/>
      <c r="F251" s="36" t="n"/>
      <c r="G251" s="33" t="n"/>
      <c r="H251" s="20" t="str">
        <f>IF(AND(ISNUMBER(E251),ISNUMBER(F251)),E251*F251,"")</f>
        <v/>
      </c>
      <c r="I251" s="43" t="str">
        <f>IF(ISNUMBER(H251),ROUND(MAX(F251*'参数'!$C$11,'参数'!$C$12)+'参数'!$C$13,2),"")</f>
        <v/>
      </c>
      <c r="J251" s="43" t="str">
        <f>IF(ISNUMBER(H251),IF(D251="卖",ROUND(H251*N('参数'!$C$14)+F251*N('参数'!$C$15),2),0),"")</f>
        <v/>
      </c>
      <c r="K251" s="23" t="n"/>
      <c r="L251" s="20" t="str">
        <f>IF(ISNUMBER(K251),K251,IF(ISNUMBER(H251),I251+J251,""))</f>
        <v/>
      </c>
      <c r="M251" s="48" t="str">
        <f>IF(AND(ISNUMBER(E251),ISNUMBER(G251),ISNUMBER(F251)),(E251-G251)*IF(D251="卖",-1,1)*F251,"")</f>
        <v/>
      </c>
      <c r="N251" s="49" t="str">
        <f>IF(A251="","",IFERROR(T(INDEX('交易记录'!$C$5:$C$304,MATCH(A251,'交易记录'!$A$5:$A$304,0))),"编号没找到"))</f>
        <v/>
      </c>
      <c r="O251" s="31" t="n"/>
    </row>
    <row r="252">
      <c r="A252" s="29" t="n"/>
      <c r="B252" s="30" t="n"/>
      <c r="C252" s="47" t="n"/>
      <c r="D252" s="32" t="n"/>
      <c r="E252" s="33" t="n"/>
      <c r="F252" s="36" t="n"/>
      <c r="G252" s="33" t="n"/>
      <c r="H252" s="20" t="str">
        <f>IF(AND(ISNUMBER(E252),ISNUMBER(F252)),E252*F252,"")</f>
        <v/>
      </c>
      <c r="I252" s="43" t="str">
        <f>IF(ISNUMBER(H252),ROUND(MAX(F252*'参数'!$C$11,'参数'!$C$12)+'参数'!$C$13,2),"")</f>
        <v/>
      </c>
      <c r="J252" s="43" t="str">
        <f>IF(ISNUMBER(H252),IF(D252="卖",ROUND(H252*N('参数'!$C$14)+F252*N('参数'!$C$15),2),0),"")</f>
        <v/>
      </c>
      <c r="K252" s="23" t="n"/>
      <c r="L252" s="20" t="str">
        <f>IF(ISNUMBER(K252),K252,IF(ISNUMBER(H252),I252+J252,""))</f>
        <v/>
      </c>
      <c r="M252" s="48" t="str">
        <f>IF(AND(ISNUMBER(E252),ISNUMBER(G252),ISNUMBER(F252)),(E252-G252)*IF(D252="卖",-1,1)*F252,"")</f>
        <v/>
      </c>
      <c r="N252" s="49" t="str">
        <f>IF(A252="","",IFERROR(T(INDEX('交易记录'!$C$5:$C$304,MATCH(A252,'交易记录'!$A$5:$A$304,0))),"编号没找到"))</f>
        <v/>
      </c>
      <c r="O252" s="31" t="n"/>
    </row>
    <row r="253">
      <c r="A253" s="29" t="n"/>
      <c r="B253" s="30" t="n"/>
      <c r="C253" s="47" t="n"/>
      <c r="D253" s="32" t="n"/>
      <c r="E253" s="33" t="n"/>
      <c r="F253" s="36" t="n"/>
      <c r="G253" s="33" t="n"/>
      <c r="H253" s="20" t="str">
        <f>IF(AND(ISNUMBER(E253),ISNUMBER(F253)),E253*F253,"")</f>
        <v/>
      </c>
      <c r="I253" s="43" t="str">
        <f>IF(ISNUMBER(H253),ROUND(MAX(F253*'参数'!$C$11,'参数'!$C$12)+'参数'!$C$13,2),"")</f>
        <v/>
      </c>
      <c r="J253" s="43" t="str">
        <f>IF(ISNUMBER(H253),IF(D253="卖",ROUND(H253*N('参数'!$C$14)+F253*N('参数'!$C$15),2),0),"")</f>
        <v/>
      </c>
      <c r="K253" s="23" t="n"/>
      <c r="L253" s="20" t="str">
        <f>IF(ISNUMBER(K253),K253,IF(ISNUMBER(H253),I253+J253,""))</f>
        <v/>
      </c>
      <c r="M253" s="48" t="str">
        <f>IF(AND(ISNUMBER(E253),ISNUMBER(G253),ISNUMBER(F253)),(E253-G253)*IF(D253="卖",-1,1)*F253,"")</f>
        <v/>
      </c>
      <c r="N253" s="49" t="str">
        <f>IF(A253="","",IFERROR(T(INDEX('交易记录'!$C$5:$C$304,MATCH(A253,'交易记录'!$A$5:$A$304,0))),"编号没找到"))</f>
        <v/>
      </c>
      <c r="O253" s="31" t="n"/>
    </row>
    <row r="254">
      <c r="A254" s="29" t="n"/>
      <c r="B254" s="30" t="n"/>
      <c r="C254" s="47" t="n"/>
      <c r="D254" s="32" t="n"/>
      <c r="E254" s="33" t="n"/>
      <c r="F254" s="36" t="n"/>
      <c r="G254" s="33" t="n"/>
      <c r="H254" s="20" t="str">
        <f>IF(AND(ISNUMBER(E254),ISNUMBER(F254)),E254*F254,"")</f>
        <v/>
      </c>
      <c r="I254" s="43" t="str">
        <f>IF(ISNUMBER(H254),ROUND(MAX(F254*'参数'!$C$11,'参数'!$C$12)+'参数'!$C$13,2),"")</f>
        <v/>
      </c>
      <c r="J254" s="43" t="str">
        <f>IF(ISNUMBER(H254),IF(D254="卖",ROUND(H254*N('参数'!$C$14)+F254*N('参数'!$C$15),2),0),"")</f>
        <v/>
      </c>
      <c r="K254" s="23" t="n"/>
      <c r="L254" s="20" t="str">
        <f>IF(ISNUMBER(K254),K254,IF(ISNUMBER(H254),I254+J254,""))</f>
        <v/>
      </c>
      <c r="M254" s="48" t="str">
        <f>IF(AND(ISNUMBER(E254),ISNUMBER(G254),ISNUMBER(F254)),(E254-G254)*IF(D254="卖",-1,1)*F254,"")</f>
        <v/>
      </c>
      <c r="N254" s="49" t="str">
        <f>IF(A254="","",IFERROR(T(INDEX('交易记录'!$C$5:$C$304,MATCH(A254,'交易记录'!$A$5:$A$304,0))),"编号没找到"))</f>
        <v/>
      </c>
      <c r="O254" s="31" t="n"/>
    </row>
    <row r="255">
      <c r="A255" s="29" t="n"/>
      <c r="B255" s="30" t="n"/>
      <c r="C255" s="47" t="n"/>
      <c r="D255" s="32" t="n"/>
      <c r="E255" s="33" t="n"/>
      <c r="F255" s="36" t="n"/>
      <c r="G255" s="33" t="n"/>
      <c r="H255" s="20" t="str">
        <f>IF(AND(ISNUMBER(E255),ISNUMBER(F255)),E255*F255,"")</f>
        <v/>
      </c>
      <c r="I255" s="43" t="str">
        <f>IF(ISNUMBER(H255),ROUND(MAX(F255*'参数'!$C$11,'参数'!$C$12)+'参数'!$C$13,2),"")</f>
        <v/>
      </c>
      <c r="J255" s="43" t="str">
        <f>IF(ISNUMBER(H255),IF(D255="卖",ROUND(H255*N('参数'!$C$14)+F255*N('参数'!$C$15),2),0),"")</f>
        <v/>
      </c>
      <c r="K255" s="23" t="n"/>
      <c r="L255" s="20" t="str">
        <f>IF(ISNUMBER(K255),K255,IF(ISNUMBER(H255),I255+J255,""))</f>
        <v/>
      </c>
      <c r="M255" s="48" t="str">
        <f>IF(AND(ISNUMBER(E255),ISNUMBER(G255),ISNUMBER(F255)),(E255-G255)*IF(D255="卖",-1,1)*F255,"")</f>
        <v/>
      </c>
      <c r="N255" s="49" t="str">
        <f>IF(A255="","",IFERROR(T(INDEX('交易记录'!$C$5:$C$304,MATCH(A255,'交易记录'!$A$5:$A$304,0))),"编号没找到"))</f>
        <v/>
      </c>
      <c r="O255" s="31" t="n"/>
    </row>
    <row r="256">
      <c r="A256" s="29" t="n"/>
      <c r="B256" s="30" t="n"/>
      <c r="C256" s="47" t="n"/>
      <c r="D256" s="32" t="n"/>
      <c r="E256" s="33" t="n"/>
      <c r="F256" s="36" t="n"/>
      <c r="G256" s="33" t="n"/>
      <c r="H256" s="20" t="str">
        <f>IF(AND(ISNUMBER(E256),ISNUMBER(F256)),E256*F256,"")</f>
        <v/>
      </c>
      <c r="I256" s="43" t="str">
        <f>IF(ISNUMBER(H256),ROUND(MAX(F256*'参数'!$C$11,'参数'!$C$12)+'参数'!$C$13,2),"")</f>
        <v/>
      </c>
      <c r="J256" s="43" t="str">
        <f>IF(ISNUMBER(H256),IF(D256="卖",ROUND(H256*N('参数'!$C$14)+F256*N('参数'!$C$15),2),0),"")</f>
        <v/>
      </c>
      <c r="K256" s="23" t="n"/>
      <c r="L256" s="20" t="str">
        <f>IF(ISNUMBER(K256),K256,IF(ISNUMBER(H256),I256+J256,""))</f>
        <v/>
      </c>
      <c r="M256" s="48" t="str">
        <f>IF(AND(ISNUMBER(E256),ISNUMBER(G256),ISNUMBER(F256)),(E256-G256)*IF(D256="卖",-1,1)*F256,"")</f>
        <v/>
      </c>
      <c r="N256" s="49" t="str">
        <f>IF(A256="","",IFERROR(T(INDEX('交易记录'!$C$5:$C$304,MATCH(A256,'交易记录'!$A$5:$A$304,0))),"编号没找到"))</f>
        <v/>
      </c>
      <c r="O256" s="31" t="n"/>
    </row>
    <row r="257">
      <c r="A257" s="29" t="n"/>
      <c r="B257" s="30" t="n"/>
      <c r="C257" s="47" t="n"/>
      <c r="D257" s="32" t="n"/>
      <c r="E257" s="33" t="n"/>
      <c r="F257" s="36" t="n"/>
      <c r="G257" s="33" t="n"/>
      <c r="H257" s="20" t="str">
        <f>IF(AND(ISNUMBER(E257),ISNUMBER(F257)),E257*F257,"")</f>
        <v/>
      </c>
      <c r="I257" s="43" t="str">
        <f>IF(ISNUMBER(H257),ROUND(MAX(F257*'参数'!$C$11,'参数'!$C$12)+'参数'!$C$13,2),"")</f>
        <v/>
      </c>
      <c r="J257" s="43" t="str">
        <f>IF(ISNUMBER(H257),IF(D257="卖",ROUND(H257*N('参数'!$C$14)+F257*N('参数'!$C$15),2),0),"")</f>
        <v/>
      </c>
      <c r="K257" s="23" t="n"/>
      <c r="L257" s="20" t="str">
        <f>IF(ISNUMBER(K257),K257,IF(ISNUMBER(H257),I257+J257,""))</f>
        <v/>
      </c>
      <c r="M257" s="48" t="str">
        <f>IF(AND(ISNUMBER(E257),ISNUMBER(G257),ISNUMBER(F257)),(E257-G257)*IF(D257="卖",-1,1)*F257,"")</f>
        <v/>
      </c>
      <c r="N257" s="49" t="str">
        <f>IF(A257="","",IFERROR(T(INDEX('交易记录'!$C$5:$C$304,MATCH(A257,'交易记录'!$A$5:$A$304,0))),"编号没找到"))</f>
        <v/>
      </c>
      <c r="O257" s="31" t="n"/>
    </row>
    <row r="258">
      <c r="A258" s="29" t="n"/>
      <c r="B258" s="30" t="n"/>
      <c r="C258" s="47" t="n"/>
      <c r="D258" s="32" t="n"/>
      <c r="E258" s="33" t="n"/>
      <c r="F258" s="36" t="n"/>
      <c r="G258" s="33" t="n"/>
      <c r="H258" s="20" t="str">
        <f>IF(AND(ISNUMBER(E258),ISNUMBER(F258)),E258*F258,"")</f>
        <v/>
      </c>
      <c r="I258" s="43" t="str">
        <f>IF(ISNUMBER(H258),ROUND(MAX(F258*'参数'!$C$11,'参数'!$C$12)+'参数'!$C$13,2),"")</f>
        <v/>
      </c>
      <c r="J258" s="43" t="str">
        <f>IF(ISNUMBER(H258),IF(D258="卖",ROUND(H258*N('参数'!$C$14)+F258*N('参数'!$C$15),2),0),"")</f>
        <v/>
      </c>
      <c r="K258" s="23" t="n"/>
      <c r="L258" s="20" t="str">
        <f>IF(ISNUMBER(K258),K258,IF(ISNUMBER(H258),I258+J258,""))</f>
        <v/>
      </c>
      <c r="M258" s="48" t="str">
        <f>IF(AND(ISNUMBER(E258),ISNUMBER(G258),ISNUMBER(F258)),(E258-G258)*IF(D258="卖",-1,1)*F258,"")</f>
        <v/>
      </c>
      <c r="N258" s="49" t="str">
        <f>IF(A258="","",IFERROR(T(INDEX('交易记录'!$C$5:$C$304,MATCH(A258,'交易记录'!$A$5:$A$304,0))),"编号没找到"))</f>
        <v/>
      </c>
      <c r="O258" s="31" t="n"/>
    </row>
    <row r="259">
      <c r="A259" s="29" t="n"/>
      <c r="B259" s="30" t="n"/>
      <c r="C259" s="47" t="n"/>
      <c r="D259" s="32" t="n"/>
      <c r="E259" s="33" t="n"/>
      <c r="F259" s="36" t="n"/>
      <c r="G259" s="33" t="n"/>
      <c r="H259" s="20" t="str">
        <f>IF(AND(ISNUMBER(E259),ISNUMBER(F259)),E259*F259,"")</f>
        <v/>
      </c>
      <c r="I259" s="43" t="str">
        <f>IF(ISNUMBER(H259),ROUND(MAX(F259*'参数'!$C$11,'参数'!$C$12)+'参数'!$C$13,2),"")</f>
        <v/>
      </c>
      <c r="J259" s="43" t="str">
        <f>IF(ISNUMBER(H259),IF(D259="卖",ROUND(H259*N('参数'!$C$14)+F259*N('参数'!$C$15),2),0),"")</f>
        <v/>
      </c>
      <c r="K259" s="23" t="n"/>
      <c r="L259" s="20" t="str">
        <f>IF(ISNUMBER(K259),K259,IF(ISNUMBER(H259),I259+J259,""))</f>
        <v/>
      </c>
      <c r="M259" s="48" t="str">
        <f>IF(AND(ISNUMBER(E259),ISNUMBER(G259),ISNUMBER(F259)),(E259-G259)*IF(D259="卖",-1,1)*F259,"")</f>
        <v/>
      </c>
      <c r="N259" s="49" t="str">
        <f>IF(A259="","",IFERROR(T(INDEX('交易记录'!$C$5:$C$304,MATCH(A259,'交易记录'!$A$5:$A$304,0))),"编号没找到"))</f>
        <v/>
      </c>
      <c r="O259" s="31" t="n"/>
    </row>
    <row r="260">
      <c r="A260" s="29" t="n"/>
      <c r="B260" s="30" t="n"/>
      <c r="C260" s="47" t="n"/>
      <c r="D260" s="32" t="n"/>
      <c r="E260" s="33" t="n"/>
      <c r="F260" s="36" t="n"/>
      <c r="G260" s="33" t="n"/>
      <c r="H260" s="20" t="str">
        <f>IF(AND(ISNUMBER(E260),ISNUMBER(F260)),E260*F260,"")</f>
        <v/>
      </c>
      <c r="I260" s="43" t="str">
        <f>IF(ISNUMBER(H260),ROUND(MAX(F260*'参数'!$C$11,'参数'!$C$12)+'参数'!$C$13,2),"")</f>
        <v/>
      </c>
      <c r="J260" s="43" t="str">
        <f>IF(ISNUMBER(H260),IF(D260="卖",ROUND(H260*N('参数'!$C$14)+F260*N('参数'!$C$15),2),0),"")</f>
        <v/>
      </c>
      <c r="K260" s="23" t="n"/>
      <c r="L260" s="20" t="str">
        <f>IF(ISNUMBER(K260),K260,IF(ISNUMBER(H260),I260+J260,""))</f>
        <v/>
      </c>
      <c r="M260" s="48" t="str">
        <f>IF(AND(ISNUMBER(E260),ISNUMBER(G260),ISNUMBER(F260)),(E260-G260)*IF(D260="卖",-1,1)*F260,"")</f>
        <v/>
      </c>
      <c r="N260" s="49" t="str">
        <f>IF(A260="","",IFERROR(T(INDEX('交易记录'!$C$5:$C$304,MATCH(A260,'交易记录'!$A$5:$A$304,0))),"编号没找到"))</f>
        <v/>
      </c>
      <c r="O260" s="31" t="n"/>
    </row>
    <row r="261">
      <c r="A261" s="29" t="n"/>
      <c r="B261" s="30" t="n"/>
      <c r="C261" s="47" t="n"/>
      <c r="D261" s="32" t="n"/>
      <c r="E261" s="33" t="n"/>
      <c r="F261" s="36" t="n"/>
      <c r="G261" s="33" t="n"/>
      <c r="H261" s="20" t="str">
        <f>IF(AND(ISNUMBER(E261),ISNUMBER(F261)),E261*F261,"")</f>
        <v/>
      </c>
      <c r="I261" s="43" t="str">
        <f>IF(ISNUMBER(H261),ROUND(MAX(F261*'参数'!$C$11,'参数'!$C$12)+'参数'!$C$13,2),"")</f>
        <v/>
      </c>
      <c r="J261" s="43" t="str">
        <f>IF(ISNUMBER(H261),IF(D261="卖",ROUND(H261*N('参数'!$C$14)+F261*N('参数'!$C$15),2),0),"")</f>
        <v/>
      </c>
      <c r="K261" s="23" t="n"/>
      <c r="L261" s="20" t="str">
        <f>IF(ISNUMBER(K261),K261,IF(ISNUMBER(H261),I261+J261,""))</f>
        <v/>
      </c>
      <c r="M261" s="48" t="str">
        <f>IF(AND(ISNUMBER(E261),ISNUMBER(G261),ISNUMBER(F261)),(E261-G261)*IF(D261="卖",-1,1)*F261,"")</f>
        <v/>
      </c>
      <c r="N261" s="49" t="str">
        <f>IF(A261="","",IFERROR(T(INDEX('交易记录'!$C$5:$C$304,MATCH(A261,'交易记录'!$A$5:$A$304,0))),"编号没找到"))</f>
        <v/>
      </c>
      <c r="O261" s="31" t="n"/>
    </row>
    <row r="262">
      <c r="A262" s="29" t="n"/>
      <c r="B262" s="30" t="n"/>
      <c r="C262" s="47" t="n"/>
      <c r="D262" s="32" t="n"/>
      <c r="E262" s="33" t="n"/>
      <c r="F262" s="36" t="n"/>
      <c r="G262" s="33" t="n"/>
      <c r="H262" s="20" t="str">
        <f>IF(AND(ISNUMBER(E262),ISNUMBER(F262)),E262*F262,"")</f>
        <v/>
      </c>
      <c r="I262" s="43" t="str">
        <f>IF(ISNUMBER(H262),ROUND(MAX(F262*'参数'!$C$11,'参数'!$C$12)+'参数'!$C$13,2),"")</f>
        <v/>
      </c>
      <c r="J262" s="43" t="str">
        <f>IF(ISNUMBER(H262),IF(D262="卖",ROUND(H262*N('参数'!$C$14)+F262*N('参数'!$C$15),2),0),"")</f>
        <v/>
      </c>
      <c r="K262" s="23" t="n"/>
      <c r="L262" s="20" t="str">
        <f>IF(ISNUMBER(K262),K262,IF(ISNUMBER(H262),I262+J262,""))</f>
        <v/>
      </c>
      <c r="M262" s="48" t="str">
        <f>IF(AND(ISNUMBER(E262),ISNUMBER(G262),ISNUMBER(F262)),(E262-G262)*IF(D262="卖",-1,1)*F262,"")</f>
        <v/>
      </c>
      <c r="N262" s="49" t="str">
        <f>IF(A262="","",IFERROR(T(INDEX('交易记录'!$C$5:$C$304,MATCH(A262,'交易记录'!$A$5:$A$304,0))),"编号没找到"))</f>
        <v/>
      </c>
      <c r="O262" s="31" t="n"/>
    </row>
    <row r="263">
      <c r="A263" s="29" t="n"/>
      <c r="B263" s="30" t="n"/>
      <c r="C263" s="47" t="n"/>
      <c r="D263" s="32" t="n"/>
      <c r="E263" s="33" t="n"/>
      <c r="F263" s="36" t="n"/>
      <c r="G263" s="33" t="n"/>
      <c r="H263" s="20" t="str">
        <f>IF(AND(ISNUMBER(E263),ISNUMBER(F263)),E263*F263,"")</f>
        <v/>
      </c>
      <c r="I263" s="43" t="str">
        <f>IF(ISNUMBER(H263),ROUND(MAX(F263*'参数'!$C$11,'参数'!$C$12)+'参数'!$C$13,2),"")</f>
        <v/>
      </c>
      <c r="J263" s="43" t="str">
        <f>IF(ISNUMBER(H263),IF(D263="卖",ROUND(H263*N('参数'!$C$14)+F263*N('参数'!$C$15),2),0),"")</f>
        <v/>
      </c>
      <c r="K263" s="23" t="n"/>
      <c r="L263" s="20" t="str">
        <f>IF(ISNUMBER(K263),K263,IF(ISNUMBER(H263),I263+J263,""))</f>
        <v/>
      </c>
      <c r="M263" s="48" t="str">
        <f>IF(AND(ISNUMBER(E263),ISNUMBER(G263),ISNUMBER(F263)),(E263-G263)*IF(D263="卖",-1,1)*F263,"")</f>
        <v/>
      </c>
      <c r="N263" s="49" t="str">
        <f>IF(A263="","",IFERROR(T(INDEX('交易记录'!$C$5:$C$304,MATCH(A263,'交易记录'!$A$5:$A$304,0))),"编号没找到"))</f>
        <v/>
      </c>
      <c r="O263" s="31" t="n"/>
    </row>
    <row r="264">
      <c r="A264" s="29" t="n"/>
      <c r="B264" s="30" t="n"/>
      <c r="C264" s="47" t="n"/>
      <c r="D264" s="32" t="n"/>
      <c r="E264" s="33" t="n"/>
      <c r="F264" s="36" t="n"/>
      <c r="G264" s="33" t="n"/>
      <c r="H264" s="20" t="str">
        <f>IF(AND(ISNUMBER(E264),ISNUMBER(F264)),E264*F264,"")</f>
        <v/>
      </c>
      <c r="I264" s="43" t="str">
        <f>IF(ISNUMBER(H264),ROUND(MAX(F264*'参数'!$C$11,'参数'!$C$12)+'参数'!$C$13,2),"")</f>
        <v/>
      </c>
      <c r="J264" s="43" t="str">
        <f>IF(ISNUMBER(H264),IF(D264="卖",ROUND(H264*N('参数'!$C$14)+F264*N('参数'!$C$15),2),0),"")</f>
        <v/>
      </c>
      <c r="K264" s="23" t="n"/>
      <c r="L264" s="20" t="str">
        <f>IF(ISNUMBER(K264),K264,IF(ISNUMBER(H264),I264+J264,""))</f>
        <v/>
      </c>
      <c r="M264" s="48" t="str">
        <f>IF(AND(ISNUMBER(E264),ISNUMBER(G264),ISNUMBER(F264)),(E264-G264)*IF(D264="卖",-1,1)*F264,"")</f>
        <v/>
      </c>
      <c r="N264" s="49" t="str">
        <f>IF(A264="","",IFERROR(T(INDEX('交易记录'!$C$5:$C$304,MATCH(A264,'交易记录'!$A$5:$A$304,0))),"编号没找到"))</f>
        <v/>
      </c>
      <c r="O264" s="31" t="n"/>
    </row>
    <row r="265">
      <c r="A265" s="29" t="n"/>
      <c r="B265" s="30" t="n"/>
      <c r="C265" s="47" t="n"/>
      <c r="D265" s="32" t="n"/>
      <c r="E265" s="33" t="n"/>
      <c r="F265" s="36" t="n"/>
      <c r="G265" s="33" t="n"/>
      <c r="H265" s="20" t="str">
        <f>IF(AND(ISNUMBER(E265),ISNUMBER(F265)),E265*F265,"")</f>
        <v/>
      </c>
      <c r="I265" s="43" t="str">
        <f>IF(ISNUMBER(H265),ROUND(MAX(F265*'参数'!$C$11,'参数'!$C$12)+'参数'!$C$13,2),"")</f>
        <v/>
      </c>
      <c r="J265" s="43" t="str">
        <f>IF(ISNUMBER(H265),IF(D265="卖",ROUND(H265*N('参数'!$C$14)+F265*N('参数'!$C$15),2),0),"")</f>
        <v/>
      </c>
      <c r="K265" s="23" t="n"/>
      <c r="L265" s="20" t="str">
        <f>IF(ISNUMBER(K265),K265,IF(ISNUMBER(H265),I265+J265,""))</f>
        <v/>
      </c>
      <c r="M265" s="48" t="str">
        <f>IF(AND(ISNUMBER(E265),ISNUMBER(G265),ISNUMBER(F265)),(E265-G265)*IF(D265="卖",-1,1)*F265,"")</f>
        <v/>
      </c>
      <c r="N265" s="49" t="str">
        <f>IF(A265="","",IFERROR(T(INDEX('交易记录'!$C$5:$C$304,MATCH(A265,'交易记录'!$A$5:$A$304,0))),"编号没找到"))</f>
        <v/>
      </c>
      <c r="O265" s="31" t="n"/>
    </row>
    <row r="266">
      <c r="A266" s="29" t="n"/>
      <c r="B266" s="30" t="n"/>
      <c r="C266" s="47" t="n"/>
      <c r="D266" s="32" t="n"/>
      <c r="E266" s="33" t="n"/>
      <c r="F266" s="36" t="n"/>
      <c r="G266" s="33" t="n"/>
      <c r="H266" s="20" t="str">
        <f>IF(AND(ISNUMBER(E266),ISNUMBER(F266)),E266*F266,"")</f>
        <v/>
      </c>
      <c r="I266" s="43" t="str">
        <f>IF(ISNUMBER(H266),ROUND(MAX(F266*'参数'!$C$11,'参数'!$C$12)+'参数'!$C$13,2),"")</f>
        <v/>
      </c>
      <c r="J266" s="43" t="str">
        <f>IF(ISNUMBER(H266),IF(D266="卖",ROUND(H266*N('参数'!$C$14)+F266*N('参数'!$C$15),2),0),"")</f>
        <v/>
      </c>
      <c r="K266" s="23" t="n"/>
      <c r="L266" s="20" t="str">
        <f>IF(ISNUMBER(K266),K266,IF(ISNUMBER(H266),I266+J266,""))</f>
        <v/>
      </c>
      <c r="M266" s="48" t="str">
        <f>IF(AND(ISNUMBER(E266),ISNUMBER(G266),ISNUMBER(F266)),(E266-G266)*IF(D266="卖",-1,1)*F266,"")</f>
        <v/>
      </c>
      <c r="N266" s="49" t="str">
        <f>IF(A266="","",IFERROR(T(INDEX('交易记录'!$C$5:$C$304,MATCH(A266,'交易记录'!$A$5:$A$304,0))),"编号没找到"))</f>
        <v/>
      </c>
      <c r="O266" s="31" t="n"/>
    </row>
    <row r="267">
      <c r="A267" s="29" t="n"/>
      <c r="B267" s="30" t="n"/>
      <c r="C267" s="47" t="n"/>
      <c r="D267" s="32" t="n"/>
      <c r="E267" s="33" t="n"/>
      <c r="F267" s="36" t="n"/>
      <c r="G267" s="33" t="n"/>
      <c r="H267" s="20" t="str">
        <f>IF(AND(ISNUMBER(E267),ISNUMBER(F267)),E267*F267,"")</f>
        <v/>
      </c>
      <c r="I267" s="43" t="str">
        <f>IF(ISNUMBER(H267),ROUND(MAX(F267*'参数'!$C$11,'参数'!$C$12)+'参数'!$C$13,2),"")</f>
        <v/>
      </c>
      <c r="J267" s="43" t="str">
        <f>IF(ISNUMBER(H267),IF(D267="卖",ROUND(H267*N('参数'!$C$14)+F267*N('参数'!$C$15),2),0),"")</f>
        <v/>
      </c>
      <c r="K267" s="23" t="n"/>
      <c r="L267" s="20" t="str">
        <f>IF(ISNUMBER(K267),K267,IF(ISNUMBER(H267),I267+J267,""))</f>
        <v/>
      </c>
      <c r="M267" s="48" t="str">
        <f>IF(AND(ISNUMBER(E267),ISNUMBER(G267),ISNUMBER(F267)),(E267-G267)*IF(D267="卖",-1,1)*F267,"")</f>
        <v/>
      </c>
      <c r="N267" s="49" t="str">
        <f>IF(A267="","",IFERROR(T(INDEX('交易记录'!$C$5:$C$304,MATCH(A267,'交易记录'!$A$5:$A$304,0))),"编号没找到"))</f>
        <v/>
      </c>
      <c r="O267" s="31" t="n"/>
    </row>
    <row r="268">
      <c r="A268" s="29" t="n"/>
      <c r="B268" s="30" t="n"/>
      <c r="C268" s="47" t="n"/>
      <c r="D268" s="32" t="n"/>
      <c r="E268" s="33" t="n"/>
      <c r="F268" s="36" t="n"/>
      <c r="G268" s="33" t="n"/>
      <c r="H268" s="20" t="str">
        <f>IF(AND(ISNUMBER(E268),ISNUMBER(F268)),E268*F268,"")</f>
        <v/>
      </c>
      <c r="I268" s="43" t="str">
        <f>IF(ISNUMBER(H268),ROUND(MAX(F268*'参数'!$C$11,'参数'!$C$12)+'参数'!$C$13,2),"")</f>
        <v/>
      </c>
      <c r="J268" s="43" t="str">
        <f>IF(ISNUMBER(H268),IF(D268="卖",ROUND(H268*N('参数'!$C$14)+F268*N('参数'!$C$15),2),0),"")</f>
        <v/>
      </c>
      <c r="K268" s="23" t="n"/>
      <c r="L268" s="20" t="str">
        <f>IF(ISNUMBER(K268),K268,IF(ISNUMBER(H268),I268+J268,""))</f>
        <v/>
      </c>
      <c r="M268" s="48" t="str">
        <f>IF(AND(ISNUMBER(E268),ISNUMBER(G268),ISNUMBER(F268)),(E268-G268)*IF(D268="卖",-1,1)*F268,"")</f>
        <v/>
      </c>
      <c r="N268" s="49" t="str">
        <f>IF(A268="","",IFERROR(T(INDEX('交易记录'!$C$5:$C$304,MATCH(A268,'交易记录'!$A$5:$A$304,0))),"编号没找到"))</f>
        <v/>
      </c>
      <c r="O268" s="31" t="n"/>
    </row>
    <row r="269">
      <c r="A269" s="29" t="n"/>
      <c r="B269" s="30" t="n"/>
      <c r="C269" s="47" t="n"/>
      <c r="D269" s="32" t="n"/>
      <c r="E269" s="33" t="n"/>
      <c r="F269" s="36" t="n"/>
      <c r="G269" s="33" t="n"/>
      <c r="H269" s="20" t="str">
        <f>IF(AND(ISNUMBER(E269),ISNUMBER(F269)),E269*F269,"")</f>
        <v/>
      </c>
      <c r="I269" s="43" t="str">
        <f>IF(ISNUMBER(H269),ROUND(MAX(F269*'参数'!$C$11,'参数'!$C$12)+'参数'!$C$13,2),"")</f>
        <v/>
      </c>
      <c r="J269" s="43" t="str">
        <f>IF(ISNUMBER(H269),IF(D269="卖",ROUND(H269*N('参数'!$C$14)+F269*N('参数'!$C$15),2),0),"")</f>
        <v/>
      </c>
      <c r="K269" s="23" t="n"/>
      <c r="L269" s="20" t="str">
        <f>IF(ISNUMBER(K269),K269,IF(ISNUMBER(H269),I269+J269,""))</f>
        <v/>
      </c>
      <c r="M269" s="48" t="str">
        <f>IF(AND(ISNUMBER(E269),ISNUMBER(G269),ISNUMBER(F269)),(E269-G269)*IF(D269="卖",-1,1)*F269,"")</f>
        <v/>
      </c>
      <c r="N269" s="49" t="str">
        <f>IF(A269="","",IFERROR(T(INDEX('交易记录'!$C$5:$C$304,MATCH(A269,'交易记录'!$A$5:$A$304,0))),"编号没找到"))</f>
        <v/>
      </c>
      <c r="O269" s="31" t="n"/>
    </row>
    <row r="270">
      <c r="A270" s="29" t="n"/>
      <c r="B270" s="30" t="n"/>
      <c r="C270" s="47" t="n"/>
      <c r="D270" s="32" t="n"/>
      <c r="E270" s="33" t="n"/>
      <c r="F270" s="36" t="n"/>
      <c r="G270" s="33" t="n"/>
      <c r="H270" s="20" t="str">
        <f>IF(AND(ISNUMBER(E270),ISNUMBER(F270)),E270*F270,"")</f>
        <v/>
      </c>
      <c r="I270" s="43" t="str">
        <f>IF(ISNUMBER(H270),ROUND(MAX(F270*'参数'!$C$11,'参数'!$C$12)+'参数'!$C$13,2),"")</f>
        <v/>
      </c>
      <c r="J270" s="43" t="str">
        <f>IF(ISNUMBER(H270),IF(D270="卖",ROUND(H270*N('参数'!$C$14)+F270*N('参数'!$C$15),2),0),"")</f>
        <v/>
      </c>
      <c r="K270" s="23" t="n"/>
      <c r="L270" s="20" t="str">
        <f>IF(ISNUMBER(K270),K270,IF(ISNUMBER(H270),I270+J270,""))</f>
        <v/>
      </c>
      <c r="M270" s="48" t="str">
        <f>IF(AND(ISNUMBER(E270),ISNUMBER(G270),ISNUMBER(F270)),(E270-G270)*IF(D270="卖",-1,1)*F270,"")</f>
        <v/>
      </c>
      <c r="N270" s="49" t="str">
        <f>IF(A270="","",IFERROR(T(INDEX('交易记录'!$C$5:$C$304,MATCH(A270,'交易记录'!$A$5:$A$304,0))),"编号没找到"))</f>
        <v/>
      </c>
      <c r="O270" s="31" t="n"/>
    </row>
    <row r="271">
      <c r="A271" s="29" t="n"/>
      <c r="B271" s="30" t="n"/>
      <c r="C271" s="47" t="n"/>
      <c r="D271" s="32" t="n"/>
      <c r="E271" s="33" t="n"/>
      <c r="F271" s="36" t="n"/>
      <c r="G271" s="33" t="n"/>
      <c r="H271" s="20" t="str">
        <f>IF(AND(ISNUMBER(E271),ISNUMBER(F271)),E271*F271,"")</f>
        <v/>
      </c>
      <c r="I271" s="43" t="str">
        <f>IF(ISNUMBER(H271),ROUND(MAX(F271*'参数'!$C$11,'参数'!$C$12)+'参数'!$C$13,2),"")</f>
        <v/>
      </c>
      <c r="J271" s="43" t="str">
        <f>IF(ISNUMBER(H271),IF(D271="卖",ROUND(H271*N('参数'!$C$14)+F271*N('参数'!$C$15),2),0),"")</f>
        <v/>
      </c>
      <c r="K271" s="23" t="n"/>
      <c r="L271" s="20" t="str">
        <f>IF(ISNUMBER(K271),K271,IF(ISNUMBER(H271),I271+J271,""))</f>
        <v/>
      </c>
      <c r="M271" s="48" t="str">
        <f>IF(AND(ISNUMBER(E271),ISNUMBER(G271),ISNUMBER(F271)),(E271-G271)*IF(D271="卖",-1,1)*F271,"")</f>
        <v/>
      </c>
      <c r="N271" s="49" t="str">
        <f>IF(A271="","",IFERROR(T(INDEX('交易记录'!$C$5:$C$304,MATCH(A271,'交易记录'!$A$5:$A$304,0))),"编号没找到"))</f>
        <v/>
      </c>
      <c r="O271" s="31" t="n"/>
    </row>
    <row r="272">
      <c r="A272" s="29" t="n"/>
      <c r="B272" s="30" t="n"/>
      <c r="C272" s="47" t="n"/>
      <c r="D272" s="32" t="n"/>
      <c r="E272" s="33" t="n"/>
      <c r="F272" s="36" t="n"/>
      <c r="G272" s="33" t="n"/>
      <c r="H272" s="20" t="str">
        <f>IF(AND(ISNUMBER(E272),ISNUMBER(F272)),E272*F272,"")</f>
        <v/>
      </c>
      <c r="I272" s="43" t="str">
        <f>IF(ISNUMBER(H272),ROUND(MAX(F272*'参数'!$C$11,'参数'!$C$12)+'参数'!$C$13,2),"")</f>
        <v/>
      </c>
      <c r="J272" s="43" t="str">
        <f>IF(ISNUMBER(H272),IF(D272="卖",ROUND(H272*N('参数'!$C$14)+F272*N('参数'!$C$15),2),0),"")</f>
        <v/>
      </c>
      <c r="K272" s="23" t="n"/>
      <c r="L272" s="20" t="str">
        <f>IF(ISNUMBER(K272),K272,IF(ISNUMBER(H272),I272+J272,""))</f>
        <v/>
      </c>
      <c r="M272" s="48" t="str">
        <f>IF(AND(ISNUMBER(E272),ISNUMBER(G272),ISNUMBER(F272)),(E272-G272)*IF(D272="卖",-1,1)*F272,"")</f>
        <v/>
      </c>
      <c r="N272" s="49" t="str">
        <f>IF(A272="","",IFERROR(T(INDEX('交易记录'!$C$5:$C$304,MATCH(A272,'交易记录'!$A$5:$A$304,0))),"编号没找到"))</f>
        <v/>
      </c>
      <c r="O272" s="31" t="n"/>
    </row>
    <row r="273">
      <c r="A273" s="29" t="n"/>
      <c r="B273" s="30" t="n"/>
      <c r="C273" s="47" t="n"/>
      <c r="D273" s="32" t="n"/>
      <c r="E273" s="33" t="n"/>
      <c r="F273" s="36" t="n"/>
      <c r="G273" s="33" t="n"/>
      <c r="H273" s="20" t="str">
        <f>IF(AND(ISNUMBER(E273),ISNUMBER(F273)),E273*F273,"")</f>
        <v/>
      </c>
      <c r="I273" s="43" t="str">
        <f>IF(ISNUMBER(H273),ROUND(MAX(F273*'参数'!$C$11,'参数'!$C$12)+'参数'!$C$13,2),"")</f>
        <v/>
      </c>
      <c r="J273" s="43" t="str">
        <f>IF(ISNUMBER(H273),IF(D273="卖",ROUND(H273*N('参数'!$C$14)+F273*N('参数'!$C$15),2),0),"")</f>
        <v/>
      </c>
      <c r="K273" s="23" t="n"/>
      <c r="L273" s="20" t="str">
        <f>IF(ISNUMBER(K273),K273,IF(ISNUMBER(H273),I273+J273,""))</f>
        <v/>
      </c>
      <c r="M273" s="48" t="str">
        <f>IF(AND(ISNUMBER(E273),ISNUMBER(G273),ISNUMBER(F273)),(E273-G273)*IF(D273="卖",-1,1)*F273,"")</f>
        <v/>
      </c>
      <c r="N273" s="49" t="str">
        <f>IF(A273="","",IFERROR(T(INDEX('交易记录'!$C$5:$C$304,MATCH(A273,'交易记录'!$A$5:$A$304,0))),"编号没找到"))</f>
        <v/>
      </c>
      <c r="O273" s="31" t="n"/>
    </row>
    <row r="274">
      <c r="A274" s="29" t="n"/>
      <c r="B274" s="30" t="n"/>
      <c r="C274" s="47" t="n"/>
      <c r="D274" s="32" t="n"/>
      <c r="E274" s="33" t="n"/>
      <c r="F274" s="36" t="n"/>
      <c r="G274" s="33" t="n"/>
      <c r="H274" s="20" t="str">
        <f>IF(AND(ISNUMBER(E274),ISNUMBER(F274)),E274*F274,"")</f>
        <v/>
      </c>
      <c r="I274" s="43" t="str">
        <f>IF(ISNUMBER(H274),ROUND(MAX(F274*'参数'!$C$11,'参数'!$C$12)+'参数'!$C$13,2),"")</f>
        <v/>
      </c>
      <c r="J274" s="43" t="str">
        <f>IF(ISNUMBER(H274),IF(D274="卖",ROUND(H274*N('参数'!$C$14)+F274*N('参数'!$C$15),2),0),"")</f>
        <v/>
      </c>
      <c r="K274" s="23" t="n"/>
      <c r="L274" s="20" t="str">
        <f>IF(ISNUMBER(K274),K274,IF(ISNUMBER(H274),I274+J274,""))</f>
        <v/>
      </c>
      <c r="M274" s="48" t="str">
        <f>IF(AND(ISNUMBER(E274),ISNUMBER(G274),ISNUMBER(F274)),(E274-G274)*IF(D274="卖",-1,1)*F274,"")</f>
        <v/>
      </c>
      <c r="N274" s="49" t="str">
        <f>IF(A274="","",IFERROR(T(INDEX('交易记录'!$C$5:$C$304,MATCH(A274,'交易记录'!$A$5:$A$304,0))),"编号没找到"))</f>
        <v/>
      </c>
      <c r="O274" s="31" t="n"/>
    </row>
    <row r="275">
      <c r="A275" s="29" t="n"/>
      <c r="B275" s="30" t="n"/>
      <c r="C275" s="47" t="n"/>
      <c r="D275" s="32" t="n"/>
      <c r="E275" s="33" t="n"/>
      <c r="F275" s="36" t="n"/>
      <c r="G275" s="33" t="n"/>
      <c r="H275" s="20" t="str">
        <f>IF(AND(ISNUMBER(E275),ISNUMBER(F275)),E275*F275,"")</f>
        <v/>
      </c>
      <c r="I275" s="43" t="str">
        <f>IF(ISNUMBER(H275),ROUND(MAX(F275*'参数'!$C$11,'参数'!$C$12)+'参数'!$C$13,2),"")</f>
        <v/>
      </c>
      <c r="J275" s="43" t="str">
        <f>IF(ISNUMBER(H275),IF(D275="卖",ROUND(H275*N('参数'!$C$14)+F275*N('参数'!$C$15),2),0),"")</f>
        <v/>
      </c>
      <c r="K275" s="23" t="n"/>
      <c r="L275" s="20" t="str">
        <f>IF(ISNUMBER(K275),K275,IF(ISNUMBER(H275),I275+J275,""))</f>
        <v/>
      </c>
      <c r="M275" s="48" t="str">
        <f>IF(AND(ISNUMBER(E275),ISNUMBER(G275),ISNUMBER(F275)),(E275-G275)*IF(D275="卖",-1,1)*F275,"")</f>
        <v/>
      </c>
      <c r="N275" s="49" t="str">
        <f>IF(A275="","",IFERROR(T(INDEX('交易记录'!$C$5:$C$304,MATCH(A275,'交易记录'!$A$5:$A$304,0))),"编号没找到"))</f>
        <v/>
      </c>
      <c r="O275" s="31" t="n"/>
    </row>
    <row r="276">
      <c r="A276" s="29" t="n"/>
      <c r="B276" s="30" t="n"/>
      <c r="C276" s="47" t="n"/>
      <c r="D276" s="32" t="n"/>
      <c r="E276" s="33" t="n"/>
      <c r="F276" s="36" t="n"/>
      <c r="G276" s="33" t="n"/>
      <c r="H276" s="20" t="str">
        <f>IF(AND(ISNUMBER(E276),ISNUMBER(F276)),E276*F276,"")</f>
        <v/>
      </c>
      <c r="I276" s="43" t="str">
        <f>IF(ISNUMBER(H276),ROUND(MAX(F276*'参数'!$C$11,'参数'!$C$12)+'参数'!$C$13,2),"")</f>
        <v/>
      </c>
      <c r="J276" s="43" t="str">
        <f>IF(ISNUMBER(H276),IF(D276="卖",ROUND(H276*N('参数'!$C$14)+F276*N('参数'!$C$15),2),0),"")</f>
        <v/>
      </c>
      <c r="K276" s="23" t="n"/>
      <c r="L276" s="20" t="str">
        <f>IF(ISNUMBER(K276),K276,IF(ISNUMBER(H276),I276+J276,""))</f>
        <v/>
      </c>
      <c r="M276" s="48" t="str">
        <f>IF(AND(ISNUMBER(E276),ISNUMBER(G276),ISNUMBER(F276)),(E276-G276)*IF(D276="卖",-1,1)*F276,"")</f>
        <v/>
      </c>
      <c r="N276" s="49" t="str">
        <f>IF(A276="","",IFERROR(T(INDEX('交易记录'!$C$5:$C$304,MATCH(A276,'交易记录'!$A$5:$A$304,0))),"编号没找到"))</f>
        <v/>
      </c>
      <c r="O276" s="31" t="n"/>
    </row>
    <row r="277">
      <c r="A277" s="29" t="n"/>
      <c r="B277" s="30" t="n"/>
      <c r="C277" s="47" t="n"/>
      <c r="D277" s="32" t="n"/>
      <c r="E277" s="33" t="n"/>
      <c r="F277" s="36" t="n"/>
      <c r="G277" s="33" t="n"/>
      <c r="H277" s="20" t="str">
        <f>IF(AND(ISNUMBER(E277),ISNUMBER(F277)),E277*F277,"")</f>
        <v/>
      </c>
      <c r="I277" s="43" t="str">
        <f>IF(ISNUMBER(H277),ROUND(MAX(F277*'参数'!$C$11,'参数'!$C$12)+'参数'!$C$13,2),"")</f>
        <v/>
      </c>
      <c r="J277" s="43" t="str">
        <f>IF(ISNUMBER(H277),IF(D277="卖",ROUND(H277*N('参数'!$C$14)+F277*N('参数'!$C$15),2),0),"")</f>
        <v/>
      </c>
      <c r="K277" s="23" t="n"/>
      <c r="L277" s="20" t="str">
        <f>IF(ISNUMBER(K277),K277,IF(ISNUMBER(H277),I277+J277,""))</f>
        <v/>
      </c>
      <c r="M277" s="48" t="str">
        <f>IF(AND(ISNUMBER(E277),ISNUMBER(G277),ISNUMBER(F277)),(E277-G277)*IF(D277="卖",-1,1)*F277,"")</f>
        <v/>
      </c>
      <c r="N277" s="49" t="str">
        <f>IF(A277="","",IFERROR(T(INDEX('交易记录'!$C$5:$C$304,MATCH(A277,'交易记录'!$A$5:$A$304,0))),"编号没找到"))</f>
        <v/>
      </c>
      <c r="O277" s="31" t="n"/>
    </row>
    <row r="278">
      <c r="A278" s="29" t="n"/>
      <c r="B278" s="30" t="n"/>
      <c r="C278" s="47" t="n"/>
      <c r="D278" s="32" t="n"/>
      <c r="E278" s="33" t="n"/>
      <c r="F278" s="36" t="n"/>
      <c r="G278" s="33" t="n"/>
      <c r="H278" s="20" t="str">
        <f>IF(AND(ISNUMBER(E278),ISNUMBER(F278)),E278*F278,"")</f>
        <v/>
      </c>
      <c r="I278" s="43" t="str">
        <f>IF(ISNUMBER(H278),ROUND(MAX(F278*'参数'!$C$11,'参数'!$C$12)+'参数'!$C$13,2),"")</f>
        <v/>
      </c>
      <c r="J278" s="43" t="str">
        <f>IF(ISNUMBER(H278),IF(D278="卖",ROUND(H278*N('参数'!$C$14)+F278*N('参数'!$C$15),2),0),"")</f>
        <v/>
      </c>
      <c r="K278" s="23" t="n"/>
      <c r="L278" s="20" t="str">
        <f>IF(ISNUMBER(K278),K278,IF(ISNUMBER(H278),I278+J278,""))</f>
        <v/>
      </c>
      <c r="M278" s="48" t="str">
        <f>IF(AND(ISNUMBER(E278),ISNUMBER(G278),ISNUMBER(F278)),(E278-G278)*IF(D278="卖",-1,1)*F278,"")</f>
        <v/>
      </c>
      <c r="N278" s="49" t="str">
        <f>IF(A278="","",IFERROR(T(INDEX('交易记录'!$C$5:$C$304,MATCH(A278,'交易记录'!$A$5:$A$304,0))),"编号没找到"))</f>
        <v/>
      </c>
      <c r="O278" s="31" t="n"/>
    </row>
    <row r="279">
      <c r="A279" s="29" t="n"/>
      <c r="B279" s="30" t="n"/>
      <c r="C279" s="47" t="n"/>
      <c r="D279" s="32" t="n"/>
      <c r="E279" s="33" t="n"/>
      <c r="F279" s="36" t="n"/>
      <c r="G279" s="33" t="n"/>
      <c r="H279" s="20" t="str">
        <f>IF(AND(ISNUMBER(E279),ISNUMBER(F279)),E279*F279,"")</f>
        <v/>
      </c>
      <c r="I279" s="43" t="str">
        <f>IF(ISNUMBER(H279),ROUND(MAX(F279*'参数'!$C$11,'参数'!$C$12)+'参数'!$C$13,2),"")</f>
        <v/>
      </c>
      <c r="J279" s="43" t="str">
        <f>IF(ISNUMBER(H279),IF(D279="卖",ROUND(H279*N('参数'!$C$14)+F279*N('参数'!$C$15),2),0),"")</f>
        <v/>
      </c>
      <c r="K279" s="23" t="n"/>
      <c r="L279" s="20" t="str">
        <f>IF(ISNUMBER(K279),K279,IF(ISNUMBER(H279),I279+J279,""))</f>
        <v/>
      </c>
      <c r="M279" s="48" t="str">
        <f>IF(AND(ISNUMBER(E279),ISNUMBER(G279),ISNUMBER(F279)),(E279-G279)*IF(D279="卖",-1,1)*F279,"")</f>
        <v/>
      </c>
      <c r="N279" s="49" t="str">
        <f>IF(A279="","",IFERROR(T(INDEX('交易记录'!$C$5:$C$304,MATCH(A279,'交易记录'!$A$5:$A$304,0))),"编号没找到"))</f>
        <v/>
      </c>
      <c r="O279" s="31" t="n"/>
    </row>
    <row r="280">
      <c r="A280" s="29" t="n"/>
      <c r="B280" s="30" t="n"/>
      <c r="C280" s="47" t="n"/>
      <c r="D280" s="32" t="n"/>
      <c r="E280" s="33" t="n"/>
      <c r="F280" s="36" t="n"/>
      <c r="G280" s="33" t="n"/>
      <c r="H280" s="20" t="str">
        <f>IF(AND(ISNUMBER(E280),ISNUMBER(F280)),E280*F280,"")</f>
        <v/>
      </c>
      <c r="I280" s="43" t="str">
        <f>IF(ISNUMBER(H280),ROUND(MAX(F280*'参数'!$C$11,'参数'!$C$12)+'参数'!$C$13,2),"")</f>
        <v/>
      </c>
      <c r="J280" s="43" t="str">
        <f>IF(ISNUMBER(H280),IF(D280="卖",ROUND(H280*N('参数'!$C$14)+F280*N('参数'!$C$15),2),0),"")</f>
        <v/>
      </c>
      <c r="K280" s="23" t="n"/>
      <c r="L280" s="20" t="str">
        <f>IF(ISNUMBER(K280),K280,IF(ISNUMBER(H280),I280+J280,""))</f>
        <v/>
      </c>
      <c r="M280" s="48" t="str">
        <f>IF(AND(ISNUMBER(E280),ISNUMBER(G280),ISNUMBER(F280)),(E280-G280)*IF(D280="卖",-1,1)*F280,"")</f>
        <v/>
      </c>
      <c r="N280" s="49" t="str">
        <f>IF(A280="","",IFERROR(T(INDEX('交易记录'!$C$5:$C$304,MATCH(A280,'交易记录'!$A$5:$A$304,0))),"编号没找到"))</f>
        <v/>
      </c>
      <c r="O280" s="31" t="n"/>
    </row>
    <row r="281">
      <c r="A281" s="29" t="n"/>
      <c r="B281" s="30" t="n"/>
      <c r="C281" s="47" t="n"/>
      <c r="D281" s="32" t="n"/>
      <c r="E281" s="33" t="n"/>
      <c r="F281" s="36" t="n"/>
      <c r="G281" s="33" t="n"/>
      <c r="H281" s="20" t="str">
        <f>IF(AND(ISNUMBER(E281),ISNUMBER(F281)),E281*F281,"")</f>
        <v/>
      </c>
      <c r="I281" s="43" t="str">
        <f>IF(ISNUMBER(H281),ROUND(MAX(F281*'参数'!$C$11,'参数'!$C$12)+'参数'!$C$13,2),"")</f>
        <v/>
      </c>
      <c r="J281" s="43" t="str">
        <f>IF(ISNUMBER(H281),IF(D281="卖",ROUND(H281*N('参数'!$C$14)+F281*N('参数'!$C$15),2),0),"")</f>
        <v/>
      </c>
      <c r="K281" s="23" t="n"/>
      <c r="L281" s="20" t="str">
        <f>IF(ISNUMBER(K281),K281,IF(ISNUMBER(H281),I281+J281,""))</f>
        <v/>
      </c>
      <c r="M281" s="48" t="str">
        <f>IF(AND(ISNUMBER(E281),ISNUMBER(G281),ISNUMBER(F281)),(E281-G281)*IF(D281="卖",-1,1)*F281,"")</f>
        <v/>
      </c>
      <c r="N281" s="49" t="str">
        <f>IF(A281="","",IFERROR(T(INDEX('交易记录'!$C$5:$C$304,MATCH(A281,'交易记录'!$A$5:$A$304,0))),"编号没找到"))</f>
        <v/>
      </c>
      <c r="O281" s="31" t="n"/>
    </row>
    <row r="282">
      <c r="A282" s="29" t="n"/>
      <c r="B282" s="30" t="n"/>
      <c r="C282" s="47" t="n"/>
      <c r="D282" s="32" t="n"/>
      <c r="E282" s="33" t="n"/>
      <c r="F282" s="36" t="n"/>
      <c r="G282" s="33" t="n"/>
      <c r="H282" s="20" t="str">
        <f>IF(AND(ISNUMBER(E282),ISNUMBER(F282)),E282*F282,"")</f>
        <v/>
      </c>
      <c r="I282" s="43" t="str">
        <f>IF(ISNUMBER(H282),ROUND(MAX(F282*'参数'!$C$11,'参数'!$C$12)+'参数'!$C$13,2),"")</f>
        <v/>
      </c>
      <c r="J282" s="43" t="str">
        <f>IF(ISNUMBER(H282),IF(D282="卖",ROUND(H282*N('参数'!$C$14)+F282*N('参数'!$C$15),2),0),"")</f>
        <v/>
      </c>
      <c r="K282" s="23" t="n"/>
      <c r="L282" s="20" t="str">
        <f>IF(ISNUMBER(K282),K282,IF(ISNUMBER(H282),I282+J282,""))</f>
        <v/>
      </c>
      <c r="M282" s="48" t="str">
        <f>IF(AND(ISNUMBER(E282),ISNUMBER(G282),ISNUMBER(F282)),(E282-G282)*IF(D282="卖",-1,1)*F282,"")</f>
        <v/>
      </c>
      <c r="N282" s="49" t="str">
        <f>IF(A282="","",IFERROR(T(INDEX('交易记录'!$C$5:$C$304,MATCH(A282,'交易记录'!$A$5:$A$304,0))),"编号没找到"))</f>
        <v/>
      </c>
      <c r="O282" s="31" t="n"/>
    </row>
    <row r="283">
      <c r="A283" s="29" t="n"/>
      <c r="B283" s="30" t="n"/>
      <c r="C283" s="47" t="n"/>
      <c r="D283" s="32" t="n"/>
      <c r="E283" s="33" t="n"/>
      <c r="F283" s="36" t="n"/>
      <c r="G283" s="33" t="n"/>
      <c r="H283" s="20" t="str">
        <f>IF(AND(ISNUMBER(E283),ISNUMBER(F283)),E283*F283,"")</f>
        <v/>
      </c>
      <c r="I283" s="43" t="str">
        <f>IF(ISNUMBER(H283),ROUND(MAX(F283*'参数'!$C$11,'参数'!$C$12)+'参数'!$C$13,2),"")</f>
        <v/>
      </c>
      <c r="J283" s="43" t="str">
        <f>IF(ISNUMBER(H283),IF(D283="卖",ROUND(H283*N('参数'!$C$14)+F283*N('参数'!$C$15),2),0),"")</f>
        <v/>
      </c>
      <c r="K283" s="23" t="n"/>
      <c r="L283" s="20" t="str">
        <f>IF(ISNUMBER(K283),K283,IF(ISNUMBER(H283),I283+J283,""))</f>
        <v/>
      </c>
      <c r="M283" s="48" t="str">
        <f>IF(AND(ISNUMBER(E283),ISNUMBER(G283),ISNUMBER(F283)),(E283-G283)*IF(D283="卖",-1,1)*F283,"")</f>
        <v/>
      </c>
      <c r="N283" s="49" t="str">
        <f>IF(A283="","",IFERROR(T(INDEX('交易记录'!$C$5:$C$304,MATCH(A283,'交易记录'!$A$5:$A$304,0))),"编号没找到"))</f>
        <v/>
      </c>
      <c r="O283" s="31" t="n"/>
    </row>
    <row r="284">
      <c r="A284" s="29" t="n"/>
      <c r="B284" s="30" t="n"/>
      <c r="C284" s="47" t="n"/>
      <c r="D284" s="32" t="n"/>
      <c r="E284" s="33" t="n"/>
      <c r="F284" s="36" t="n"/>
      <c r="G284" s="33" t="n"/>
      <c r="H284" s="20" t="str">
        <f>IF(AND(ISNUMBER(E284),ISNUMBER(F284)),E284*F284,"")</f>
        <v/>
      </c>
      <c r="I284" s="43" t="str">
        <f>IF(ISNUMBER(H284),ROUND(MAX(F284*'参数'!$C$11,'参数'!$C$12)+'参数'!$C$13,2),"")</f>
        <v/>
      </c>
      <c r="J284" s="43" t="str">
        <f>IF(ISNUMBER(H284),IF(D284="卖",ROUND(H284*N('参数'!$C$14)+F284*N('参数'!$C$15),2),0),"")</f>
        <v/>
      </c>
      <c r="K284" s="23" t="n"/>
      <c r="L284" s="20" t="str">
        <f>IF(ISNUMBER(K284),K284,IF(ISNUMBER(H284),I284+J284,""))</f>
        <v/>
      </c>
      <c r="M284" s="48" t="str">
        <f>IF(AND(ISNUMBER(E284),ISNUMBER(G284),ISNUMBER(F284)),(E284-G284)*IF(D284="卖",-1,1)*F284,"")</f>
        <v/>
      </c>
      <c r="N284" s="49" t="str">
        <f>IF(A284="","",IFERROR(T(INDEX('交易记录'!$C$5:$C$304,MATCH(A284,'交易记录'!$A$5:$A$304,0))),"编号没找到"))</f>
        <v/>
      </c>
      <c r="O284" s="31" t="n"/>
    </row>
    <row r="285">
      <c r="A285" s="29" t="n"/>
      <c r="B285" s="30" t="n"/>
      <c r="C285" s="47" t="n"/>
      <c r="D285" s="32" t="n"/>
      <c r="E285" s="33" t="n"/>
      <c r="F285" s="36" t="n"/>
      <c r="G285" s="33" t="n"/>
      <c r="H285" s="20" t="str">
        <f>IF(AND(ISNUMBER(E285),ISNUMBER(F285)),E285*F285,"")</f>
        <v/>
      </c>
      <c r="I285" s="43" t="str">
        <f>IF(ISNUMBER(H285),ROUND(MAX(F285*'参数'!$C$11,'参数'!$C$12)+'参数'!$C$13,2),"")</f>
        <v/>
      </c>
      <c r="J285" s="43" t="str">
        <f>IF(ISNUMBER(H285),IF(D285="卖",ROUND(H285*N('参数'!$C$14)+F285*N('参数'!$C$15),2),0),"")</f>
        <v/>
      </c>
      <c r="K285" s="23" t="n"/>
      <c r="L285" s="20" t="str">
        <f>IF(ISNUMBER(K285),K285,IF(ISNUMBER(H285),I285+J285,""))</f>
        <v/>
      </c>
      <c r="M285" s="48" t="str">
        <f>IF(AND(ISNUMBER(E285),ISNUMBER(G285),ISNUMBER(F285)),(E285-G285)*IF(D285="卖",-1,1)*F285,"")</f>
        <v/>
      </c>
      <c r="N285" s="49" t="str">
        <f>IF(A285="","",IFERROR(T(INDEX('交易记录'!$C$5:$C$304,MATCH(A285,'交易记录'!$A$5:$A$304,0))),"编号没找到"))</f>
        <v/>
      </c>
      <c r="O285" s="31" t="n"/>
    </row>
    <row r="286">
      <c r="A286" s="29" t="n"/>
      <c r="B286" s="30" t="n"/>
      <c r="C286" s="47" t="n"/>
      <c r="D286" s="32" t="n"/>
      <c r="E286" s="33" t="n"/>
      <c r="F286" s="36" t="n"/>
      <c r="G286" s="33" t="n"/>
      <c r="H286" s="20" t="str">
        <f>IF(AND(ISNUMBER(E286),ISNUMBER(F286)),E286*F286,"")</f>
        <v/>
      </c>
      <c r="I286" s="43" t="str">
        <f>IF(ISNUMBER(H286),ROUND(MAX(F286*'参数'!$C$11,'参数'!$C$12)+'参数'!$C$13,2),"")</f>
        <v/>
      </c>
      <c r="J286" s="43" t="str">
        <f>IF(ISNUMBER(H286),IF(D286="卖",ROUND(H286*N('参数'!$C$14)+F286*N('参数'!$C$15),2),0),"")</f>
        <v/>
      </c>
      <c r="K286" s="23" t="n"/>
      <c r="L286" s="20" t="str">
        <f>IF(ISNUMBER(K286),K286,IF(ISNUMBER(H286),I286+J286,""))</f>
        <v/>
      </c>
      <c r="M286" s="48" t="str">
        <f>IF(AND(ISNUMBER(E286),ISNUMBER(G286),ISNUMBER(F286)),(E286-G286)*IF(D286="卖",-1,1)*F286,"")</f>
        <v/>
      </c>
      <c r="N286" s="49" t="str">
        <f>IF(A286="","",IFERROR(T(INDEX('交易记录'!$C$5:$C$304,MATCH(A286,'交易记录'!$A$5:$A$304,0))),"编号没找到"))</f>
        <v/>
      </c>
      <c r="O286" s="31" t="n"/>
    </row>
    <row r="287">
      <c r="A287" s="29" t="n"/>
      <c r="B287" s="30" t="n"/>
      <c r="C287" s="47" t="n"/>
      <c r="D287" s="32" t="n"/>
      <c r="E287" s="33" t="n"/>
      <c r="F287" s="36" t="n"/>
      <c r="G287" s="33" t="n"/>
      <c r="H287" s="20" t="str">
        <f>IF(AND(ISNUMBER(E287),ISNUMBER(F287)),E287*F287,"")</f>
        <v/>
      </c>
      <c r="I287" s="43" t="str">
        <f>IF(ISNUMBER(H287),ROUND(MAX(F287*'参数'!$C$11,'参数'!$C$12)+'参数'!$C$13,2),"")</f>
        <v/>
      </c>
      <c r="J287" s="43" t="str">
        <f>IF(ISNUMBER(H287),IF(D287="卖",ROUND(H287*N('参数'!$C$14)+F287*N('参数'!$C$15),2),0),"")</f>
        <v/>
      </c>
      <c r="K287" s="23" t="n"/>
      <c r="L287" s="20" t="str">
        <f>IF(ISNUMBER(K287),K287,IF(ISNUMBER(H287),I287+J287,""))</f>
        <v/>
      </c>
      <c r="M287" s="48" t="str">
        <f>IF(AND(ISNUMBER(E287),ISNUMBER(G287),ISNUMBER(F287)),(E287-G287)*IF(D287="卖",-1,1)*F287,"")</f>
        <v/>
      </c>
      <c r="N287" s="49" t="str">
        <f>IF(A287="","",IFERROR(T(INDEX('交易记录'!$C$5:$C$304,MATCH(A287,'交易记录'!$A$5:$A$304,0))),"编号没找到"))</f>
        <v/>
      </c>
      <c r="O287" s="31" t="n"/>
    </row>
    <row r="288">
      <c r="A288" s="29" t="n"/>
      <c r="B288" s="30" t="n"/>
      <c r="C288" s="47" t="n"/>
      <c r="D288" s="32" t="n"/>
      <c r="E288" s="33" t="n"/>
      <c r="F288" s="36" t="n"/>
      <c r="G288" s="33" t="n"/>
      <c r="H288" s="20" t="str">
        <f>IF(AND(ISNUMBER(E288),ISNUMBER(F288)),E288*F288,"")</f>
        <v/>
      </c>
      <c r="I288" s="43" t="str">
        <f>IF(ISNUMBER(H288),ROUND(MAX(F288*'参数'!$C$11,'参数'!$C$12)+'参数'!$C$13,2),"")</f>
        <v/>
      </c>
      <c r="J288" s="43" t="str">
        <f>IF(ISNUMBER(H288),IF(D288="卖",ROUND(H288*N('参数'!$C$14)+F288*N('参数'!$C$15),2),0),"")</f>
        <v/>
      </c>
      <c r="K288" s="23" t="n"/>
      <c r="L288" s="20" t="str">
        <f>IF(ISNUMBER(K288),K288,IF(ISNUMBER(H288),I288+J288,""))</f>
        <v/>
      </c>
      <c r="M288" s="48" t="str">
        <f>IF(AND(ISNUMBER(E288),ISNUMBER(G288),ISNUMBER(F288)),(E288-G288)*IF(D288="卖",-1,1)*F288,"")</f>
        <v/>
      </c>
      <c r="N288" s="49" t="str">
        <f>IF(A288="","",IFERROR(T(INDEX('交易记录'!$C$5:$C$304,MATCH(A288,'交易记录'!$A$5:$A$304,0))),"编号没找到"))</f>
        <v/>
      </c>
      <c r="O288" s="31" t="n"/>
    </row>
    <row r="289">
      <c r="A289" s="29" t="n"/>
      <c r="B289" s="30" t="n"/>
      <c r="C289" s="47" t="n"/>
      <c r="D289" s="32" t="n"/>
      <c r="E289" s="33" t="n"/>
      <c r="F289" s="36" t="n"/>
      <c r="G289" s="33" t="n"/>
      <c r="H289" s="20" t="str">
        <f>IF(AND(ISNUMBER(E289),ISNUMBER(F289)),E289*F289,"")</f>
        <v/>
      </c>
      <c r="I289" s="43" t="str">
        <f>IF(ISNUMBER(H289),ROUND(MAX(F289*'参数'!$C$11,'参数'!$C$12)+'参数'!$C$13,2),"")</f>
        <v/>
      </c>
      <c r="J289" s="43" t="str">
        <f>IF(ISNUMBER(H289),IF(D289="卖",ROUND(H289*N('参数'!$C$14)+F289*N('参数'!$C$15),2),0),"")</f>
        <v/>
      </c>
      <c r="K289" s="23" t="n"/>
      <c r="L289" s="20" t="str">
        <f>IF(ISNUMBER(K289),K289,IF(ISNUMBER(H289),I289+J289,""))</f>
        <v/>
      </c>
      <c r="M289" s="48" t="str">
        <f>IF(AND(ISNUMBER(E289),ISNUMBER(G289),ISNUMBER(F289)),(E289-G289)*IF(D289="卖",-1,1)*F289,"")</f>
        <v/>
      </c>
      <c r="N289" s="49" t="str">
        <f>IF(A289="","",IFERROR(T(INDEX('交易记录'!$C$5:$C$304,MATCH(A289,'交易记录'!$A$5:$A$304,0))),"编号没找到"))</f>
        <v/>
      </c>
      <c r="O289" s="31" t="n"/>
    </row>
    <row r="290">
      <c r="A290" s="29" t="n"/>
      <c r="B290" s="30" t="n"/>
      <c r="C290" s="47" t="n"/>
      <c r="D290" s="32" t="n"/>
      <c r="E290" s="33" t="n"/>
      <c r="F290" s="36" t="n"/>
      <c r="G290" s="33" t="n"/>
      <c r="H290" s="20" t="str">
        <f>IF(AND(ISNUMBER(E290),ISNUMBER(F290)),E290*F290,"")</f>
        <v/>
      </c>
      <c r="I290" s="43" t="str">
        <f>IF(ISNUMBER(H290),ROUND(MAX(F290*'参数'!$C$11,'参数'!$C$12)+'参数'!$C$13,2),"")</f>
        <v/>
      </c>
      <c r="J290" s="43" t="str">
        <f>IF(ISNUMBER(H290),IF(D290="卖",ROUND(H290*N('参数'!$C$14)+F290*N('参数'!$C$15),2),0),"")</f>
        <v/>
      </c>
      <c r="K290" s="23" t="n"/>
      <c r="L290" s="20" t="str">
        <f>IF(ISNUMBER(K290),K290,IF(ISNUMBER(H290),I290+J290,""))</f>
        <v/>
      </c>
      <c r="M290" s="48" t="str">
        <f>IF(AND(ISNUMBER(E290),ISNUMBER(G290),ISNUMBER(F290)),(E290-G290)*IF(D290="卖",-1,1)*F290,"")</f>
        <v/>
      </c>
      <c r="N290" s="49" t="str">
        <f>IF(A290="","",IFERROR(T(INDEX('交易记录'!$C$5:$C$304,MATCH(A290,'交易记录'!$A$5:$A$304,0))),"编号没找到"))</f>
        <v/>
      </c>
      <c r="O290" s="31" t="n"/>
    </row>
    <row r="291">
      <c r="A291" s="29" t="n"/>
      <c r="B291" s="30" t="n"/>
      <c r="C291" s="47" t="n"/>
      <c r="D291" s="32" t="n"/>
      <c r="E291" s="33" t="n"/>
      <c r="F291" s="36" t="n"/>
      <c r="G291" s="33" t="n"/>
      <c r="H291" s="20" t="str">
        <f>IF(AND(ISNUMBER(E291),ISNUMBER(F291)),E291*F291,"")</f>
        <v/>
      </c>
      <c r="I291" s="43" t="str">
        <f>IF(ISNUMBER(H291),ROUND(MAX(F291*'参数'!$C$11,'参数'!$C$12)+'参数'!$C$13,2),"")</f>
        <v/>
      </c>
      <c r="J291" s="43" t="str">
        <f>IF(ISNUMBER(H291),IF(D291="卖",ROUND(H291*N('参数'!$C$14)+F291*N('参数'!$C$15),2),0),"")</f>
        <v/>
      </c>
      <c r="K291" s="23" t="n"/>
      <c r="L291" s="20" t="str">
        <f>IF(ISNUMBER(K291),K291,IF(ISNUMBER(H291),I291+J291,""))</f>
        <v/>
      </c>
      <c r="M291" s="48" t="str">
        <f>IF(AND(ISNUMBER(E291),ISNUMBER(G291),ISNUMBER(F291)),(E291-G291)*IF(D291="卖",-1,1)*F291,"")</f>
        <v/>
      </c>
      <c r="N291" s="49" t="str">
        <f>IF(A291="","",IFERROR(T(INDEX('交易记录'!$C$5:$C$304,MATCH(A291,'交易记录'!$A$5:$A$304,0))),"编号没找到"))</f>
        <v/>
      </c>
      <c r="O291" s="31" t="n"/>
    </row>
    <row r="292">
      <c r="A292" s="29" t="n"/>
      <c r="B292" s="30" t="n"/>
      <c r="C292" s="47" t="n"/>
      <c r="D292" s="32" t="n"/>
      <c r="E292" s="33" t="n"/>
      <c r="F292" s="36" t="n"/>
      <c r="G292" s="33" t="n"/>
      <c r="H292" s="20" t="str">
        <f>IF(AND(ISNUMBER(E292),ISNUMBER(F292)),E292*F292,"")</f>
        <v/>
      </c>
      <c r="I292" s="43" t="str">
        <f>IF(ISNUMBER(H292),ROUND(MAX(F292*'参数'!$C$11,'参数'!$C$12)+'参数'!$C$13,2),"")</f>
        <v/>
      </c>
      <c r="J292" s="43" t="str">
        <f>IF(ISNUMBER(H292),IF(D292="卖",ROUND(H292*N('参数'!$C$14)+F292*N('参数'!$C$15),2),0),"")</f>
        <v/>
      </c>
      <c r="K292" s="23" t="n"/>
      <c r="L292" s="20" t="str">
        <f>IF(ISNUMBER(K292),K292,IF(ISNUMBER(H292),I292+J292,""))</f>
        <v/>
      </c>
      <c r="M292" s="48" t="str">
        <f>IF(AND(ISNUMBER(E292),ISNUMBER(G292),ISNUMBER(F292)),(E292-G292)*IF(D292="卖",-1,1)*F292,"")</f>
        <v/>
      </c>
      <c r="N292" s="49" t="str">
        <f>IF(A292="","",IFERROR(T(INDEX('交易记录'!$C$5:$C$304,MATCH(A292,'交易记录'!$A$5:$A$304,0))),"编号没找到"))</f>
        <v/>
      </c>
      <c r="O292" s="31" t="n"/>
    </row>
    <row r="293">
      <c r="A293" s="29" t="n"/>
      <c r="B293" s="30" t="n"/>
      <c r="C293" s="47" t="n"/>
      <c r="D293" s="32" t="n"/>
      <c r="E293" s="33" t="n"/>
      <c r="F293" s="36" t="n"/>
      <c r="G293" s="33" t="n"/>
      <c r="H293" s="20" t="str">
        <f>IF(AND(ISNUMBER(E293),ISNUMBER(F293)),E293*F293,"")</f>
        <v/>
      </c>
      <c r="I293" s="43" t="str">
        <f>IF(ISNUMBER(H293),ROUND(MAX(F293*'参数'!$C$11,'参数'!$C$12)+'参数'!$C$13,2),"")</f>
        <v/>
      </c>
      <c r="J293" s="43" t="str">
        <f>IF(ISNUMBER(H293),IF(D293="卖",ROUND(H293*N('参数'!$C$14)+F293*N('参数'!$C$15),2),0),"")</f>
        <v/>
      </c>
      <c r="K293" s="23" t="n"/>
      <c r="L293" s="20" t="str">
        <f>IF(ISNUMBER(K293),K293,IF(ISNUMBER(H293),I293+J293,""))</f>
        <v/>
      </c>
      <c r="M293" s="48" t="str">
        <f>IF(AND(ISNUMBER(E293),ISNUMBER(G293),ISNUMBER(F293)),(E293-G293)*IF(D293="卖",-1,1)*F293,"")</f>
        <v/>
      </c>
      <c r="N293" s="49" t="str">
        <f>IF(A293="","",IFERROR(T(INDEX('交易记录'!$C$5:$C$304,MATCH(A293,'交易记录'!$A$5:$A$304,0))),"编号没找到"))</f>
        <v/>
      </c>
      <c r="O293" s="31" t="n"/>
    </row>
    <row r="294">
      <c r="A294" s="29" t="n"/>
      <c r="B294" s="30" t="n"/>
      <c r="C294" s="47" t="n"/>
      <c r="D294" s="32" t="n"/>
      <c r="E294" s="33" t="n"/>
      <c r="F294" s="36" t="n"/>
      <c r="G294" s="33" t="n"/>
      <c r="H294" s="20" t="str">
        <f>IF(AND(ISNUMBER(E294),ISNUMBER(F294)),E294*F294,"")</f>
        <v/>
      </c>
      <c r="I294" s="43" t="str">
        <f>IF(ISNUMBER(H294),ROUND(MAX(F294*'参数'!$C$11,'参数'!$C$12)+'参数'!$C$13,2),"")</f>
        <v/>
      </c>
      <c r="J294" s="43" t="str">
        <f>IF(ISNUMBER(H294),IF(D294="卖",ROUND(H294*N('参数'!$C$14)+F294*N('参数'!$C$15),2),0),"")</f>
        <v/>
      </c>
      <c r="K294" s="23" t="n"/>
      <c r="L294" s="20" t="str">
        <f>IF(ISNUMBER(K294),K294,IF(ISNUMBER(H294),I294+J294,""))</f>
        <v/>
      </c>
      <c r="M294" s="48" t="str">
        <f>IF(AND(ISNUMBER(E294),ISNUMBER(G294),ISNUMBER(F294)),(E294-G294)*IF(D294="卖",-1,1)*F294,"")</f>
        <v/>
      </c>
      <c r="N294" s="49" t="str">
        <f>IF(A294="","",IFERROR(T(INDEX('交易记录'!$C$5:$C$304,MATCH(A294,'交易记录'!$A$5:$A$304,0))),"编号没找到"))</f>
        <v/>
      </c>
      <c r="O294" s="31" t="n"/>
    </row>
    <row r="295">
      <c r="A295" s="29" t="n"/>
      <c r="B295" s="30" t="n"/>
      <c r="C295" s="47" t="n"/>
      <c r="D295" s="32" t="n"/>
      <c r="E295" s="33" t="n"/>
      <c r="F295" s="36" t="n"/>
      <c r="G295" s="33" t="n"/>
      <c r="H295" s="20" t="str">
        <f>IF(AND(ISNUMBER(E295),ISNUMBER(F295)),E295*F295,"")</f>
        <v/>
      </c>
      <c r="I295" s="43" t="str">
        <f>IF(ISNUMBER(H295),ROUND(MAX(F295*'参数'!$C$11,'参数'!$C$12)+'参数'!$C$13,2),"")</f>
        <v/>
      </c>
      <c r="J295" s="43" t="str">
        <f>IF(ISNUMBER(H295),IF(D295="卖",ROUND(H295*N('参数'!$C$14)+F295*N('参数'!$C$15),2),0),"")</f>
        <v/>
      </c>
      <c r="K295" s="23" t="n"/>
      <c r="L295" s="20" t="str">
        <f>IF(ISNUMBER(K295),K295,IF(ISNUMBER(H295),I295+J295,""))</f>
        <v/>
      </c>
      <c r="M295" s="48" t="str">
        <f>IF(AND(ISNUMBER(E295),ISNUMBER(G295),ISNUMBER(F295)),(E295-G295)*IF(D295="卖",-1,1)*F295,"")</f>
        <v/>
      </c>
      <c r="N295" s="49" t="str">
        <f>IF(A295="","",IFERROR(T(INDEX('交易记录'!$C$5:$C$304,MATCH(A295,'交易记录'!$A$5:$A$304,0))),"编号没找到"))</f>
        <v/>
      </c>
      <c r="O295" s="31" t="n"/>
    </row>
    <row r="296">
      <c r="A296" s="29" t="n"/>
      <c r="B296" s="30" t="n"/>
      <c r="C296" s="47" t="n"/>
      <c r="D296" s="32" t="n"/>
      <c r="E296" s="33" t="n"/>
      <c r="F296" s="36" t="n"/>
      <c r="G296" s="33" t="n"/>
      <c r="H296" s="20" t="str">
        <f>IF(AND(ISNUMBER(E296),ISNUMBER(F296)),E296*F296,"")</f>
        <v/>
      </c>
      <c r="I296" s="43" t="str">
        <f>IF(ISNUMBER(H296),ROUND(MAX(F296*'参数'!$C$11,'参数'!$C$12)+'参数'!$C$13,2),"")</f>
        <v/>
      </c>
      <c r="J296" s="43" t="str">
        <f>IF(ISNUMBER(H296),IF(D296="卖",ROUND(H296*N('参数'!$C$14)+F296*N('参数'!$C$15),2),0),"")</f>
        <v/>
      </c>
      <c r="K296" s="23" t="n"/>
      <c r="L296" s="20" t="str">
        <f>IF(ISNUMBER(K296),K296,IF(ISNUMBER(H296),I296+J296,""))</f>
        <v/>
      </c>
      <c r="M296" s="48" t="str">
        <f>IF(AND(ISNUMBER(E296),ISNUMBER(G296),ISNUMBER(F296)),(E296-G296)*IF(D296="卖",-1,1)*F296,"")</f>
        <v/>
      </c>
      <c r="N296" s="49" t="str">
        <f>IF(A296="","",IFERROR(T(INDEX('交易记录'!$C$5:$C$304,MATCH(A296,'交易记录'!$A$5:$A$304,0))),"编号没找到"))</f>
        <v/>
      </c>
      <c r="O296" s="31" t="n"/>
    </row>
    <row r="297">
      <c r="A297" s="29" t="n"/>
      <c r="B297" s="30" t="n"/>
      <c r="C297" s="47" t="n"/>
      <c r="D297" s="32" t="n"/>
      <c r="E297" s="33" t="n"/>
      <c r="F297" s="36" t="n"/>
      <c r="G297" s="33" t="n"/>
      <c r="H297" s="20" t="str">
        <f>IF(AND(ISNUMBER(E297),ISNUMBER(F297)),E297*F297,"")</f>
        <v/>
      </c>
      <c r="I297" s="43" t="str">
        <f>IF(ISNUMBER(H297),ROUND(MAX(F297*'参数'!$C$11,'参数'!$C$12)+'参数'!$C$13,2),"")</f>
        <v/>
      </c>
      <c r="J297" s="43" t="str">
        <f>IF(ISNUMBER(H297),IF(D297="卖",ROUND(H297*N('参数'!$C$14)+F297*N('参数'!$C$15),2),0),"")</f>
        <v/>
      </c>
      <c r="K297" s="23" t="n"/>
      <c r="L297" s="20" t="str">
        <f>IF(ISNUMBER(K297),K297,IF(ISNUMBER(H297),I297+J297,""))</f>
        <v/>
      </c>
      <c r="M297" s="48" t="str">
        <f>IF(AND(ISNUMBER(E297),ISNUMBER(G297),ISNUMBER(F297)),(E297-G297)*IF(D297="卖",-1,1)*F297,"")</f>
        <v/>
      </c>
      <c r="N297" s="49" t="str">
        <f>IF(A297="","",IFERROR(T(INDEX('交易记录'!$C$5:$C$304,MATCH(A297,'交易记录'!$A$5:$A$304,0))),"编号没找到"))</f>
        <v/>
      </c>
      <c r="O297" s="31" t="n"/>
    </row>
    <row r="298">
      <c r="A298" s="29" t="n"/>
      <c r="B298" s="30" t="n"/>
      <c r="C298" s="47" t="n"/>
      <c r="D298" s="32" t="n"/>
      <c r="E298" s="33" t="n"/>
      <c r="F298" s="36" t="n"/>
      <c r="G298" s="33" t="n"/>
      <c r="H298" s="20" t="str">
        <f>IF(AND(ISNUMBER(E298),ISNUMBER(F298)),E298*F298,"")</f>
        <v/>
      </c>
      <c r="I298" s="43" t="str">
        <f>IF(ISNUMBER(H298),ROUND(MAX(F298*'参数'!$C$11,'参数'!$C$12)+'参数'!$C$13,2),"")</f>
        <v/>
      </c>
      <c r="J298" s="43" t="str">
        <f>IF(ISNUMBER(H298),IF(D298="卖",ROUND(H298*N('参数'!$C$14)+F298*N('参数'!$C$15),2),0),"")</f>
        <v/>
      </c>
      <c r="K298" s="23" t="n"/>
      <c r="L298" s="20" t="str">
        <f>IF(ISNUMBER(K298),K298,IF(ISNUMBER(H298),I298+J298,""))</f>
        <v/>
      </c>
      <c r="M298" s="48" t="str">
        <f>IF(AND(ISNUMBER(E298),ISNUMBER(G298),ISNUMBER(F298)),(E298-G298)*IF(D298="卖",-1,1)*F298,"")</f>
        <v/>
      </c>
      <c r="N298" s="49" t="str">
        <f>IF(A298="","",IFERROR(T(INDEX('交易记录'!$C$5:$C$304,MATCH(A298,'交易记录'!$A$5:$A$304,0))),"编号没找到"))</f>
        <v/>
      </c>
      <c r="O298" s="31" t="n"/>
    </row>
    <row r="299">
      <c r="A299" s="29" t="n"/>
      <c r="B299" s="30" t="n"/>
      <c r="C299" s="47" t="n"/>
      <c r="D299" s="32" t="n"/>
      <c r="E299" s="33" t="n"/>
      <c r="F299" s="36" t="n"/>
      <c r="G299" s="33" t="n"/>
      <c r="H299" s="20" t="str">
        <f>IF(AND(ISNUMBER(E299),ISNUMBER(F299)),E299*F299,"")</f>
        <v/>
      </c>
      <c r="I299" s="43" t="str">
        <f>IF(ISNUMBER(H299),ROUND(MAX(F299*'参数'!$C$11,'参数'!$C$12)+'参数'!$C$13,2),"")</f>
        <v/>
      </c>
      <c r="J299" s="43" t="str">
        <f>IF(ISNUMBER(H299),IF(D299="卖",ROUND(H299*N('参数'!$C$14)+F299*N('参数'!$C$15),2),0),"")</f>
        <v/>
      </c>
      <c r="K299" s="23" t="n"/>
      <c r="L299" s="20" t="str">
        <f>IF(ISNUMBER(K299),K299,IF(ISNUMBER(H299),I299+J299,""))</f>
        <v/>
      </c>
      <c r="M299" s="48" t="str">
        <f>IF(AND(ISNUMBER(E299),ISNUMBER(G299),ISNUMBER(F299)),(E299-G299)*IF(D299="卖",-1,1)*F299,"")</f>
        <v/>
      </c>
      <c r="N299" s="49" t="str">
        <f>IF(A299="","",IFERROR(T(INDEX('交易记录'!$C$5:$C$304,MATCH(A299,'交易记录'!$A$5:$A$304,0))),"编号没找到"))</f>
        <v/>
      </c>
      <c r="O299" s="31" t="n"/>
    </row>
    <row r="300">
      <c r="A300" s="29" t="n"/>
      <c r="B300" s="30" t="n"/>
      <c r="C300" s="47" t="n"/>
      <c r="D300" s="32" t="n"/>
      <c r="E300" s="33" t="n"/>
      <c r="F300" s="36" t="n"/>
      <c r="G300" s="33" t="n"/>
      <c r="H300" s="20" t="str">
        <f>IF(AND(ISNUMBER(E300),ISNUMBER(F300)),E300*F300,"")</f>
        <v/>
      </c>
      <c r="I300" s="43" t="str">
        <f>IF(ISNUMBER(H300),ROUND(MAX(F300*'参数'!$C$11,'参数'!$C$12)+'参数'!$C$13,2),"")</f>
        <v/>
      </c>
      <c r="J300" s="43" t="str">
        <f>IF(ISNUMBER(H300),IF(D300="卖",ROUND(H300*N('参数'!$C$14)+F300*N('参数'!$C$15),2),0),"")</f>
        <v/>
      </c>
      <c r="K300" s="23" t="n"/>
      <c r="L300" s="20" t="str">
        <f>IF(ISNUMBER(K300),K300,IF(ISNUMBER(H300),I300+J300,""))</f>
        <v/>
      </c>
      <c r="M300" s="48" t="str">
        <f>IF(AND(ISNUMBER(E300),ISNUMBER(G300),ISNUMBER(F300)),(E300-G300)*IF(D300="卖",-1,1)*F300,"")</f>
        <v/>
      </c>
      <c r="N300" s="49" t="str">
        <f>IF(A300="","",IFERROR(T(INDEX('交易记录'!$C$5:$C$304,MATCH(A300,'交易记录'!$A$5:$A$304,0))),"编号没找到"))</f>
        <v/>
      </c>
      <c r="O300" s="31" t="n"/>
    </row>
    <row r="301">
      <c r="A301" s="29" t="n"/>
      <c r="B301" s="30" t="n"/>
      <c r="C301" s="47" t="n"/>
      <c r="D301" s="32" t="n"/>
      <c r="E301" s="33" t="n"/>
      <c r="F301" s="36" t="n"/>
      <c r="G301" s="33" t="n"/>
      <c r="H301" s="20" t="str">
        <f>IF(AND(ISNUMBER(E301),ISNUMBER(F301)),E301*F301,"")</f>
        <v/>
      </c>
      <c r="I301" s="43" t="str">
        <f>IF(ISNUMBER(H301),ROUND(MAX(F301*'参数'!$C$11,'参数'!$C$12)+'参数'!$C$13,2),"")</f>
        <v/>
      </c>
      <c r="J301" s="43" t="str">
        <f>IF(ISNUMBER(H301),IF(D301="卖",ROUND(H301*N('参数'!$C$14)+F301*N('参数'!$C$15),2),0),"")</f>
        <v/>
      </c>
      <c r="K301" s="23" t="n"/>
      <c r="L301" s="20" t="str">
        <f>IF(ISNUMBER(K301),K301,IF(ISNUMBER(H301),I301+J301,""))</f>
        <v/>
      </c>
      <c r="M301" s="48" t="str">
        <f>IF(AND(ISNUMBER(E301),ISNUMBER(G301),ISNUMBER(F301)),(E301-G301)*IF(D301="卖",-1,1)*F301,"")</f>
        <v/>
      </c>
      <c r="N301" s="49" t="str">
        <f>IF(A301="","",IFERROR(T(INDEX('交易记录'!$C$5:$C$304,MATCH(A301,'交易记录'!$A$5:$A$304,0))),"编号没找到"))</f>
        <v/>
      </c>
      <c r="O301" s="31" t="n"/>
    </row>
    <row r="302">
      <c r="A302" s="29" t="n"/>
      <c r="B302" s="30" t="n"/>
      <c r="C302" s="47" t="n"/>
      <c r="D302" s="32" t="n"/>
      <c r="E302" s="33" t="n"/>
      <c r="F302" s="36" t="n"/>
      <c r="G302" s="33" t="n"/>
      <c r="H302" s="20" t="str">
        <f>IF(AND(ISNUMBER(E302),ISNUMBER(F302)),E302*F302,"")</f>
        <v/>
      </c>
      <c r="I302" s="43" t="str">
        <f>IF(ISNUMBER(H302),ROUND(MAX(F302*'参数'!$C$11,'参数'!$C$12)+'参数'!$C$13,2),"")</f>
        <v/>
      </c>
      <c r="J302" s="43" t="str">
        <f>IF(ISNUMBER(H302),IF(D302="卖",ROUND(H302*N('参数'!$C$14)+F302*N('参数'!$C$15),2),0),"")</f>
        <v/>
      </c>
      <c r="K302" s="23" t="n"/>
      <c r="L302" s="20" t="str">
        <f>IF(ISNUMBER(K302),K302,IF(ISNUMBER(H302),I302+J302,""))</f>
        <v/>
      </c>
      <c r="M302" s="48" t="str">
        <f>IF(AND(ISNUMBER(E302),ISNUMBER(G302),ISNUMBER(F302)),(E302-G302)*IF(D302="卖",-1,1)*F302,"")</f>
        <v/>
      </c>
      <c r="N302" s="49" t="str">
        <f>IF(A302="","",IFERROR(T(INDEX('交易记录'!$C$5:$C$304,MATCH(A302,'交易记录'!$A$5:$A$304,0))),"编号没找到"))</f>
        <v/>
      </c>
      <c r="O302" s="31" t="n"/>
    </row>
    <row r="303">
      <c r="A303" s="29" t="n"/>
      <c r="B303" s="30" t="n"/>
      <c r="C303" s="47" t="n"/>
      <c r="D303" s="32" t="n"/>
      <c r="E303" s="33" t="n"/>
      <c r="F303" s="36" t="n"/>
      <c r="G303" s="33" t="n"/>
      <c r="H303" s="20" t="str">
        <f>IF(AND(ISNUMBER(E303),ISNUMBER(F303)),E303*F303,"")</f>
        <v/>
      </c>
      <c r="I303" s="43" t="str">
        <f>IF(ISNUMBER(H303),ROUND(MAX(F303*'参数'!$C$11,'参数'!$C$12)+'参数'!$C$13,2),"")</f>
        <v/>
      </c>
      <c r="J303" s="43" t="str">
        <f>IF(ISNUMBER(H303),IF(D303="卖",ROUND(H303*N('参数'!$C$14)+F303*N('参数'!$C$15),2),0),"")</f>
        <v/>
      </c>
      <c r="K303" s="23" t="n"/>
      <c r="L303" s="20" t="str">
        <f>IF(ISNUMBER(K303),K303,IF(ISNUMBER(H303),I303+J303,""))</f>
        <v/>
      </c>
      <c r="M303" s="48" t="str">
        <f>IF(AND(ISNUMBER(E303),ISNUMBER(G303),ISNUMBER(F303)),(E303-G303)*IF(D303="卖",-1,1)*F303,"")</f>
        <v/>
      </c>
      <c r="N303" s="49" t="str">
        <f>IF(A303="","",IFERROR(T(INDEX('交易记录'!$C$5:$C$304,MATCH(A303,'交易记录'!$A$5:$A$304,0))),"编号没找到"))</f>
        <v/>
      </c>
      <c r="O303" s="31" t="n"/>
    </row>
    <row r="304">
      <c r="A304" s="29" t="n"/>
      <c r="B304" s="30" t="n"/>
      <c r="C304" s="47" t="n"/>
      <c r="D304" s="32" t="n"/>
      <c r="E304" s="33" t="n"/>
      <c r="F304" s="36" t="n"/>
      <c r="G304" s="33" t="n"/>
      <c r="H304" s="20" t="str">
        <f>IF(AND(ISNUMBER(E304),ISNUMBER(F304)),E304*F304,"")</f>
        <v/>
      </c>
      <c r="I304" s="43" t="str">
        <f>IF(ISNUMBER(H304),ROUND(MAX(F304*'参数'!$C$11,'参数'!$C$12)+'参数'!$C$13,2),"")</f>
        <v/>
      </c>
      <c r="J304" s="43" t="str">
        <f>IF(ISNUMBER(H304),IF(D304="卖",ROUND(H304*N('参数'!$C$14)+F304*N('参数'!$C$15),2),0),"")</f>
        <v/>
      </c>
      <c r="K304" s="23" t="n"/>
      <c r="L304" s="20" t="str">
        <f>IF(ISNUMBER(K304),K304,IF(ISNUMBER(H304),I304+J304,""))</f>
        <v/>
      </c>
      <c r="M304" s="48" t="str">
        <f>IF(AND(ISNUMBER(E304),ISNUMBER(G304),ISNUMBER(F304)),(E304-G304)*IF(D304="卖",-1,1)*F304,"")</f>
        <v/>
      </c>
      <c r="N304" s="49" t="str">
        <f>IF(A304="","",IFERROR(T(INDEX('交易记录'!$C$5:$C$304,MATCH(A304,'交易记录'!$A$5:$A$304,0))),"编号没找到"))</f>
        <v/>
      </c>
      <c r="O304" s="31" t="n"/>
    </row>
    <row r="305">
      <c r="A305" s="29" t="n"/>
      <c r="B305" s="30" t="n"/>
      <c r="C305" s="47" t="n"/>
      <c r="D305" s="32" t="n"/>
      <c r="E305" s="33" t="n"/>
      <c r="F305" s="36" t="n"/>
      <c r="G305" s="33" t="n"/>
      <c r="H305" s="20" t="str">
        <f>IF(AND(ISNUMBER(E305),ISNUMBER(F305)),E305*F305,"")</f>
        <v/>
      </c>
      <c r="I305" s="43" t="str">
        <f>IF(ISNUMBER(H305),ROUND(MAX(F305*'参数'!$C$11,'参数'!$C$12)+'参数'!$C$13,2),"")</f>
        <v/>
      </c>
      <c r="J305" s="43" t="str">
        <f>IF(ISNUMBER(H305),IF(D305="卖",ROUND(H305*N('参数'!$C$14)+F305*N('参数'!$C$15),2),0),"")</f>
        <v/>
      </c>
      <c r="K305" s="23" t="n"/>
      <c r="L305" s="20" t="str">
        <f>IF(ISNUMBER(K305),K305,IF(ISNUMBER(H305),I305+J305,""))</f>
        <v/>
      </c>
      <c r="M305" s="48" t="str">
        <f>IF(AND(ISNUMBER(E305),ISNUMBER(G305),ISNUMBER(F305)),(E305-G305)*IF(D305="卖",-1,1)*F305,"")</f>
        <v/>
      </c>
      <c r="N305" s="49" t="str">
        <f>IF(A305="","",IFERROR(T(INDEX('交易记录'!$C$5:$C$304,MATCH(A305,'交易记录'!$A$5:$A$304,0))),"编号没找到"))</f>
        <v/>
      </c>
      <c r="O305" s="31" t="n"/>
    </row>
    <row r="306">
      <c r="A306" s="29" t="n"/>
      <c r="B306" s="30" t="n"/>
      <c r="C306" s="47" t="n"/>
      <c r="D306" s="32" t="n"/>
      <c r="E306" s="33" t="n"/>
      <c r="F306" s="36" t="n"/>
      <c r="G306" s="33" t="n"/>
      <c r="H306" s="20" t="str">
        <f>IF(AND(ISNUMBER(E306),ISNUMBER(F306)),E306*F306,"")</f>
        <v/>
      </c>
      <c r="I306" s="43" t="str">
        <f>IF(ISNUMBER(H306),ROUND(MAX(F306*'参数'!$C$11,'参数'!$C$12)+'参数'!$C$13,2),"")</f>
        <v/>
      </c>
      <c r="J306" s="43" t="str">
        <f>IF(ISNUMBER(H306),IF(D306="卖",ROUND(H306*N('参数'!$C$14)+F306*N('参数'!$C$15),2),0),"")</f>
        <v/>
      </c>
      <c r="K306" s="23" t="n"/>
      <c r="L306" s="20" t="str">
        <f>IF(ISNUMBER(K306),K306,IF(ISNUMBER(H306),I306+J306,""))</f>
        <v/>
      </c>
      <c r="M306" s="48" t="str">
        <f>IF(AND(ISNUMBER(E306),ISNUMBER(G306),ISNUMBER(F306)),(E306-G306)*IF(D306="卖",-1,1)*F306,"")</f>
        <v/>
      </c>
      <c r="N306" s="49" t="str">
        <f>IF(A306="","",IFERROR(T(INDEX('交易记录'!$C$5:$C$304,MATCH(A306,'交易记录'!$A$5:$A$304,0))),"编号没找到"))</f>
        <v/>
      </c>
      <c r="O306" s="31" t="n"/>
    </row>
    <row r="307">
      <c r="A307" s="29" t="n"/>
      <c r="B307" s="30" t="n"/>
      <c r="C307" s="47" t="n"/>
      <c r="D307" s="32" t="n"/>
      <c r="E307" s="33" t="n"/>
      <c r="F307" s="36" t="n"/>
      <c r="G307" s="33" t="n"/>
      <c r="H307" s="20" t="str">
        <f>IF(AND(ISNUMBER(E307),ISNUMBER(F307)),E307*F307,"")</f>
        <v/>
      </c>
      <c r="I307" s="43" t="str">
        <f>IF(ISNUMBER(H307),ROUND(MAX(F307*'参数'!$C$11,'参数'!$C$12)+'参数'!$C$13,2),"")</f>
        <v/>
      </c>
      <c r="J307" s="43" t="str">
        <f>IF(ISNUMBER(H307),IF(D307="卖",ROUND(H307*N('参数'!$C$14)+F307*N('参数'!$C$15),2),0),"")</f>
        <v/>
      </c>
      <c r="K307" s="23" t="n"/>
      <c r="L307" s="20" t="str">
        <f>IF(ISNUMBER(K307),K307,IF(ISNUMBER(H307),I307+J307,""))</f>
        <v/>
      </c>
      <c r="M307" s="48" t="str">
        <f>IF(AND(ISNUMBER(E307),ISNUMBER(G307),ISNUMBER(F307)),(E307-G307)*IF(D307="卖",-1,1)*F307,"")</f>
        <v/>
      </c>
      <c r="N307" s="49" t="str">
        <f>IF(A307="","",IFERROR(T(INDEX('交易记录'!$C$5:$C$304,MATCH(A307,'交易记录'!$A$5:$A$304,0))),"编号没找到"))</f>
        <v/>
      </c>
      <c r="O307" s="31" t="n"/>
    </row>
    <row r="308">
      <c r="A308" s="29" t="n"/>
      <c r="B308" s="30" t="n"/>
      <c r="C308" s="47" t="n"/>
      <c r="D308" s="32" t="n"/>
      <c r="E308" s="33" t="n"/>
      <c r="F308" s="36" t="n"/>
      <c r="G308" s="33" t="n"/>
      <c r="H308" s="20" t="str">
        <f>IF(AND(ISNUMBER(E308),ISNUMBER(F308)),E308*F308,"")</f>
        <v/>
      </c>
      <c r="I308" s="43" t="str">
        <f>IF(ISNUMBER(H308),ROUND(MAX(F308*'参数'!$C$11,'参数'!$C$12)+'参数'!$C$13,2),"")</f>
        <v/>
      </c>
      <c r="J308" s="43" t="str">
        <f>IF(ISNUMBER(H308),IF(D308="卖",ROUND(H308*N('参数'!$C$14)+F308*N('参数'!$C$15),2),0),"")</f>
        <v/>
      </c>
      <c r="K308" s="23" t="n"/>
      <c r="L308" s="20" t="str">
        <f>IF(ISNUMBER(K308),K308,IF(ISNUMBER(H308),I308+J308,""))</f>
        <v/>
      </c>
      <c r="M308" s="48" t="str">
        <f>IF(AND(ISNUMBER(E308),ISNUMBER(G308),ISNUMBER(F308)),(E308-G308)*IF(D308="卖",-1,1)*F308,"")</f>
        <v/>
      </c>
      <c r="N308" s="49" t="str">
        <f>IF(A308="","",IFERROR(T(INDEX('交易记录'!$C$5:$C$304,MATCH(A308,'交易记录'!$A$5:$A$304,0))),"编号没找到"))</f>
        <v/>
      </c>
      <c r="O308" s="31" t="n"/>
    </row>
    <row r="309">
      <c r="A309" s="29" t="n"/>
      <c r="B309" s="30" t="n"/>
      <c r="C309" s="47" t="n"/>
      <c r="D309" s="32" t="n"/>
      <c r="E309" s="33" t="n"/>
      <c r="F309" s="36" t="n"/>
      <c r="G309" s="33" t="n"/>
      <c r="H309" s="20" t="str">
        <f>IF(AND(ISNUMBER(E309),ISNUMBER(F309)),E309*F309,"")</f>
        <v/>
      </c>
      <c r="I309" s="43" t="str">
        <f>IF(ISNUMBER(H309),ROUND(MAX(F309*'参数'!$C$11,'参数'!$C$12)+'参数'!$C$13,2),"")</f>
        <v/>
      </c>
      <c r="J309" s="43" t="str">
        <f>IF(ISNUMBER(H309),IF(D309="卖",ROUND(H309*N('参数'!$C$14)+F309*N('参数'!$C$15),2),0),"")</f>
        <v/>
      </c>
      <c r="K309" s="23" t="n"/>
      <c r="L309" s="20" t="str">
        <f>IF(ISNUMBER(K309),K309,IF(ISNUMBER(H309),I309+J309,""))</f>
        <v/>
      </c>
      <c r="M309" s="48" t="str">
        <f>IF(AND(ISNUMBER(E309),ISNUMBER(G309),ISNUMBER(F309)),(E309-G309)*IF(D309="卖",-1,1)*F309,"")</f>
        <v/>
      </c>
      <c r="N309" s="49" t="str">
        <f>IF(A309="","",IFERROR(T(INDEX('交易记录'!$C$5:$C$304,MATCH(A309,'交易记录'!$A$5:$A$304,0))),"编号没找到"))</f>
        <v/>
      </c>
      <c r="O309" s="31" t="n"/>
    </row>
    <row r="310">
      <c r="A310" s="29" t="n"/>
      <c r="B310" s="30" t="n"/>
      <c r="C310" s="47" t="n"/>
      <c r="D310" s="32" t="n"/>
      <c r="E310" s="33" t="n"/>
      <c r="F310" s="36" t="n"/>
      <c r="G310" s="33" t="n"/>
      <c r="H310" s="20" t="str">
        <f>IF(AND(ISNUMBER(E310),ISNUMBER(F310)),E310*F310,"")</f>
        <v/>
      </c>
      <c r="I310" s="43" t="str">
        <f>IF(ISNUMBER(H310),ROUND(MAX(F310*'参数'!$C$11,'参数'!$C$12)+'参数'!$C$13,2),"")</f>
        <v/>
      </c>
      <c r="J310" s="43" t="str">
        <f>IF(ISNUMBER(H310),IF(D310="卖",ROUND(H310*N('参数'!$C$14)+F310*N('参数'!$C$15),2),0),"")</f>
        <v/>
      </c>
      <c r="K310" s="23" t="n"/>
      <c r="L310" s="20" t="str">
        <f>IF(ISNUMBER(K310),K310,IF(ISNUMBER(H310),I310+J310,""))</f>
        <v/>
      </c>
      <c r="M310" s="48" t="str">
        <f>IF(AND(ISNUMBER(E310),ISNUMBER(G310),ISNUMBER(F310)),(E310-G310)*IF(D310="卖",-1,1)*F310,"")</f>
        <v/>
      </c>
      <c r="N310" s="49" t="str">
        <f>IF(A310="","",IFERROR(T(INDEX('交易记录'!$C$5:$C$304,MATCH(A310,'交易记录'!$A$5:$A$304,0))),"编号没找到"))</f>
        <v/>
      </c>
      <c r="O310" s="31" t="n"/>
    </row>
    <row r="311">
      <c r="A311" s="29" t="n"/>
      <c r="B311" s="30" t="n"/>
      <c r="C311" s="47" t="n"/>
      <c r="D311" s="32" t="n"/>
      <c r="E311" s="33" t="n"/>
      <c r="F311" s="36" t="n"/>
      <c r="G311" s="33" t="n"/>
      <c r="H311" s="20" t="str">
        <f>IF(AND(ISNUMBER(E311),ISNUMBER(F311)),E311*F311,"")</f>
        <v/>
      </c>
      <c r="I311" s="43" t="str">
        <f>IF(ISNUMBER(H311),ROUND(MAX(F311*'参数'!$C$11,'参数'!$C$12)+'参数'!$C$13,2),"")</f>
        <v/>
      </c>
      <c r="J311" s="43" t="str">
        <f>IF(ISNUMBER(H311),IF(D311="卖",ROUND(H311*N('参数'!$C$14)+F311*N('参数'!$C$15),2),0),"")</f>
        <v/>
      </c>
      <c r="K311" s="23" t="n"/>
      <c r="L311" s="20" t="str">
        <f>IF(ISNUMBER(K311),K311,IF(ISNUMBER(H311),I311+J311,""))</f>
        <v/>
      </c>
      <c r="M311" s="48" t="str">
        <f>IF(AND(ISNUMBER(E311),ISNUMBER(G311),ISNUMBER(F311)),(E311-G311)*IF(D311="卖",-1,1)*F311,"")</f>
        <v/>
      </c>
      <c r="N311" s="49" t="str">
        <f>IF(A311="","",IFERROR(T(INDEX('交易记录'!$C$5:$C$304,MATCH(A311,'交易记录'!$A$5:$A$304,0))),"编号没找到"))</f>
        <v/>
      </c>
      <c r="O311" s="31" t="n"/>
    </row>
    <row r="312">
      <c r="A312" s="29" t="n"/>
      <c r="B312" s="30" t="n"/>
      <c r="C312" s="47" t="n"/>
      <c r="D312" s="32" t="n"/>
      <c r="E312" s="33" t="n"/>
      <c r="F312" s="36" t="n"/>
      <c r="G312" s="33" t="n"/>
      <c r="H312" s="20" t="str">
        <f>IF(AND(ISNUMBER(E312),ISNUMBER(F312)),E312*F312,"")</f>
        <v/>
      </c>
      <c r="I312" s="43" t="str">
        <f>IF(ISNUMBER(H312),ROUND(MAX(F312*'参数'!$C$11,'参数'!$C$12)+'参数'!$C$13,2),"")</f>
        <v/>
      </c>
      <c r="J312" s="43" t="str">
        <f>IF(ISNUMBER(H312),IF(D312="卖",ROUND(H312*N('参数'!$C$14)+F312*N('参数'!$C$15),2),0),"")</f>
        <v/>
      </c>
      <c r="K312" s="23" t="n"/>
      <c r="L312" s="20" t="str">
        <f>IF(ISNUMBER(K312),K312,IF(ISNUMBER(H312),I312+J312,""))</f>
        <v/>
      </c>
      <c r="M312" s="48" t="str">
        <f>IF(AND(ISNUMBER(E312),ISNUMBER(G312),ISNUMBER(F312)),(E312-G312)*IF(D312="卖",-1,1)*F312,"")</f>
        <v/>
      </c>
      <c r="N312" s="49" t="str">
        <f>IF(A312="","",IFERROR(T(INDEX('交易记录'!$C$5:$C$304,MATCH(A312,'交易记录'!$A$5:$A$304,0))),"编号没找到"))</f>
        <v/>
      </c>
      <c r="O312" s="31" t="n"/>
    </row>
    <row r="313">
      <c r="A313" s="29" t="n"/>
      <c r="B313" s="30" t="n"/>
      <c r="C313" s="47" t="n"/>
      <c r="D313" s="32" t="n"/>
      <c r="E313" s="33" t="n"/>
      <c r="F313" s="36" t="n"/>
      <c r="G313" s="33" t="n"/>
      <c r="H313" s="20" t="str">
        <f>IF(AND(ISNUMBER(E313),ISNUMBER(F313)),E313*F313,"")</f>
        <v/>
      </c>
      <c r="I313" s="43" t="str">
        <f>IF(ISNUMBER(H313),ROUND(MAX(F313*'参数'!$C$11,'参数'!$C$12)+'参数'!$C$13,2),"")</f>
        <v/>
      </c>
      <c r="J313" s="43" t="str">
        <f>IF(ISNUMBER(H313),IF(D313="卖",ROUND(H313*N('参数'!$C$14)+F313*N('参数'!$C$15),2),0),"")</f>
        <v/>
      </c>
      <c r="K313" s="23" t="n"/>
      <c r="L313" s="20" t="str">
        <f>IF(ISNUMBER(K313),K313,IF(ISNUMBER(H313),I313+J313,""))</f>
        <v/>
      </c>
      <c r="M313" s="48" t="str">
        <f>IF(AND(ISNUMBER(E313),ISNUMBER(G313),ISNUMBER(F313)),(E313-G313)*IF(D313="卖",-1,1)*F313,"")</f>
        <v/>
      </c>
      <c r="N313" s="49" t="str">
        <f>IF(A313="","",IFERROR(T(INDEX('交易记录'!$C$5:$C$304,MATCH(A313,'交易记录'!$A$5:$A$304,0))),"编号没找到"))</f>
        <v/>
      </c>
      <c r="O313" s="31" t="n"/>
    </row>
    <row r="314">
      <c r="A314" s="29" t="n"/>
      <c r="B314" s="30" t="n"/>
      <c r="C314" s="47" t="n"/>
      <c r="D314" s="32" t="n"/>
      <c r="E314" s="33" t="n"/>
      <c r="F314" s="36" t="n"/>
      <c r="G314" s="33" t="n"/>
      <c r="H314" s="20" t="str">
        <f>IF(AND(ISNUMBER(E314),ISNUMBER(F314)),E314*F314,"")</f>
        <v/>
      </c>
      <c r="I314" s="43" t="str">
        <f>IF(ISNUMBER(H314),ROUND(MAX(F314*'参数'!$C$11,'参数'!$C$12)+'参数'!$C$13,2),"")</f>
        <v/>
      </c>
      <c r="J314" s="43" t="str">
        <f>IF(ISNUMBER(H314),IF(D314="卖",ROUND(H314*N('参数'!$C$14)+F314*N('参数'!$C$15),2),0),"")</f>
        <v/>
      </c>
      <c r="K314" s="23" t="n"/>
      <c r="L314" s="20" t="str">
        <f>IF(ISNUMBER(K314),K314,IF(ISNUMBER(H314),I314+J314,""))</f>
        <v/>
      </c>
      <c r="M314" s="48" t="str">
        <f>IF(AND(ISNUMBER(E314),ISNUMBER(G314),ISNUMBER(F314)),(E314-G314)*IF(D314="卖",-1,1)*F314,"")</f>
        <v/>
      </c>
      <c r="N314" s="49" t="str">
        <f>IF(A314="","",IFERROR(T(INDEX('交易记录'!$C$5:$C$304,MATCH(A314,'交易记录'!$A$5:$A$304,0))),"编号没找到"))</f>
        <v/>
      </c>
      <c r="O314" s="31" t="n"/>
    </row>
    <row r="315">
      <c r="A315" s="29" t="n"/>
      <c r="B315" s="30" t="n"/>
      <c r="C315" s="47" t="n"/>
      <c r="D315" s="32" t="n"/>
      <c r="E315" s="33" t="n"/>
      <c r="F315" s="36" t="n"/>
      <c r="G315" s="33" t="n"/>
      <c r="H315" s="20" t="str">
        <f>IF(AND(ISNUMBER(E315),ISNUMBER(F315)),E315*F315,"")</f>
        <v/>
      </c>
      <c r="I315" s="43" t="str">
        <f>IF(ISNUMBER(H315),ROUND(MAX(F315*'参数'!$C$11,'参数'!$C$12)+'参数'!$C$13,2),"")</f>
        <v/>
      </c>
      <c r="J315" s="43" t="str">
        <f>IF(ISNUMBER(H315),IF(D315="卖",ROUND(H315*N('参数'!$C$14)+F315*N('参数'!$C$15),2),0),"")</f>
        <v/>
      </c>
      <c r="K315" s="23" t="n"/>
      <c r="L315" s="20" t="str">
        <f>IF(ISNUMBER(K315),K315,IF(ISNUMBER(H315),I315+J315,""))</f>
        <v/>
      </c>
      <c r="M315" s="48" t="str">
        <f>IF(AND(ISNUMBER(E315),ISNUMBER(G315),ISNUMBER(F315)),(E315-G315)*IF(D315="卖",-1,1)*F315,"")</f>
        <v/>
      </c>
      <c r="N315" s="49" t="str">
        <f>IF(A315="","",IFERROR(T(INDEX('交易记录'!$C$5:$C$304,MATCH(A315,'交易记录'!$A$5:$A$304,0))),"编号没找到"))</f>
        <v/>
      </c>
      <c r="O315" s="31" t="n"/>
    </row>
    <row r="316">
      <c r="A316" s="29" t="n"/>
      <c r="B316" s="30" t="n"/>
      <c r="C316" s="47" t="n"/>
      <c r="D316" s="32" t="n"/>
      <c r="E316" s="33" t="n"/>
      <c r="F316" s="36" t="n"/>
      <c r="G316" s="33" t="n"/>
      <c r="H316" s="20" t="str">
        <f>IF(AND(ISNUMBER(E316),ISNUMBER(F316)),E316*F316,"")</f>
        <v/>
      </c>
      <c r="I316" s="43" t="str">
        <f>IF(ISNUMBER(H316),ROUND(MAX(F316*'参数'!$C$11,'参数'!$C$12)+'参数'!$C$13,2),"")</f>
        <v/>
      </c>
      <c r="J316" s="43" t="str">
        <f>IF(ISNUMBER(H316),IF(D316="卖",ROUND(H316*N('参数'!$C$14)+F316*N('参数'!$C$15),2),0),"")</f>
        <v/>
      </c>
      <c r="K316" s="23" t="n"/>
      <c r="L316" s="20" t="str">
        <f>IF(ISNUMBER(K316),K316,IF(ISNUMBER(H316),I316+J316,""))</f>
        <v/>
      </c>
      <c r="M316" s="48" t="str">
        <f>IF(AND(ISNUMBER(E316),ISNUMBER(G316),ISNUMBER(F316)),(E316-G316)*IF(D316="卖",-1,1)*F316,"")</f>
        <v/>
      </c>
      <c r="N316" s="49" t="str">
        <f>IF(A316="","",IFERROR(T(INDEX('交易记录'!$C$5:$C$304,MATCH(A316,'交易记录'!$A$5:$A$304,0))),"编号没找到"))</f>
        <v/>
      </c>
      <c r="O316" s="31" t="n"/>
    </row>
    <row r="317">
      <c r="A317" s="29" t="n"/>
      <c r="B317" s="30" t="n"/>
      <c r="C317" s="47" t="n"/>
      <c r="D317" s="32" t="n"/>
      <c r="E317" s="33" t="n"/>
      <c r="F317" s="36" t="n"/>
      <c r="G317" s="33" t="n"/>
      <c r="H317" s="20" t="str">
        <f>IF(AND(ISNUMBER(E317),ISNUMBER(F317)),E317*F317,"")</f>
        <v/>
      </c>
      <c r="I317" s="43" t="str">
        <f>IF(ISNUMBER(H317),ROUND(MAX(F317*'参数'!$C$11,'参数'!$C$12)+'参数'!$C$13,2),"")</f>
        <v/>
      </c>
      <c r="J317" s="43" t="str">
        <f>IF(ISNUMBER(H317),IF(D317="卖",ROUND(H317*N('参数'!$C$14)+F317*N('参数'!$C$15),2),0),"")</f>
        <v/>
      </c>
      <c r="K317" s="23" t="n"/>
      <c r="L317" s="20" t="str">
        <f>IF(ISNUMBER(K317),K317,IF(ISNUMBER(H317),I317+J317,""))</f>
        <v/>
      </c>
      <c r="M317" s="48" t="str">
        <f>IF(AND(ISNUMBER(E317),ISNUMBER(G317),ISNUMBER(F317)),(E317-G317)*IF(D317="卖",-1,1)*F317,"")</f>
        <v/>
      </c>
      <c r="N317" s="49" t="str">
        <f>IF(A317="","",IFERROR(T(INDEX('交易记录'!$C$5:$C$304,MATCH(A317,'交易记录'!$A$5:$A$304,0))),"编号没找到"))</f>
        <v/>
      </c>
      <c r="O317" s="31" t="n"/>
    </row>
    <row r="318">
      <c r="A318" s="29" t="n"/>
      <c r="B318" s="30" t="n"/>
      <c r="C318" s="47" t="n"/>
      <c r="D318" s="32" t="n"/>
      <c r="E318" s="33" t="n"/>
      <c r="F318" s="36" t="n"/>
      <c r="G318" s="33" t="n"/>
      <c r="H318" s="20" t="str">
        <f>IF(AND(ISNUMBER(E318),ISNUMBER(F318)),E318*F318,"")</f>
        <v/>
      </c>
      <c r="I318" s="43" t="str">
        <f>IF(ISNUMBER(H318),ROUND(MAX(F318*'参数'!$C$11,'参数'!$C$12)+'参数'!$C$13,2),"")</f>
        <v/>
      </c>
      <c r="J318" s="43" t="str">
        <f>IF(ISNUMBER(H318),IF(D318="卖",ROUND(H318*N('参数'!$C$14)+F318*N('参数'!$C$15),2),0),"")</f>
        <v/>
      </c>
      <c r="K318" s="23" t="n"/>
      <c r="L318" s="20" t="str">
        <f>IF(ISNUMBER(K318),K318,IF(ISNUMBER(H318),I318+J318,""))</f>
        <v/>
      </c>
      <c r="M318" s="48" t="str">
        <f>IF(AND(ISNUMBER(E318),ISNUMBER(G318),ISNUMBER(F318)),(E318-G318)*IF(D318="卖",-1,1)*F318,"")</f>
        <v/>
      </c>
      <c r="N318" s="49" t="str">
        <f>IF(A318="","",IFERROR(T(INDEX('交易记录'!$C$5:$C$304,MATCH(A318,'交易记录'!$A$5:$A$304,0))),"编号没找到"))</f>
        <v/>
      </c>
      <c r="O318" s="31" t="n"/>
    </row>
    <row r="319">
      <c r="A319" s="29" t="n"/>
      <c r="B319" s="30" t="n"/>
      <c r="C319" s="47" t="n"/>
      <c r="D319" s="32" t="n"/>
      <c r="E319" s="33" t="n"/>
      <c r="F319" s="36" t="n"/>
      <c r="G319" s="33" t="n"/>
      <c r="H319" s="20" t="str">
        <f>IF(AND(ISNUMBER(E319),ISNUMBER(F319)),E319*F319,"")</f>
        <v/>
      </c>
      <c r="I319" s="43" t="str">
        <f>IF(ISNUMBER(H319),ROUND(MAX(F319*'参数'!$C$11,'参数'!$C$12)+'参数'!$C$13,2),"")</f>
        <v/>
      </c>
      <c r="J319" s="43" t="str">
        <f>IF(ISNUMBER(H319),IF(D319="卖",ROUND(H319*N('参数'!$C$14)+F319*N('参数'!$C$15),2),0),"")</f>
        <v/>
      </c>
      <c r="K319" s="23" t="n"/>
      <c r="L319" s="20" t="str">
        <f>IF(ISNUMBER(K319),K319,IF(ISNUMBER(H319),I319+J319,""))</f>
        <v/>
      </c>
      <c r="M319" s="48" t="str">
        <f>IF(AND(ISNUMBER(E319),ISNUMBER(G319),ISNUMBER(F319)),(E319-G319)*IF(D319="卖",-1,1)*F319,"")</f>
        <v/>
      </c>
      <c r="N319" s="49" t="str">
        <f>IF(A319="","",IFERROR(T(INDEX('交易记录'!$C$5:$C$304,MATCH(A319,'交易记录'!$A$5:$A$304,0))),"编号没找到"))</f>
        <v/>
      </c>
      <c r="O319" s="31" t="n"/>
    </row>
    <row r="320">
      <c r="A320" s="29" t="n"/>
      <c r="B320" s="30" t="n"/>
      <c r="C320" s="47" t="n"/>
      <c r="D320" s="32" t="n"/>
      <c r="E320" s="33" t="n"/>
      <c r="F320" s="36" t="n"/>
      <c r="G320" s="33" t="n"/>
      <c r="H320" s="20" t="str">
        <f>IF(AND(ISNUMBER(E320),ISNUMBER(F320)),E320*F320,"")</f>
        <v/>
      </c>
      <c r="I320" s="43" t="str">
        <f>IF(ISNUMBER(H320),ROUND(MAX(F320*'参数'!$C$11,'参数'!$C$12)+'参数'!$C$13,2),"")</f>
        <v/>
      </c>
      <c r="J320" s="43" t="str">
        <f>IF(ISNUMBER(H320),IF(D320="卖",ROUND(H320*N('参数'!$C$14)+F320*N('参数'!$C$15),2),0),"")</f>
        <v/>
      </c>
      <c r="K320" s="23" t="n"/>
      <c r="L320" s="20" t="str">
        <f>IF(ISNUMBER(K320),K320,IF(ISNUMBER(H320),I320+J320,""))</f>
        <v/>
      </c>
      <c r="M320" s="48" t="str">
        <f>IF(AND(ISNUMBER(E320),ISNUMBER(G320),ISNUMBER(F320)),(E320-G320)*IF(D320="卖",-1,1)*F320,"")</f>
        <v/>
      </c>
      <c r="N320" s="49" t="str">
        <f>IF(A320="","",IFERROR(T(INDEX('交易记录'!$C$5:$C$304,MATCH(A320,'交易记录'!$A$5:$A$304,0))),"编号没找到"))</f>
        <v/>
      </c>
      <c r="O320" s="31" t="n"/>
    </row>
    <row r="321">
      <c r="A321" s="29" t="n"/>
      <c r="B321" s="30" t="n"/>
      <c r="C321" s="47" t="n"/>
      <c r="D321" s="32" t="n"/>
      <c r="E321" s="33" t="n"/>
      <c r="F321" s="36" t="n"/>
      <c r="G321" s="33" t="n"/>
      <c r="H321" s="20" t="str">
        <f>IF(AND(ISNUMBER(E321),ISNUMBER(F321)),E321*F321,"")</f>
        <v/>
      </c>
      <c r="I321" s="43" t="str">
        <f>IF(ISNUMBER(H321),ROUND(MAX(F321*'参数'!$C$11,'参数'!$C$12)+'参数'!$C$13,2),"")</f>
        <v/>
      </c>
      <c r="J321" s="43" t="str">
        <f>IF(ISNUMBER(H321),IF(D321="卖",ROUND(H321*N('参数'!$C$14)+F321*N('参数'!$C$15),2),0),"")</f>
        <v/>
      </c>
      <c r="K321" s="23" t="n"/>
      <c r="L321" s="20" t="str">
        <f>IF(ISNUMBER(K321),K321,IF(ISNUMBER(H321),I321+J321,""))</f>
        <v/>
      </c>
      <c r="M321" s="48" t="str">
        <f>IF(AND(ISNUMBER(E321),ISNUMBER(G321),ISNUMBER(F321)),(E321-G321)*IF(D321="卖",-1,1)*F321,"")</f>
        <v/>
      </c>
      <c r="N321" s="49" t="str">
        <f>IF(A321="","",IFERROR(T(INDEX('交易记录'!$C$5:$C$304,MATCH(A321,'交易记录'!$A$5:$A$304,0))),"编号没找到"))</f>
        <v/>
      </c>
      <c r="O321" s="31" t="n"/>
    </row>
    <row r="322">
      <c r="A322" s="29" t="n"/>
      <c r="B322" s="30" t="n"/>
      <c r="C322" s="47" t="n"/>
      <c r="D322" s="32" t="n"/>
      <c r="E322" s="33" t="n"/>
      <c r="F322" s="36" t="n"/>
      <c r="G322" s="33" t="n"/>
      <c r="H322" s="20" t="str">
        <f>IF(AND(ISNUMBER(E322),ISNUMBER(F322)),E322*F322,"")</f>
        <v/>
      </c>
      <c r="I322" s="43" t="str">
        <f>IF(ISNUMBER(H322),ROUND(MAX(F322*'参数'!$C$11,'参数'!$C$12)+'参数'!$C$13,2),"")</f>
        <v/>
      </c>
      <c r="J322" s="43" t="str">
        <f>IF(ISNUMBER(H322),IF(D322="卖",ROUND(H322*N('参数'!$C$14)+F322*N('参数'!$C$15),2),0),"")</f>
        <v/>
      </c>
      <c r="K322" s="23" t="n"/>
      <c r="L322" s="20" t="str">
        <f>IF(ISNUMBER(K322),K322,IF(ISNUMBER(H322),I322+J322,""))</f>
        <v/>
      </c>
      <c r="M322" s="48" t="str">
        <f>IF(AND(ISNUMBER(E322),ISNUMBER(G322),ISNUMBER(F322)),(E322-G322)*IF(D322="卖",-1,1)*F322,"")</f>
        <v/>
      </c>
      <c r="N322" s="49" t="str">
        <f>IF(A322="","",IFERROR(T(INDEX('交易记录'!$C$5:$C$304,MATCH(A322,'交易记录'!$A$5:$A$304,0))),"编号没找到"))</f>
        <v/>
      </c>
      <c r="O322" s="31" t="n"/>
    </row>
    <row r="323">
      <c r="A323" s="29" t="n"/>
      <c r="B323" s="30" t="n"/>
      <c r="C323" s="47" t="n"/>
      <c r="D323" s="32" t="n"/>
      <c r="E323" s="33" t="n"/>
      <c r="F323" s="36" t="n"/>
      <c r="G323" s="33" t="n"/>
      <c r="H323" s="20" t="str">
        <f>IF(AND(ISNUMBER(E323),ISNUMBER(F323)),E323*F323,"")</f>
        <v/>
      </c>
      <c r="I323" s="43" t="str">
        <f>IF(ISNUMBER(H323),ROUND(MAX(F323*'参数'!$C$11,'参数'!$C$12)+'参数'!$C$13,2),"")</f>
        <v/>
      </c>
      <c r="J323" s="43" t="str">
        <f>IF(ISNUMBER(H323),IF(D323="卖",ROUND(H323*N('参数'!$C$14)+F323*N('参数'!$C$15),2),0),"")</f>
        <v/>
      </c>
      <c r="K323" s="23" t="n"/>
      <c r="L323" s="20" t="str">
        <f>IF(ISNUMBER(K323),K323,IF(ISNUMBER(H323),I323+J323,""))</f>
        <v/>
      </c>
      <c r="M323" s="48" t="str">
        <f>IF(AND(ISNUMBER(E323),ISNUMBER(G323),ISNUMBER(F323)),(E323-G323)*IF(D323="卖",-1,1)*F323,"")</f>
        <v/>
      </c>
      <c r="N323" s="49" t="str">
        <f>IF(A323="","",IFERROR(T(INDEX('交易记录'!$C$5:$C$304,MATCH(A323,'交易记录'!$A$5:$A$304,0))),"编号没找到"))</f>
        <v/>
      </c>
      <c r="O323" s="31" t="n"/>
    </row>
    <row r="324">
      <c r="A324" s="29" t="n"/>
      <c r="B324" s="30" t="n"/>
      <c r="C324" s="47" t="n"/>
      <c r="D324" s="32" t="n"/>
      <c r="E324" s="33" t="n"/>
      <c r="F324" s="36" t="n"/>
      <c r="G324" s="33" t="n"/>
      <c r="H324" s="20" t="str">
        <f>IF(AND(ISNUMBER(E324),ISNUMBER(F324)),E324*F324,"")</f>
        <v/>
      </c>
      <c r="I324" s="43" t="str">
        <f>IF(ISNUMBER(H324),ROUND(MAX(F324*'参数'!$C$11,'参数'!$C$12)+'参数'!$C$13,2),"")</f>
        <v/>
      </c>
      <c r="J324" s="43" t="str">
        <f>IF(ISNUMBER(H324),IF(D324="卖",ROUND(H324*N('参数'!$C$14)+F324*N('参数'!$C$15),2),0),"")</f>
        <v/>
      </c>
      <c r="K324" s="23" t="n"/>
      <c r="L324" s="20" t="str">
        <f>IF(ISNUMBER(K324),K324,IF(ISNUMBER(H324),I324+J324,""))</f>
        <v/>
      </c>
      <c r="M324" s="48" t="str">
        <f>IF(AND(ISNUMBER(E324),ISNUMBER(G324),ISNUMBER(F324)),(E324-G324)*IF(D324="卖",-1,1)*F324,"")</f>
        <v/>
      </c>
      <c r="N324" s="49" t="str">
        <f>IF(A324="","",IFERROR(T(INDEX('交易记录'!$C$5:$C$304,MATCH(A324,'交易记录'!$A$5:$A$304,0))),"编号没找到"))</f>
        <v/>
      </c>
      <c r="O324" s="31" t="n"/>
    </row>
    <row r="325">
      <c r="A325" s="29" t="n"/>
      <c r="B325" s="30" t="n"/>
      <c r="C325" s="47" t="n"/>
      <c r="D325" s="32" t="n"/>
      <c r="E325" s="33" t="n"/>
      <c r="F325" s="36" t="n"/>
      <c r="G325" s="33" t="n"/>
      <c r="H325" s="20" t="str">
        <f>IF(AND(ISNUMBER(E325),ISNUMBER(F325)),E325*F325,"")</f>
        <v/>
      </c>
      <c r="I325" s="43" t="str">
        <f>IF(ISNUMBER(H325),ROUND(MAX(F325*'参数'!$C$11,'参数'!$C$12)+'参数'!$C$13,2),"")</f>
        <v/>
      </c>
      <c r="J325" s="43" t="str">
        <f>IF(ISNUMBER(H325),IF(D325="卖",ROUND(H325*N('参数'!$C$14)+F325*N('参数'!$C$15),2),0),"")</f>
        <v/>
      </c>
      <c r="K325" s="23" t="n"/>
      <c r="L325" s="20" t="str">
        <f>IF(ISNUMBER(K325),K325,IF(ISNUMBER(H325),I325+J325,""))</f>
        <v/>
      </c>
      <c r="M325" s="48" t="str">
        <f>IF(AND(ISNUMBER(E325),ISNUMBER(G325),ISNUMBER(F325)),(E325-G325)*IF(D325="卖",-1,1)*F325,"")</f>
        <v/>
      </c>
      <c r="N325" s="49" t="str">
        <f>IF(A325="","",IFERROR(T(INDEX('交易记录'!$C$5:$C$304,MATCH(A325,'交易记录'!$A$5:$A$304,0))),"编号没找到"))</f>
        <v/>
      </c>
      <c r="O325" s="31" t="n"/>
    </row>
    <row r="326">
      <c r="A326" s="29" t="n"/>
      <c r="B326" s="30" t="n"/>
      <c r="C326" s="47" t="n"/>
      <c r="D326" s="32" t="n"/>
      <c r="E326" s="33" t="n"/>
      <c r="F326" s="36" t="n"/>
      <c r="G326" s="33" t="n"/>
      <c r="H326" s="20" t="str">
        <f>IF(AND(ISNUMBER(E326),ISNUMBER(F326)),E326*F326,"")</f>
        <v/>
      </c>
      <c r="I326" s="43" t="str">
        <f>IF(ISNUMBER(H326),ROUND(MAX(F326*'参数'!$C$11,'参数'!$C$12)+'参数'!$C$13,2),"")</f>
        <v/>
      </c>
      <c r="J326" s="43" t="str">
        <f>IF(ISNUMBER(H326),IF(D326="卖",ROUND(H326*N('参数'!$C$14)+F326*N('参数'!$C$15),2),0),"")</f>
        <v/>
      </c>
      <c r="K326" s="23" t="n"/>
      <c r="L326" s="20" t="str">
        <f>IF(ISNUMBER(K326),K326,IF(ISNUMBER(H326),I326+J326,""))</f>
        <v/>
      </c>
      <c r="M326" s="48" t="str">
        <f>IF(AND(ISNUMBER(E326),ISNUMBER(G326),ISNUMBER(F326)),(E326-G326)*IF(D326="卖",-1,1)*F326,"")</f>
        <v/>
      </c>
      <c r="N326" s="49" t="str">
        <f>IF(A326="","",IFERROR(T(INDEX('交易记录'!$C$5:$C$304,MATCH(A326,'交易记录'!$A$5:$A$304,0))),"编号没找到"))</f>
        <v/>
      </c>
      <c r="O326" s="31" t="n"/>
    </row>
    <row r="327">
      <c r="A327" s="29" t="n"/>
      <c r="B327" s="30" t="n"/>
      <c r="C327" s="47" t="n"/>
      <c r="D327" s="32" t="n"/>
      <c r="E327" s="33" t="n"/>
      <c r="F327" s="36" t="n"/>
      <c r="G327" s="33" t="n"/>
      <c r="H327" s="20" t="str">
        <f>IF(AND(ISNUMBER(E327),ISNUMBER(F327)),E327*F327,"")</f>
        <v/>
      </c>
      <c r="I327" s="43" t="str">
        <f>IF(ISNUMBER(H327),ROUND(MAX(F327*'参数'!$C$11,'参数'!$C$12)+'参数'!$C$13,2),"")</f>
        <v/>
      </c>
      <c r="J327" s="43" t="str">
        <f>IF(ISNUMBER(H327),IF(D327="卖",ROUND(H327*N('参数'!$C$14)+F327*N('参数'!$C$15),2),0),"")</f>
        <v/>
      </c>
      <c r="K327" s="23" t="n"/>
      <c r="L327" s="20" t="str">
        <f>IF(ISNUMBER(K327),K327,IF(ISNUMBER(H327),I327+J327,""))</f>
        <v/>
      </c>
      <c r="M327" s="48" t="str">
        <f>IF(AND(ISNUMBER(E327),ISNUMBER(G327),ISNUMBER(F327)),(E327-G327)*IF(D327="卖",-1,1)*F327,"")</f>
        <v/>
      </c>
      <c r="N327" s="49" t="str">
        <f>IF(A327="","",IFERROR(T(INDEX('交易记录'!$C$5:$C$304,MATCH(A327,'交易记录'!$A$5:$A$304,0))),"编号没找到"))</f>
        <v/>
      </c>
      <c r="O327" s="31" t="n"/>
    </row>
    <row r="328">
      <c r="A328" s="29" t="n"/>
      <c r="B328" s="30" t="n"/>
      <c r="C328" s="47" t="n"/>
      <c r="D328" s="32" t="n"/>
      <c r="E328" s="33" t="n"/>
      <c r="F328" s="36" t="n"/>
      <c r="G328" s="33" t="n"/>
      <c r="H328" s="20" t="str">
        <f>IF(AND(ISNUMBER(E328),ISNUMBER(F328)),E328*F328,"")</f>
        <v/>
      </c>
      <c r="I328" s="43" t="str">
        <f>IF(ISNUMBER(H328),ROUND(MAX(F328*'参数'!$C$11,'参数'!$C$12)+'参数'!$C$13,2),"")</f>
        <v/>
      </c>
      <c r="J328" s="43" t="str">
        <f>IF(ISNUMBER(H328),IF(D328="卖",ROUND(H328*N('参数'!$C$14)+F328*N('参数'!$C$15),2),0),"")</f>
        <v/>
      </c>
      <c r="K328" s="23" t="n"/>
      <c r="L328" s="20" t="str">
        <f>IF(ISNUMBER(K328),K328,IF(ISNUMBER(H328),I328+J328,""))</f>
        <v/>
      </c>
      <c r="M328" s="48" t="str">
        <f>IF(AND(ISNUMBER(E328),ISNUMBER(G328),ISNUMBER(F328)),(E328-G328)*IF(D328="卖",-1,1)*F328,"")</f>
        <v/>
      </c>
      <c r="N328" s="49" t="str">
        <f>IF(A328="","",IFERROR(T(INDEX('交易记录'!$C$5:$C$304,MATCH(A328,'交易记录'!$A$5:$A$304,0))),"编号没找到"))</f>
        <v/>
      </c>
      <c r="O328" s="31" t="n"/>
    </row>
    <row r="329">
      <c r="A329" s="29" t="n"/>
      <c r="B329" s="30" t="n"/>
      <c r="C329" s="47" t="n"/>
      <c r="D329" s="32" t="n"/>
      <c r="E329" s="33" t="n"/>
      <c r="F329" s="36" t="n"/>
      <c r="G329" s="33" t="n"/>
      <c r="H329" s="20" t="str">
        <f>IF(AND(ISNUMBER(E329),ISNUMBER(F329)),E329*F329,"")</f>
        <v/>
      </c>
      <c r="I329" s="43" t="str">
        <f>IF(ISNUMBER(H329),ROUND(MAX(F329*'参数'!$C$11,'参数'!$C$12)+'参数'!$C$13,2),"")</f>
        <v/>
      </c>
      <c r="J329" s="43" t="str">
        <f>IF(ISNUMBER(H329),IF(D329="卖",ROUND(H329*N('参数'!$C$14)+F329*N('参数'!$C$15),2),0),"")</f>
        <v/>
      </c>
      <c r="K329" s="23" t="n"/>
      <c r="L329" s="20" t="str">
        <f>IF(ISNUMBER(K329),K329,IF(ISNUMBER(H329),I329+J329,""))</f>
        <v/>
      </c>
      <c r="M329" s="48" t="str">
        <f>IF(AND(ISNUMBER(E329),ISNUMBER(G329),ISNUMBER(F329)),(E329-G329)*IF(D329="卖",-1,1)*F329,"")</f>
        <v/>
      </c>
      <c r="N329" s="49" t="str">
        <f>IF(A329="","",IFERROR(T(INDEX('交易记录'!$C$5:$C$304,MATCH(A329,'交易记录'!$A$5:$A$304,0))),"编号没找到"))</f>
        <v/>
      </c>
      <c r="O329" s="31" t="n"/>
    </row>
    <row r="330">
      <c r="A330" s="29" t="n"/>
      <c r="B330" s="30" t="n"/>
      <c r="C330" s="47" t="n"/>
      <c r="D330" s="32" t="n"/>
      <c r="E330" s="33" t="n"/>
      <c r="F330" s="36" t="n"/>
      <c r="G330" s="33" t="n"/>
      <c r="H330" s="20" t="str">
        <f>IF(AND(ISNUMBER(E330),ISNUMBER(F330)),E330*F330,"")</f>
        <v/>
      </c>
      <c r="I330" s="43" t="str">
        <f>IF(ISNUMBER(H330),ROUND(MAX(F330*'参数'!$C$11,'参数'!$C$12)+'参数'!$C$13,2),"")</f>
        <v/>
      </c>
      <c r="J330" s="43" t="str">
        <f>IF(ISNUMBER(H330),IF(D330="卖",ROUND(H330*N('参数'!$C$14)+F330*N('参数'!$C$15),2),0),"")</f>
        <v/>
      </c>
      <c r="K330" s="23" t="n"/>
      <c r="L330" s="20" t="str">
        <f>IF(ISNUMBER(K330),K330,IF(ISNUMBER(H330),I330+J330,""))</f>
        <v/>
      </c>
      <c r="M330" s="48" t="str">
        <f>IF(AND(ISNUMBER(E330),ISNUMBER(G330),ISNUMBER(F330)),(E330-G330)*IF(D330="卖",-1,1)*F330,"")</f>
        <v/>
      </c>
      <c r="N330" s="49" t="str">
        <f>IF(A330="","",IFERROR(T(INDEX('交易记录'!$C$5:$C$304,MATCH(A330,'交易记录'!$A$5:$A$304,0))),"编号没找到"))</f>
        <v/>
      </c>
      <c r="O330" s="31" t="n"/>
    </row>
    <row r="331">
      <c r="A331" s="29" t="n"/>
      <c r="B331" s="30" t="n"/>
      <c r="C331" s="47" t="n"/>
      <c r="D331" s="32" t="n"/>
      <c r="E331" s="33" t="n"/>
      <c r="F331" s="36" t="n"/>
      <c r="G331" s="33" t="n"/>
      <c r="H331" s="20" t="str">
        <f>IF(AND(ISNUMBER(E331),ISNUMBER(F331)),E331*F331,"")</f>
        <v/>
      </c>
      <c r="I331" s="43" t="str">
        <f>IF(ISNUMBER(H331),ROUND(MAX(F331*'参数'!$C$11,'参数'!$C$12)+'参数'!$C$13,2),"")</f>
        <v/>
      </c>
      <c r="J331" s="43" t="str">
        <f>IF(ISNUMBER(H331),IF(D331="卖",ROUND(H331*N('参数'!$C$14)+F331*N('参数'!$C$15),2),0),"")</f>
        <v/>
      </c>
      <c r="K331" s="23" t="n"/>
      <c r="L331" s="20" t="str">
        <f>IF(ISNUMBER(K331),K331,IF(ISNUMBER(H331),I331+J331,""))</f>
        <v/>
      </c>
      <c r="M331" s="48" t="str">
        <f>IF(AND(ISNUMBER(E331),ISNUMBER(G331),ISNUMBER(F331)),(E331-G331)*IF(D331="卖",-1,1)*F331,"")</f>
        <v/>
      </c>
      <c r="N331" s="49" t="str">
        <f>IF(A331="","",IFERROR(T(INDEX('交易记录'!$C$5:$C$304,MATCH(A331,'交易记录'!$A$5:$A$304,0))),"编号没找到"))</f>
        <v/>
      </c>
      <c r="O331" s="31" t="n"/>
    </row>
    <row r="332">
      <c r="A332" s="29" t="n"/>
      <c r="B332" s="30" t="n"/>
      <c r="C332" s="47" t="n"/>
      <c r="D332" s="32" t="n"/>
      <c r="E332" s="33" t="n"/>
      <c r="F332" s="36" t="n"/>
      <c r="G332" s="33" t="n"/>
      <c r="H332" s="20" t="str">
        <f>IF(AND(ISNUMBER(E332),ISNUMBER(F332)),E332*F332,"")</f>
        <v/>
      </c>
      <c r="I332" s="43" t="str">
        <f>IF(ISNUMBER(H332),ROUND(MAX(F332*'参数'!$C$11,'参数'!$C$12)+'参数'!$C$13,2),"")</f>
        <v/>
      </c>
      <c r="J332" s="43" t="str">
        <f>IF(ISNUMBER(H332),IF(D332="卖",ROUND(H332*N('参数'!$C$14)+F332*N('参数'!$C$15),2),0),"")</f>
        <v/>
      </c>
      <c r="K332" s="23" t="n"/>
      <c r="L332" s="20" t="str">
        <f>IF(ISNUMBER(K332),K332,IF(ISNUMBER(H332),I332+J332,""))</f>
        <v/>
      </c>
      <c r="M332" s="48" t="str">
        <f>IF(AND(ISNUMBER(E332),ISNUMBER(G332),ISNUMBER(F332)),(E332-G332)*IF(D332="卖",-1,1)*F332,"")</f>
        <v/>
      </c>
      <c r="N332" s="49" t="str">
        <f>IF(A332="","",IFERROR(T(INDEX('交易记录'!$C$5:$C$304,MATCH(A332,'交易记录'!$A$5:$A$304,0))),"编号没找到"))</f>
        <v/>
      </c>
      <c r="O332" s="31" t="n"/>
    </row>
    <row r="333">
      <c r="A333" s="29" t="n"/>
      <c r="B333" s="30" t="n"/>
      <c r="C333" s="47" t="n"/>
      <c r="D333" s="32" t="n"/>
      <c r="E333" s="33" t="n"/>
      <c r="F333" s="36" t="n"/>
      <c r="G333" s="33" t="n"/>
      <c r="H333" s="20" t="str">
        <f>IF(AND(ISNUMBER(E333),ISNUMBER(F333)),E333*F333,"")</f>
        <v/>
      </c>
      <c r="I333" s="43" t="str">
        <f>IF(ISNUMBER(H333),ROUND(MAX(F333*'参数'!$C$11,'参数'!$C$12)+'参数'!$C$13,2),"")</f>
        <v/>
      </c>
      <c r="J333" s="43" t="str">
        <f>IF(ISNUMBER(H333),IF(D333="卖",ROUND(H333*N('参数'!$C$14)+F333*N('参数'!$C$15),2),0),"")</f>
        <v/>
      </c>
      <c r="K333" s="23" t="n"/>
      <c r="L333" s="20" t="str">
        <f>IF(ISNUMBER(K333),K333,IF(ISNUMBER(H333),I333+J333,""))</f>
        <v/>
      </c>
      <c r="M333" s="48" t="str">
        <f>IF(AND(ISNUMBER(E333),ISNUMBER(G333),ISNUMBER(F333)),(E333-G333)*IF(D333="卖",-1,1)*F333,"")</f>
        <v/>
      </c>
      <c r="N333" s="49" t="str">
        <f>IF(A333="","",IFERROR(T(INDEX('交易记录'!$C$5:$C$304,MATCH(A333,'交易记录'!$A$5:$A$304,0))),"编号没找到"))</f>
        <v/>
      </c>
      <c r="O333" s="31" t="n"/>
    </row>
    <row r="334">
      <c r="A334" s="29" t="n"/>
      <c r="B334" s="30" t="n"/>
      <c r="C334" s="47" t="n"/>
      <c r="D334" s="32" t="n"/>
      <c r="E334" s="33" t="n"/>
      <c r="F334" s="36" t="n"/>
      <c r="G334" s="33" t="n"/>
      <c r="H334" s="20" t="str">
        <f>IF(AND(ISNUMBER(E334),ISNUMBER(F334)),E334*F334,"")</f>
        <v/>
      </c>
      <c r="I334" s="43" t="str">
        <f>IF(ISNUMBER(H334),ROUND(MAX(F334*'参数'!$C$11,'参数'!$C$12)+'参数'!$C$13,2),"")</f>
        <v/>
      </c>
      <c r="J334" s="43" t="str">
        <f>IF(ISNUMBER(H334),IF(D334="卖",ROUND(H334*N('参数'!$C$14)+F334*N('参数'!$C$15),2),0),"")</f>
        <v/>
      </c>
      <c r="K334" s="23" t="n"/>
      <c r="L334" s="20" t="str">
        <f>IF(ISNUMBER(K334),K334,IF(ISNUMBER(H334),I334+J334,""))</f>
        <v/>
      </c>
      <c r="M334" s="48" t="str">
        <f>IF(AND(ISNUMBER(E334),ISNUMBER(G334),ISNUMBER(F334)),(E334-G334)*IF(D334="卖",-1,1)*F334,"")</f>
        <v/>
      </c>
      <c r="N334" s="49" t="str">
        <f>IF(A334="","",IFERROR(T(INDEX('交易记录'!$C$5:$C$304,MATCH(A334,'交易记录'!$A$5:$A$304,0))),"编号没找到"))</f>
        <v/>
      </c>
      <c r="O334" s="31" t="n"/>
    </row>
    <row r="335">
      <c r="A335" s="29" t="n"/>
      <c r="B335" s="30" t="n"/>
      <c r="C335" s="47" t="n"/>
      <c r="D335" s="32" t="n"/>
      <c r="E335" s="33" t="n"/>
      <c r="F335" s="36" t="n"/>
      <c r="G335" s="33" t="n"/>
      <c r="H335" s="20" t="str">
        <f>IF(AND(ISNUMBER(E335),ISNUMBER(F335)),E335*F335,"")</f>
        <v/>
      </c>
      <c r="I335" s="43" t="str">
        <f>IF(ISNUMBER(H335),ROUND(MAX(F335*'参数'!$C$11,'参数'!$C$12)+'参数'!$C$13,2),"")</f>
        <v/>
      </c>
      <c r="J335" s="43" t="str">
        <f>IF(ISNUMBER(H335),IF(D335="卖",ROUND(H335*N('参数'!$C$14)+F335*N('参数'!$C$15),2),0),"")</f>
        <v/>
      </c>
      <c r="K335" s="23" t="n"/>
      <c r="L335" s="20" t="str">
        <f>IF(ISNUMBER(K335),K335,IF(ISNUMBER(H335),I335+J335,""))</f>
        <v/>
      </c>
      <c r="M335" s="48" t="str">
        <f>IF(AND(ISNUMBER(E335),ISNUMBER(G335),ISNUMBER(F335)),(E335-G335)*IF(D335="卖",-1,1)*F335,"")</f>
        <v/>
      </c>
      <c r="N335" s="49" t="str">
        <f>IF(A335="","",IFERROR(T(INDEX('交易记录'!$C$5:$C$304,MATCH(A335,'交易记录'!$A$5:$A$304,0))),"编号没找到"))</f>
        <v/>
      </c>
      <c r="O335" s="31" t="n"/>
    </row>
    <row r="336">
      <c r="A336" s="29" t="n"/>
      <c r="B336" s="30" t="n"/>
      <c r="C336" s="47" t="n"/>
      <c r="D336" s="32" t="n"/>
      <c r="E336" s="33" t="n"/>
      <c r="F336" s="36" t="n"/>
      <c r="G336" s="33" t="n"/>
      <c r="H336" s="20" t="str">
        <f>IF(AND(ISNUMBER(E336),ISNUMBER(F336)),E336*F336,"")</f>
        <v/>
      </c>
      <c r="I336" s="43" t="str">
        <f>IF(ISNUMBER(H336),ROUND(MAX(F336*'参数'!$C$11,'参数'!$C$12)+'参数'!$C$13,2),"")</f>
        <v/>
      </c>
      <c r="J336" s="43" t="str">
        <f>IF(ISNUMBER(H336),IF(D336="卖",ROUND(H336*N('参数'!$C$14)+F336*N('参数'!$C$15),2),0),"")</f>
        <v/>
      </c>
      <c r="K336" s="23" t="n"/>
      <c r="L336" s="20" t="str">
        <f>IF(ISNUMBER(K336),K336,IF(ISNUMBER(H336),I336+J336,""))</f>
        <v/>
      </c>
      <c r="M336" s="48" t="str">
        <f>IF(AND(ISNUMBER(E336),ISNUMBER(G336),ISNUMBER(F336)),(E336-G336)*IF(D336="卖",-1,1)*F336,"")</f>
        <v/>
      </c>
      <c r="N336" s="49" t="str">
        <f>IF(A336="","",IFERROR(T(INDEX('交易记录'!$C$5:$C$304,MATCH(A336,'交易记录'!$A$5:$A$304,0))),"编号没找到"))</f>
        <v/>
      </c>
      <c r="O336" s="31" t="n"/>
    </row>
    <row r="337">
      <c r="A337" s="29" t="n"/>
      <c r="B337" s="30" t="n"/>
      <c r="C337" s="47" t="n"/>
      <c r="D337" s="32" t="n"/>
      <c r="E337" s="33" t="n"/>
      <c r="F337" s="36" t="n"/>
      <c r="G337" s="33" t="n"/>
      <c r="H337" s="20" t="str">
        <f>IF(AND(ISNUMBER(E337),ISNUMBER(F337)),E337*F337,"")</f>
        <v/>
      </c>
      <c r="I337" s="43" t="str">
        <f>IF(ISNUMBER(H337),ROUND(MAX(F337*'参数'!$C$11,'参数'!$C$12)+'参数'!$C$13,2),"")</f>
        <v/>
      </c>
      <c r="J337" s="43" t="str">
        <f>IF(ISNUMBER(H337),IF(D337="卖",ROUND(H337*N('参数'!$C$14)+F337*N('参数'!$C$15),2),0),"")</f>
        <v/>
      </c>
      <c r="K337" s="23" t="n"/>
      <c r="L337" s="20" t="str">
        <f>IF(ISNUMBER(K337),K337,IF(ISNUMBER(H337),I337+J337,""))</f>
        <v/>
      </c>
      <c r="M337" s="48" t="str">
        <f>IF(AND(ISNUMBER(E337),ISNUMBER(G337),ISNUMBER(F337)),(E337-G337)*IF(D337="卖",-1,1)*F337,"")</f>
        <v/>
      </c>
      <c r="N337" s="49" t="str">
        <f>IF(A337="","",IFERROR(T(INDEX('交易记录'!$C$5:$C$304,MATCH(A337,'交易记录'!$A$5:$A$304,0))),"编号没找到"))</f>
        <v/>
      </c>
      <c r="O337" s="31" t="n"/>
    </row>
    <row r="338">
      <c r="A338" s="29" t="n"/>
      <c r="B338" s="30" t="n"/>
      <c r="C338" s="47" t="n"/>
      <c r="D338" s="32" t="n"/>
      <c r="E338" s="33" t="n"/>
      <c r="F338" s="36" t="n"/>
      <c r="G338" s="33" t="n"/>
      <c r="H338" s="20" t="str">
        <f>IF(AND(ISNUMBER(E338),ISNUMBER(F338)),E338*F338,"")</f>
        <v/>
      </c>
      <c r="I338" s="43" t="str">
        <f>IF(ISNUMBER(H338),ROUND(MAX(F338*'参数'!$C$11,'参数'!$C$12)+'参数'!$C$13,2),"")</f>
        <v/>
      </c>
      <c r="J338" s="43" t="str">
        <f>IF(ISNUMBER(H338),IF(D338="卖",ROUND(H338*N('参数'!$C$14)+F338*N('参数'!$C$15),2),0),"")</f>
        <v/>
      </c>
      <c r="K338" s="23" t="n"/>
      <c r="L338" s="20" t="str">
        <f>IF(ISNUMBER(K338),K338,IF(ISNUMBER(H338),I338+J338,""))</f>
        <v/>
      </c>
      <c r="M338" s="48" t="str">
        <f>IF(AND(ISNUMBER(E338),ISNUMBER(G338),ISNUMBER(F338)),(E338-G338)*IF(D338="卖",-1,1)*F338,"")</f>
        <v/>
      </c>
      <c r="N338" s="49" t="str">
        <f>IF(A338="","",IFERROR(T(INDEX('交易记录'!$C$5:$C$304,MATCH(A338,'交易记录'!$A$5:$A$304,0))),"编号没找到"))</f>
        <v/>
      </c>
      <c r="O338" s="31" t="n"/>
    </row>
    <row r="339">
      <c r="A339" s="29" t="n"/>
      <c r="B339" s="30" t="n"/>
      <c r="C339" s="47" t="n"/>
      <c r="D339" s="32" t="n"/>
      <c r="E339" s="33" t="n"/>
      <c r="F339" s="36" t="n"/>
      <c r="G339" s="33" t="n"/>
      <c r="H339" s="20" t="str">
        <f>IF(AND(ISNUMBER(E339),ISNUMBER(F339)),E339*F339,"")</f>
        <v/>
      </c>
      <c r="I339" s="43" t="str">
        <f>IF(ISNUMBER(H339),ROUND(MAX(F339*'参数'!$C$11,'参数'!$C$12)+'参数'!$C$13,2),"")</f>
        <v/>
      </c>
      <c r="J339" s="43" t="str">
        <f>IF(ISNUMBER(H339),IF(D339="卖",ROUND(H339*N('参数'!$C$14)+F339*N('参数'!$C$15),2),0),"")</f>
        <v/>
      </c>
      <c r="K339" s="23" t="n"/>
      <c r="L339" s="20" t="str">
        <f>IF(ISNUMBER(K339),K339,IF(ISNUMBER(H339),I339+J339,""))</f>
        <v/>
      </c>
      <c r="M339" s="48" t="str">
        <f>IF(AND(ISNUMBER(E339),ISNUMBER(G339),ISNUMBER(F339)),(E339-G339)*IF(D339="卖",-1,1)*F339,"")</f>
        <v/>
      </c>
      <c r="N339" s="49" t="str">
        <f>IF(A339="","",IFERROR(T(INDEX('交易记录'!$C$5:$C$304,MATCH(A339,'交易记录'!$A$5:$A$304,0))),"编号没找到"))</f>
        <v/>
      </c>
      <c r="O339" s="31" t="n"/>
    </row>
    <row r="340">
      <c r="A340" s="29" t="n"/>
      <c r="B340" s="30" t="n"/>
      <c r="C340" s="47" t="n"/>
      <c r="D340" s="32" t="n"/>
      <c r="E340" s="33" t="n"/>
      <c r="F340" s="36" t="n"/>
      <c r="G340" s="33" t="n"/>
      <c r="H340" s="20" t="str">
        <f>IF(AND(ISNUMBER(E340),ISNUMBER(F340)),E340*F340,"")</f>
        <v/>
      </c>
      <c r="I340" s="43" t="str">
        <f>IF(ISNUMBER(H340),ROUND(MAX(F340*'参数'!$C$11,'参数'!$C$12)+'参数'!$C$13,2),"")</f>
        <v/>
      </c>
      <c r="J340" s="43" t="str">
        <f>IF(ISNUMBER(H340),IF(D340="卖",ROUND(H340*N('参数'!$C$14)+F340*N('参数'!$C$15),2),0),"")</f>
        <v/>
      </c>
      <c r="K340" s="23" t="n"/>
      <c r="L340" s="20" t="str">
        <f>IF(ISNUMBER(K340),K340,IF(ISNUMBER(H340),I340+J340,""))</f>
        <v/>
      </c>
      <c r="M340" s="48" t="str">
        <f>IF(AND(ISNUMBER(E340),ISNUMBER(G340),ISNUMBER(F340)),(E340-G340)*IF(D340="卖",-1,1)*F340,"")</f>
        <v/>
      </c>
      <c r="N340" s="49" t="str">
        <f>IF(A340="","",IFERROR(T(INDEX('交易记录'!$C$5:$C$304,MATCH(A340,'交易记录'!$A$5:$A$304,0))),"编号没找到"))</f>
        <v/>
      </c>
      <c r="O340" s="31" t="n"/>
    </row>
    <row r="341">
      <c r="A341" s="29" t="n"/>
      <c r="B341" s="30" t="n"/>
      <c r="C341" s="47" t="n"/>
      <c r="D341" s="32" t="n"/>
      <c r="E341" s="33" t="n"/>
      <c r="F341" s="36" t="n"/>
      <c r="G341" s="33" t="n"/>
      <c r="H341" s="20" t="str">
        <f>IF(AND(ISNUMBER(E341),ISNUMBER(F341)),E341*F341,"")</f>
        <v/>
      </c>
      <c r="I341" s="43" t="str">
        <f>IF(ISNUMBER(H341),ROUND(MAX(F341*'参数'!$C$11,'参数'!$C$12)+'参数'!$C$13,2),"")</f>
        <v/>
      </c>
      <c r="J341" s="43" t="str">
        <f>IF(ISNUMBER(H341),IF(D341="卖",ROUND(H341*N('参数'!$C$14)+F341*N('参数'!$C$15),2),0),"")</f>
        <v/>
      </c>
      <c r="K341" s="23" t="n"/>
      <c r="L341" s="20" t="str">
        <f>IF(ISNUMBER(K341),K341,IF(ISNUMBER(H341),I341+J341,""))</f>
        <v/>
      </c>
      <c r="M341" s="48" t="str">
        <f>IF(AND(ISNUMBER(E341),ISNUMBER(G341),ISNUMBER(F341)),(E341-G341)*IF(D341="卖",-1,1)*F341,"")</f>
        <v/>
      </c>
      <c r="N341" s="49" t="str">
        <f>IF(A341="","",IFERROR(T(INDEX('交易记录'!$C$5:$C$304,MATCH(A341,'交易记录'!$A$5:$A$304,0))),"编号没找到"))</f>
        <v/>
      </c>
      <c r="O341" s="31" t="n"/>
    </row>
    <row r="342">
      <c r="A342" s="29" t="n"/>
      <c r="B342" s="30" t="n"/>
      <c r="C342" s="47" t="n"/>
      <c r="D342" s="32" t="n"/>
      <c r="E342" s="33" t="n"/>
      <c r="F342" s="36" t="n"/>
      <c r="G342" s="33" t="n"/>
      <c r="H342" s="20" t="str">
        <f>IF(AND(ISNUMBER(E342),ISNUMBER(F342)),E342*F342,"")</f>
        <v/>
      </c>
      <c r="I342" s="43" t="str">
        <f>IF(ISNUMBER(H342),ROUND(MAX(F342*'参数'!$C$11,'参数'!$C$12)+'参数'!$C$13,2),"")</f>
        <v/>
      </c>
      <c r="J342" s="43" t="str">
        <f>IF(ISNUMBER(H342),IF(D342="卖",ROUND(H342*N('参数'!$C$14)+F342*N('参数'!$C$15),2),0),"")</f>
        <v/>
      </c>
      <c r="K342" s="23" t="n"/>
      <c r="L342" s="20" t="str">
        <f>IF(ISNUMBER(K342),K342,IF(ISNUMBER(H342),I342+J342,""))</f>
        <v/>
      </c>
      <c r="M342" s="48" t="str">
        <f>IF(AND(ISNUMBER(E342),ISNUMBER(G342),ISNUMBER(F342)),(E342-G342)*IF(D342="卖",-1,1)*F342,"")</f>
        <v/>
      </c>
      <c r="N342" s="49" t="str">
        <f>IF(A342="","",IFERROR(T(INDEX('交易记录'!$C$5:$C$304,MATCH(A342,'交易记录'!$A$5:$A$304,0))),"编号没找到"))</f>
        <v/>
      </c>
      <c r="O342" s="31" t="n"/>
    </row>
    <row r="343">
      <c r="A343" s="29" t="n"/>
      <c r="B343" s="30" t="n"/>
      <c r="C343" s="47" t="n"/>
      <c r="D343" s="32" t="n"/>
      <c r="E343" s="33" t="n"/>
      <c r="F343" s="36" t="n"/>
      <c r="G343" s="33" t="n"/>
      <c r="H343" s="20" t="str">
        <f>IF(AND(ISNUMBER(E343),ISNUMBER(F343)),E343*F343,"")</f>
        <v/>
      </c>
      <c r="I343" s="43" t="str">
        <f>IF(ISNUMBER(H343),ROUND(MAX(F343*'参数'!$C$11,'参数'!$C$12)+'参数'!$C$13,2),"")</f>
        <v/>
      </c>
      <c r="J343" s="43" t="str">
        <f>IF(ISNUMBER(H343),IF(D343="卖",ROUND(H343*N('参数'!$C$14)+F343*N('参数'!$C$15),2),0),"")</f>
        <v/>
      </c>
      <c r="K343" s="23" t="n"/>
      <c r="L343" s="20" t="str">
        <f>IF(ISNUMBER(K343),K343,IF(ISNUMBER(H343),I343+J343,""))</f>
        <v/>
      </c>
      <c r="M343" s="48" t="str">
        <f>IF(AND(ISNUMBER(E343),ISNUMBER(G343),ISNUMBER(F343)),(E343-G343)*IF(D343="卖",-1,1)*F343,"")</f>
        <v/>
      </c>
      <c r="N343" s="49" t="str">
        <f>IF(A343="","",IFERROR(T(INDEX('交易记录'!$C$5:$C$304,MATCH(A343,'交易记录'!$A$5:$A$304,0))),"编号没找到"))</f>
        <v/>
      </c>
      <c r="O343" s="31" t="n"/>
    </row>
    <row r="344">
      <c r="A344" s="29" t="n"/>
      <c r="B344" s="30" t="n"/>
      <c r="C344" s="47" t="n"/>
      <c r="D344" s="32" t="n"/>
      <c r="E344" s="33" t="n"/>
      <c r="F344" s="36" t="n"/>
      <c r="G344" s="33" t="n"/>
      <c r="H344" s="20" t="str">
        <f>IF(AND(ISNUMBER(E344),ISNUMBER(F344)),E344*F344,"")</f>
        <v/>
      </c>
      <c r="I344" s="43" t="str">
        <f>IF(ISNUMBER(H344),ROUND(MAX(F344*'参数'!$C$11,'参数'!$C$12)+'参数'!$C$13,2),"")</f>
        <v/>
      </c>
      <c r="J344" s="43" t="str">
        <f>IF(ISNUMBER(H344),IF(D344="卖",ROUND(H344*N('参数'!$C$14)+F344*N('参数'!$C$15),2),0),"")</f>
        <v/>
      </c>
      <c r="K344" s="23" t="n"/>
      <c r="L344" s="20" t="str">
        <f>IF(ISNUMBER(K344),K344,IF(ISNUMBER(H344),I344+J344,""))</f>
        <v/>
      </c>
      <c r="M344" s="48" t="str">
        <f>IF(AND(ISNUMBER(E344),ISNUMBER(G344),ISNUMBER(F344)),(E344-G344)*IF(D344="卖",-1,1)*F344,"")</f>
        <v/>
      </c>
      <c r="N344" s="49" t="str">
        <f>IF(A344="","",IFERROR(T(INDEX('交易记录'!$C$5:$C$304,MATCH(A344,'交易记录'!$A$5:$A$304,0))),"编号没找到"))</f>
        <v/>
      </c>
      <c r="O344" s="31" t="n"/>
    </row>
    <row r="345">
      <c r="A345" s="29" t="n"/>
      <c r="B345" s="30" t="n"/>
      <c r="C345" s="47" t="n"/>
      <c r="D345" s="32" t="n"/>
      <c r="E345" s="33" t="n"/>
      <c r="F345" s="36" t="n"/>
      <c r="G345" s="33" t="n"/>
      <c r="H345" s="20" t="str">
        <f>IF(AND(ISNUMBER(E345),ISNUMBER(F345)),E345*F345,"")</f>
        <v/>
      </c>
      <c r="I345" s="43" t="str">
        <f>IF(ISNUMBER(H345),ROUND(MAX(F345*'参数'!$C$11,'参数'!$C$12)+'参数'!$C$13,2),"")</f>
        <v/>
      </c>
      <c r="J345" s="43" t="str">
        <f>IF(ISNUMBER(H345),IF(D345="卖",ROUND(H345*N('参数'!$C$14)+F345*N('参数'!$C$15),2),0),"")</f>
        <v/>
      </c>
      <c r="K345" s="23" t="n"/>
      <c r="L345" s="20" t="str">
        <f>IF(ISNUMBER(K345),K345,IF(ISNUMBER(H345),I345+J345,""))</f>
        <v/>
      </c>
      <c r="M345" s="48" t="str">
        <f>IF(AND(ISNUMBER(E345),ISNUMBER(G345),ISNUMBER(F345)),(E345-G345)*IF(D345="卖",-1,1)*F345,"")</f>
        <v/>
      </c>
      <c r="N345" s="49" t="str">
        <f>IF(A345="","",IFERROR(T(INDEX('交易记录'!$C$5:$C$304,MATCH(A345,'交易记录'!$A$5:$A$304,0))),"编号没找到"))</f>
        <v/>
      </c>
      <c r="O345" s="31" t="n"/>
    </row>
    <row r="346">
      <c r="A346" s="29" t="n"/>
      <c r="B346" s="30" t="n"/>
      <c r="C346" s="47" t="n"/>
      <c r="D346" s="32" t="n"/>
      <c r="E346" s="33" t="n"/>
      <c r="F346" s="36" t="n"/>
      <c r="G346" s="33" t="n"/>
      <c r="H346" s="20" t="str">
        <f>IF(AND(ISNUMBER(E346),ISNUMBER(F346)),E346*F346,"")</f>
        <v/>
      </c>
      <c r="I346" s="43" t="str">
        <f>IF(ISNUMBER(H346),ROUND(MAX(F346*'参数'!$C$11,'参数'!$C$12)+'参数'!$C$13,2),"")</f>
        <v/>
      </c>
      <c r="J346" s="43" t="str">
        <f>IF(ISNUMBER(H346),IF(D346="卖",ROUND(H346*N('参数'!$C$14)+F346*N('参数'!$C$15),2),0),"")</f>
        <v/>
      </c>
      <c r="K346" s="23" t="n"/>
      <c r="L346" s="20" t="str">
        <f>IF(ISNUMBER(K346),K346,IF(ISNUMBER(H346),I346+J346,""))</f>
        <v/>
      </c>
      <c r="M346" s="48" t="str">
        <f>IF(AND(ISNUMBER(E346),ISNUMBER(G346),ISNUMBER(F346)),(E346-G346)*IF(D346="卖",-1,1)*F346,"")</f>
        <v/>
      </c>
      <c r="N346" s="49" t="str">
        <f>IF(A346="","",IFERROR(T(INDEX('交易记录'!$C$5:$C$304,MATCH(A346,'交易记录'!$A$5:$A$304,0))),"编号没找到"))</f>
        <v/>
      </c>
      <c r="O346" s="31" t="n"/>
    </row>
    <row r="347">
      <c r="A347" s="29" t="n"/>
      <c r="B347" s="30" t="n"/>
      <c r="C347" s="47" t="n"/>
      <c r="D347" s="32" t="n"/>
      <c r="E347" s="33" t="n"/>
      <c r="F347" s="36" t="n"/>
      <c r="G347" s="33" t="n"/>
      <c r="H347" s="20" t="str">
        <f>IF(AND(ISNUMBER(E347),ISNUMBER(F347)),E347*F347,"")</f>
        <v/>
      </c>
      <c r="I347" s="43" t="str">
        <f>IF(ISNUMBER(H347),ROUND(MAX(F347*'参数'!$C$11,'参数'!$C$12)+'参数'!$C$13,2),"")</f>
        <v/>
      </c>
      <c r="J347" s="43" t="str">
        <f>IF(ISNUMBER(H347),IF(D347="卖",ROUND(H347*N('参数'!$C$14)+F347*N('参数'!$C$15),2),0),"")</f>
        <v/>
      </c>
      <c r="K347" s="23" t="n"/>
      <c r="L347" s="20" t="str">
        <f>IF(ISNUMBER(K347),K347,IF(ISNUMBER(H347),I347+J347,""))</f>
        <v/>
      </c>
      <c r="M347" s="48" t="str">
        <f>IF(AND(ISNUMBER(E347),ISNUMBER(G347),ISNUMBER(F347)),(E347-G347)*IF(D347="卖",-1,1)*F347,"")</f>
        <v/>
      </c>
      <c r="N347" s="49" t="str">
        <f>IF(A347="","",IFERROR(T(INDEX('交易记录'!$C$5:$C$304,MATCH(A347,'交易记录'!$A$5:$A$304,0))),"编号没找到"))</f>
        <v/>
      </c>
      <c r="O347" s="31" t="n"/>
    </row>
    <row r="348">
      <c r="A348" s="29" t="n"/>
      <c r="B348" s="30" t="n"/>
      <c r="C348" s="47" t="n"/>
      <c r="D348" s="32" t="n"/>
      <c r="E348" s="33" t="n"/>
      <c r="F348" s="36" t="n"/>
      <c r="G348" s="33" t="n"/>
      <c r="H348" s="20" t="str">
        <f>IF(AND(ISNUMBER(E348),ISNUMBER(F348)),E348*F348,"")</f>
        <v/>
      </c>
      <c r="I348" s="43" t="str">
        <f>IF(ISNUMBER(H348),ROUND(MAX(F348*'参数'!$C$11,'参数'!$C$12)+'参数'!$C$13,2),"")</f>
        <v/>
      </c>
      <c r="J348" s="43" t="str">
        <f>IF(ISNUMBER(H348),IF(D348="卖",ROUND(H348*N('参数'!$C$14)+F348*N('参数'!$C$15),2),0),"")</f>
        <v/>
      </c>
      <c r="K348" s="23" t="n"/>
      <c r="L348" s="20" t="str">
        <f>IF(ISNUMBER(K348),K348,IF(ISNUMBER(H348),I348+J348,""))</f>
        <v/>
      </c>
      <c r="M348" s="48" t="str">
        <f>IF(AND(ISNUMBER(E348),ISNUMBER(G348),ISNUMBER(F348)),(E348-G348)*IF(D348="卖",-1,1)*F348,"")</f>
        <v/>
      </c>
      <c r="N348" s="49" t="str">
        <f>IF(A348="","",IFERROR(T(INDEX('交易记录'!$C$5:$C$304,MATCH(A348,'交易记录'!$A$5:$A$304,0))),"编号没找到"))</f>
        <v/>
      </c>
      <c r="O348" s="31" t="n"/>
    </row>
    <row r="349">
      <c r="A349" s="29" t="n"/>
      <c r="B349" s="30" t="n"/>
      <c r="C349" s="47" t="n"/>
      <c r="D349" s="32" t="n"/>
      <c r="E349" s="33" t="n"/>
      <c r="F349" s="36" t="n"/>
      <c r="G349" s="33" t="n"/>
      <c r="H349" s="20" t="str">
        <f>IF(AND(ISNUMBER(E349),ISNUMBER(F349)),E349*F349,"")</f>
        <v/>
      </c>
      <c r="I349" s="43" t="str">
        <f>IF(ISNUMBER(H349),ROUND(MAX(F349*'参数'!$C$11,'参数'!$C$12)+'参数'!$C$13,2),"")</f>
        <v/>
      </c>
      <c r="J349" s="43" t="str">
        <f>IF(ISNUMBER(H349),IF(D349="卖",ROUND(H349*N('参数'!$C$14)+F349*N('参数'!$C$15),2),0),"")</f>
        <v/>
      </c>
      <c r="K349" s="23" t="n"/>
      <c r="L349" s="20" t="str">
        <f>IF(ISNUMBER(K349),K349,IF(ISNUMBER(H349),I349+J349,""))</f>
        <v/>
      </c>
      <c r="M349" s="48" t="str">
        <f>IF(AND(ISNUMBER(E349),ISNUMBER(G349),ISNUMBER(F349)),(E349-G349)*IF(D349="卖",-1,1)*F349,"")</f>
        <v/>
      </c>
      <c r="N349" s="49" t="str">
        <f>IF(A349="","",IFERROR(T(INDEX('交易记录'!$C$5:$C$304,MATCH(A349,'交易记录'!$A$5:$A$304,0))),"编号没找到"))</f>
        <v/>
      </c>
      <c r="O349" s="31" t="n"/>
    </row>
    <row r="350">
      <c r="A350" s="29" t="n"/>
      <c r="B350" s="30" t="n"/>
      <c r="C350" s="47" t="n"/>
      <c r="D350" s="32" t="n"/>
      <c r="E350" s="33" t="n"/>
      <c r="F350" s="36" t="n"/>
      <c r="G350" s="33" t="n"/>
      <c r="H350" s="20" t="str">
        <f>IF(AND(ISNUMBER(E350),ISNUMBER(F350)),E350*F350,"")</f>
        <v/>
      </c>
      <c r="I350" s="43" t="str">
        <f>IF(ISNUMBER(H350),ROUND(MAX(F350*'参数'!$C$11,'参数'!$C$12)+'参数'!$C$13,2),"")</f>
        <v/>
      </c>
      <c r="J350" s="43" t="str">
        <f>IF(ISNUMBER(H350),IF(D350="卖",ROUND(H350*N('参数'!$C$14)+F350*N('参数'!$C$15),2),0),"")</f>
        <v/>
      </c>
      <c r="K350" s="23" t="n"/>
      <c r="L350" s="20" t="str">
        <f>IF(ISNUMBER(K350),K350,IF(ISNUMBER(H350),I350+J350,""))</f>
        <v/>
      </c>
      <c r="M350" s="48" t="str">
        <f>IF(AND(ISNUMBER(E350),ISNUMBER(G350),ISNUMBER(F350)),(E350-G350)*IF(D350="卖",-1,1)*F350,"")</f>
        <v/>
      </c>
      <c r="N350" s="49" t="str">
        <f>IF(A350="","",IFERROR(T(INDEX('交易记录'!$C$5:$C$304,MATCH(A350,'交易记录'!$A$5:$A$304,0))),"编号没找到"))</f>
        <v/>
      </c>
      <c r="O350" s="31" t="n"/>
    </row>
    <row r="351">
      <c r="A351" s="29" t="n"/>
      <c r="B351" s="30" t="n"/>
      <c r="C351" s="47" t="n"/>
      <c r="D351" s="32" t="n"/>
      <c r="E351" s="33" t="n"/>
      <c r="F351" s="36" t="n"/>
      <c r="G351" s="33" t="n"/>
      <c r="H351" s="20" t="str">
        <f>IF(AND(ISNUMBER(E351),ISNUMBER(F351)),E351*F351,"")</f>
        <v/>
      </c>
      <c r="I351" s="43" t="str">
        <f>IF(ISNUMBER(H351),ROUND(MAX(F351*'参数'!$C$11,'参数'!$C$12)+'参数'!$C$13,2),"")</f>
        <v/>
      </c>
      <c r="J351" s="43" t="str">
        <f>IF(ISNUMBER(H351),IF(D351="卖",ROUND(H351*N('参数'!$C$14)+F351*N('参数'!$C$15),2),0),"")</f>
        <v/>
      </c>
      <c r="K351" s="23" t="n"/>
      <c r="L351" s="20" t="str">
        <f>IF(ISNUMBER(K351),K351,IF(ISNUMBER(H351),I351+J351,""))</f>
        <v/>
      </c>
      <c r="M351" s="48" t="str">
        <f>IF(AND(ISNUMBER(E351),ISNUMBER(G351),ISNUMBER(F351)),(E351-G351)*IF(D351="卖",-1,1)*F351,"")</f>
        <v/>
      </c>
      <c r="N351" s="49" t="str">
        <f>IF(A351="","",IFERROR(T(INDEX('交易记录'!$C$5:$C$304,MATCH(A351,'交易记录'!$A$5:$A$304,0))),"编号没找到"))</f>
        <v/>
      </c>
      <c r="O351" s="31" t="n"/>
    </row>
    <row r="352">
      <c r="A352" s="29" t="n"/>
      <c r="B352" s="30" t="n"/>
      <c r="C352" s="47" t="n"/>
      <c r="D352" s="32" t="n"/>
      <c r="E352" s="33" t="n"/>
      <c r="F352" s="36" t="n"/>
      <c r="G352" s="33" t="n"/>
      <c r="H352" s="20" t="str">
        <f>IF(AND(ISNUMBER(E352),ISNUMBER(F352)),E352*F352,"")</f>
        <v/>
      </c>
      <c r="I352" s="43" t="str">
        <f>IF(ISNUMBER(H352),ROUND(MAX(F352*'参数'!$C$11,'参数'!$C$12)+'参数'!$C$13,2),"")</f>
        <v/>
      </c>
      <c r="J352" s="43" t="str">
        <f>IF(ISNUMBER(H352),IF(D352="卖",ROUND(H352*N('参数'!$C$14)+F352*N('参数'!$C$15),2),0),"")</f>
        <v/>
      </c>
      <c r="K352" s="23" t="n"/>
      <c r="L352" s="20" t="str">
        <f>IF(ISNUMBER(K352),K352,IF(ISNUMBER(H352),I352+J352,""))</f>
        <v/>
      </c>
      <c r="M352" s="48" t="str">
        <f>IF(AND(ISNUMBER(E352),ISNUMBER(G352),ISNUMBER(F352)),(E352-G352)*IF(D352="卖",-1,1)*F352,"")</f>
        <v/>
      </c>
      <c r="N352" s="49" t="str">
        <f>IF(A352="","",IFERROR(T(INDEX('交易记录'!$C$5:$C$304,MATCH(A352,'交易记录'!$A$5:$A$304,0))),"编号没找到"))</f>
        <v/>
      </c>
      <c r="O352" s="31" t="n"/>
    </row>
    <row r="353">
      <c r="A353" s="29" t="n"/>
      <c r="B353" s="30" t="n"/>
      <c r="C353" s="47" t="n"/>
      <c r="D353" s="32" t="n"/>
      <c r="E353" s="33" t="n"/>
      <c r="F353" s="36" t="n"/>
      <c r="G353" s="33" t="n"/>
      <c r="H353" s="20" t="str">
        <f>IF(AND(ISNUMBER(E353),ISNUMBER(F353)),E353*F353,"")</f>
        <v/>
      </c>
      <c r="I353" s="43" t="str">
        <f>IF(ISNUMBER(H353),ROUND(MAX(F353*'参数'!$C$11,'参数'!$C$12)+'参数'!$C$13,2),"")</f>
        <v/>
      </c>
      <c r="J353" s="43" t="str">
        <f>IF(ISNUMBER(H353),IF(D353="卖",ROUND(H353*N('参数'!$C$14)+F353*N('参数'!$C$15),2),0),"")</f>
        <v/>
      </c>
      <c r="K353" s="23" t="n"/>
      <c r="L353" s="20" t="str">
        <f>IF(ISNUMBER(K353),K353,IF(ISNUMBER(H353),I353+J353,""))</f>
        <v/>
      </c>
      <c r="M353" s="48" t="str">
        <f>IF(AND(ISNUMBER(E353),ISNUMBER(G353),ISNUMBER(F353)),(E353-G353)*IF(D353="卖",-1,1)*F353,"")</f>
        <v/>
      </c>
      <c r="N353" s="49" t="str">
        <f>IF(A353="","",IFERROR(T(INDEX('交易记录'!$C$5:$C$304,MATCH(A353,'交易记录'!$A$5:$A$304,0))),"编号没找到"))</f>
        <v/>
      </c>
      <c r="O353" s="31" t="n"/>
    </row>
    <row r="354">
      <c r="A354" s="29" t="n"/>
      <c r="B354" s="30" t="n"/>
      <c r="C354" s="47" t="n"/>
      <c r="D354" s="32" t="n"/>
      <c r="E354" s="33" t="n"/>
      <c r="F354" s="36" t="n"/>
      <c r="G354" s="33" t="n"/>
      <c r="H354" s="20" t="str">
        <f>IF(AND(ISNUMBER(E354),ISNUMBER(F354)),E354*F354,"")</f>
        <v/>
      </c>
      <c r="I354" s="43" t="str">
        <f>IF(ISNUMBER(H354),ROUND(MAX(F354*'参数'!$C$11,'参数'!$C$12)+'参数'!$C$13,2),"")</f>
        <v/>
      </c>
      <c r="J354" s="43" t="str">
        <f>IF(ISNUMBER(H354),IF(D354="卖",ROUND(H354*N('参数'!$C$14)+F354*N('参数'!$C$15),2),0),"")</f>
        <v/>
      </c>
      <c r="K354" s="23" t="n"/>
      <c r="L354" s="20" t="str">
        <f>IF(ISNUMBER(K354),K354,IF(ISNUMBER(H354),I354+J354,""))</f>
        <v/>
      </c>
      <c r="M354" s="48" t="str">
        <f>IF(AND(ISNUMBER(E354),ISNUMBER(G354),ISNUMBER(F354)),(E354-G354)*IF(D354="卖",-1,1)*F354,"")</f>
        <v/>
      </c>
      <c r="N354" s="49" t="str">
        <f>IF(A354="","",IFERROR(T(INDEX('交易记录'!$C$5:$C$304,MATCH(A354,'交易记录'!$A$5:$A$304,0))),"编号没找到"))</f>
        <v/>
      </c>
      <c r="O354" s="31" t="n"/>
    </row>
    <row r="355">
      <c r="A355" s="29" t="n"/>
      <c r="B355" s="30" t="n"/>
      <c r="C355" s="47" t="n"/>
      <c r="D355" s="32" t="n"/>
      <c r="E355" s="33" t="n"/>
      <c r="F355" s="36" t="n"/>
      <c r="G355" s="33" t="n"/>
      <c r="H355" s="20" t="str">
        <f>IF(AND(ISNUMBER(E355),ISNUMBER(F355)),E355*F355,"")</f>
        <v/>
      </c>
      <c r="I355" s="43" t="str">
        <f>IF(ISNUMBER(H355),ROUND(MAX(F355*'参数'!$C$11,'参数'!$C$12)+'参数'!$C$13,2),"")</f>
        <v/>
      </c>
      <c r="J355" s="43" t="str">
        <f>IF(ISNUMBER(H355),IF(D355="卖",ROUND(H355*N('参数'!$C$14)+F355*N('参数'!$C$15),2),0),"")</f>
        <v/>
      </c>
      <c r="K355" s="23" t="n"/>
      <c r="L355" s="20" t="str">
        <f>IF(ISNUMBER(K355),K355,IF(ISNUMBER(H355),I355+J355,""))</f>
        <v/>
      </c>
      <c r="M355" s="48" t="str">
        <f>IF(AND(ISNUMBER(E355),ISNUMBER(G355),ISNUMBER(F355)),(E355-G355)*IF(D355="卖",-1,1)*F355,"")</f>
        <v/>
      </c>
      <c r="N355" s="49" t="str">
        <f>IF(A355="","",IFERROR(T(INDEX('交易记录'!$C$5:$C$304,MATCH(A355,'交易记录'!$A$5:$A$304,0))),"编号没找到"))</f>
        <v/>
      </c>
      <c r="O355" s="31" t="n"/>
    </row>
    <row r="356">
      <c r="A356" s="29" t="n"/>
      <c r="B356" s="30" t="n"/>
      <c r="C356" s="47" t="n"/>
      <c r="D356" s="32" t="n"/>
      <c r="E356" s="33" t="n"/>
      <c r="F356" s="36" t="n"/>
      <c r="G356" s="33" t="n"/>
      <c r="H356" s="20" t="str">
        <f>IF(AND(ISNUMBER(E356),ISNUMBER(F356)),E356*F356,"")</f>
        <v/>
      </c>
      <c r="I356" s="43" t="str">
        <f>IF(ISNUMBER(H356),ROUND(MAX(F356*'参数'!$C$11,'参数'!$C$12)+'参数'!$C$13,2),"")</f>
        <v/>
      </c>
      <c r="J356" s="43" t="str">
        <f>IF(ISNUMBER(H356),IF(D356="卖",ROUND(H356*N('参数'!$C$14)+F356*N('参数'!$C$15),2),0),"")</f>
        <v/>
      </c>
      <c r="K356" s="23" t="n"/>
      <c r="L356" s="20" t="str">
        <f>IF(ISNUMBER(K356),K356,IF(ISNUMBER(H356),I356+J356,""))</f>
        <v/>
      </c>
      <c r="M356" s="48" t="str">
        <f>IF(AND(ISNUMBER(E356),ISNUMBER(G356),ISNUMBER(F356)),(E356-G356)*IF(D356="卖",-1,1)*F356,"")</f>
        <v/>
      </c>
      <c r="N356" s="49" t="str">
        <f>IF(A356="","",IFERROR(T(INDEX('交易记录'!$C$5:$C$304,MATCH(A356,'交易记录'!$A$5:$A$304,0))),"编号没找到"))</f>
        <v/>
      </c>
      <c r="O356" s="31" t="n"/>
    </row>
    <row r="357">
      <c r="A357" s="29" t="n"/>
      <c r="B357" s="30" t="n"/>
      <c r="C357" s="47" t="n"/>
      <c r="D357" s="32" t="n"/>
      <c r="E357" s="33" t="n"/>
      <c r="F357" s="36" t="n"/>
      <c r="G357" s="33" t="n"/>
      <c r="H357" s="20" t="str">
        <f>IF(AND(ISNUMBER(E357),ISNUMBER(F357)),E357*F357,"")</f>
        <v/>
      </c>
      <c r="I357" s="43" t="str">
        <f>IF(ISNUMBER(H357),ROUND(MAX(F357*'参数'!$C$11,'参数'!$C$12)+'参数'!$C$13,2),"")</f>
        <v/>
      </c>
      <c r="J357" s="43" t="str">
        <f>IF(ISNUMBER(H357),IF(D357="卖",ROUND(H357*N('参数'!$C$14)+F357*N('参数'!$C$15),2),0),"")</f>
        <v/>
      </c>
      <c r="K357" s="23" t="n"/>
      <c r="L357" s="20" t="str">
        <f>IF(ISNUMBER(K357),K357,IF(ISNUMBER(H357),I357+J357,""))</f>
        <v/>
      </c>
      <c r="M357" s="48" t="str">
        <f>IF(AND(ISNUMBER(E357),ISNUMBER(G357),ISNUMBER(F357)),(E357-G357)*IF(D357="卖",-1,1)*F357,"")</f>
        <v/>
      </c>
      <c r="N357" s="49" t="str">
        <f>IF(A357="","",IFERROR(T(INDEX('交易记录'!$C$5:$C$304,MATCH(A357,'交易记录'!$A$5:$A$304,0))),"编号没找到"))</f>
        <v/>
      </c>
      <c r="O357" s="31" t="n"/>
    </row>
    <row r="358">
      <c r="A358" s="29" t="n"/>
      <c r="B358" s="30" t="n"/>
      <c r="C358" s="47" t="n"/>
      <c r="D358" s="32" t="n"/>
      <c r="E358" s="33" t="n"/>
      <c r="F358" s="36" t="n"/>
      <c r="G358" s="33" t="n"/>
      <c r="H358" s="20" t="str">
        <f>IF(AND(ISNUMBER(E358),ISNUMBER(F358)),E358*F358,"")</f>
        <v/>
      </c>
      <c r="I358" s="43" t="str">
        <f>IF(ISNUMBER(H358),ROUND(MAX(F358*'参数'!$C$11,'参数'!$C$12)+'参数'!$C$13,2),"")</f>
        <v/>
      </c>
      <c r="J358" s="43" t="str">
        <f>IF(ISNUMBER(H358),IF(D358="卖",ROUND(H358*N('参数'!$C$14)+F358*N('参数'!$C$15),2),0),"")</f>
        <v/>
      </c>
      <c r="K358" s="23" t="n"/>
      <c r="L358" s="20" t="str">
        <f>IF(ISNUMBER(K358),K358,IF(ISNUMBER(H358),I358+J358,""))</f>
        <v/>
      </c>
      <c r="M358" s="48" t="str">
        <f>IF(AND(ISNUMBER(E358),ISNUMBER(G358),ISNUMBER(F358)),(E358-G358)*IF(D358="卖",-1,1)*F358,"")</f>
        <v/>
      </c>
      <c r="N358" s="49" t="str">
        <f>IF(A358="","",IFERROR(T(INDEX('交易记录'!$C$5:$C$304,MATCH(A358,'交易记录'!$A$5:$A$304,0))),"编号没找到"))</f>
        <v/>
      </c>
      <c r="O358" s="31" t="n"/>
    </row>
    <row r="359">
      <c r="A359" s="29" t="n"/>
      <c r="B359" s="30" t="n"/>
      <c r="C359" s="47" t="n"/>
      <c r="D359" s="32" t="n"/>
      <c r="E359" s="33" t="n"/>
      <c r="F359" s="36" t="n"/>
      <c r="G359" s="33" t="n"/>
      <c r="H359" s="20" t="str">
        <f>IF(AND(ISNUMBER(E359),ISNUMBER(F359)),E359*F359,"")</f>
        <v/>
      </c>
      <c r="I359" s="43" t="str">
        <f>IF(ISNUMBER(H359),ROUND(MAX(F359*'参数'!$C$11,'参数'!$C$12)+'参数'!$C$13,2),"")</f>
        <v/>
      </c>
      <c r="J359" s="43" t="str">
        <f>IF(ISNUMBER(H359),IF(D359="卖",ROUND(H359*N('参数'!$C$14)+F359*N('参数'!$C$15),2),0),"")</f>
        <v/>
      </c>
      <c r="K359" s="23" t="n"/>
      <c r="L359" s="20" t="str">
        <f>IF(ISNUMBER(K359),K359,IF(ISNUMBER(H359),I359+J359,""))</f>
        <v/>
      </c>
      <c r="M359" s="48" t="str">
        <f>IF(AND(ISNUMBER(E359),ISNUMBER(G359),ISNUMBER(F359)),(E359-G359)*IF(D359="卖",-1,1)*F359,"")</f>
        <v/>
      </c>
      <c r="N359" s="49" t="str">
        <f>IF(A359="","",IFERROR(T(INDEX('交易记录'!$C$5:$C$304,MATCH(A359,'交易记录'!$A$5:$A$304,0))),"编号没找到"))</f>
        <v/>
      </c>
      <c r="O359" s="31" t="n"/>
    </row>
    <row r="360">
      <c r="A360" s="29" t="n"/>
      <c r="B360" s="30" t="n"/>
      <c r="C360" s="47" t="n"/>
      <c r="D360" s="32" t="n"/>
      <c r="E360" s="33" t="n"/>
      <c r="F360" s="36" t="n"/>
      <c r="G360" s="33" t="n"/>
      <c r="H360" s="20" t="str">
        <f>IF(AND(ISNUMBER(E360),ISNUMBER(F360)),E360*F360,"")</f>
        <v/>
      </c>
      <c r="I360" s="43" t="str">
        <f>IF(ISNUMBER(H360),ROUND(MAX(F360*'参数'!$C$11,'参数'!$C$12)+'参数'!$C$13,2),"")</f>
        <v/>
      </c>
      <c r="J360" s="43" t="str">
        <f>IF(ISNUMBER(H360),IF(D360="卖",ROUND(H360*N('参数'!$C$14)+F360*N('参数'!$C$15),2),0),"")</f>
        <v/>
      </c>
      <c r="K360" s="23" t="n"/>
      <c r="L360" s="20" t="str">
        <f>IF(ISNUMBER(K360),K360,IF(ISNUMBER(H360),I360+J360,""))</f>
        <v/>
      </c>
      <c r="M360" s="48" t="str">
        <f>IF(AND(ISNUMBER(E360),ISNUMBER(G360),ISNUMBER(F360)),(E360-G360)*IF(D360="卖",-1,1)*F360,"")</f>
        <v/>
      </c>
      <c r="N360" s="49" t="str">
        <f>IF(A360="","",IFERROR(T(INDEX('交易记录'!$C$5:$C$304,MATCH(A360,'交易记录'!$A$5:$A$304,0))),"编号没找到"))</f>
        <v/>
      </c>
      <c r="O360" s="31" t="n"/>
    </row>
    <row r="361">
      <c r="A361" s="29" t="n"/>
      <c r="B361" s="30" t="n"/>
      <c r="C361" s="47" t="n"/>
      <c r="D361" s="32" t="n"/>
      <c r="E361" s="33" t="n"/>
      <c r="F361" s="36" t="n"/>
      <c r="G361" s="33" t="n"/>
      <c r="H361" s="20" t="str">
        <f>IF(AND(ISNUMBER(E361),ISNUMBER(F361)),E361*F361,"")</f>
        <v/>
      </c>
      <c r="I361" s="43" t="str">
        <f>IF(ISNUMBER(H361),ROUND(MAX(F361*'参数'!$C$11,'参数'!$C$12)+'参数'!$C$13,2),"")</f>
        <v/>
      </c>
      <c r="J361" s="43" t="str">
        <f>IF(ISNUMBER(H361),IF(D361="卖",ROUND(H361*N('参数'!$C$14)+F361*N('参数'!$C$15),2),0),"")</f>
        <v/>
      </c>
      <c r="K361" s="23" t="n"/>
      <c r="L361" s="20" t="str">
        <f>IF(ISNUMBER(K361),K361,IF(ISNUMBER(H361),I361+J361,""))</f>
        <v/>
      </c>
      <c r="M361" s="48" t="str">
        <f>IF(AND(ISNUMBER(E361),ISNUMBER(G361),ISNUMBER(F361)),(E361-G361)*IF(D361="卖",-1,1)*F361,"")</f>
        <v/>
      </c>
      <c r="N361" s="49" t="str">
        <f>IF(A361="","",IFERROR(T(INDEX('交易记录'!$C$5:$C$304,MATCH(A361,'交易记录'!$A$5:$A$304,0))),"编号没找到"))</f>
        <v/>
      </c>
      <c r="O361" s="31" t="n"/>
    </row>
    <row r="362">
      <c r="A362" s="29" t="n"/>
      <c r="B362" s="30" t="n"/>
      <c r="C362" s="47" t="n"/>
      <c r="D362" s="32" t="n"/>
      <c r="E362" s="33" t="n"/>
      <c r="F362" s="36" t="n"/>
      <c r="G362" s="33" t="n"/>
      <c r="H362" s="20" t="str">
        <f>IF(AND(ISNUMBER(E362),ISNUMBER(F362)),E362*F362,"")</f>
        <v/>
      </c>
      <c r="I362" s="43" t="str">
        <f>IF(ISNUMBER(H362),ROUND(MAX(F362*'参数'!$C$11,'参数'!$C$12)+'参数'!$C$13,2),"")</f>
        <v/>
      </c>
      <c r="J362" s="43" t="str">
        <f>IF(ISNUMBER(H362),IF(D362="卖",ROUND(H362*N('参数'!$C$14)+F362*N('参数'!$C$15),2),0),"")</f>
        <v/>
      </c>
      <c r="K362" s="23" t="n"/>
      <c r="L362" s="20" t="str">
        <f>IF(ISNUMBER(K362),K362,IF(ISNUMBER(H362),I362+J362,""))</f>
        <v/>
      </c>
      <c r="M362" s="48" t="str">
        <f>IF(AND(ISNUMBER(E362),ISNUMBER(G362),ISNUMBER(F362)),(E362-G362)*IF(D362="卖",-1,1)*F362,"")</f>
        <v/>
      </c>
      <c r="N362" s="49" t="str">
        <f>IF(A362="","",IFERROR(T(INDEX('交易记录'!$C$5:$C$304,MATCH(A362,'交易记录'!$A$5:$A$304,0))),"编号没找到"))</f>
        <v/>
      </c>
      <c r="O362" s="31" t="n"/>
    </row>
    <row r="363">
      <c r="A363" s="29" t="n"/>
      <c r="B363" s="30" t="n"/>
      <c r="C363" s="47" t="n"/>
      <c r="D363" s="32" t="n"/>
      <c r="E363" s="33" t="n"/>
      <c r="F363" s="36" t="n"/>
      <c r="G363" s="33" t="n"/>
      <c r="H363" s="20" t="str">
        <f>IF(AND(ISNUMBER(E363),ISNUMBER(F363)),E363*F363,"")</f>
        <v/>
      </c>
      <c r="I363" s="43" t="str">
        <f>IF(ISNUMBER(H363),ROUND(MAX(F363*'参数'!$C$11,'参数'!$C$12)+'参数'!$C$13,2),"")</f>
        <v/>
      </c>
      <c r="J363" s="43" t="str">
        <f>IF(ISNUMBER(H363),IF(D363="卖",ROUND(H363*N('参数'!$C$14)+F363*N('参数'!$C$15),2),0),"")</f>
        <v/>
      </c>
      <c r="K363" s="23" t="n"/>
      <c r="L363" s="20" t="str">
        <f>IF(ISNUMBER(K363),K363,IF(ISNUMBER(H363),I363+J363,""))</f>
        <v/>
      </c>
      <c r="M363" s="48" t="str">
        <f>IF(AND(ISNUMBER(E363),ISNUMBER(G363),ISNUMBER(F363)),(E363-G363)*IF(D363="卖",-1,1)*F363,"")</f>
        <v/>
      </c>
      <c r="N363" s="49" t="str">
        <f>IF(A363="","",IFERROR(T(INDEX('交易记录'!$C$5:$C$304,MATCH(A363,'交易记录'!$A$5:$A$304,0))),"编号没找到"))</f>
        <v/>
      </c>
      <c r="O363" s="31" t="n"/>
    </row>
    <row r="364">
      <c r="A364" s="29" t="n"/>
      <c r="B364" s="30" t="n"/>
      <c r="C364" s="47" t="n"/>
      <c r="D364" s="32" t="n"/>
      <c r="E364" s="33" t="n"/>
      <c r="F364" s="36" t="n"/>
      <c r="G364" s="33" t="n"/>
      <c r="H364" s="20" t="str">
        <f>IF(AND(ISNUMBER(E364),ISNUMBER(F364)),E364*F364,"")</f>
        <v/>
      </c>
      <c r="I364" s="43" t="str">
        <f>IF(ISNUMBER(H364),ROUND(MAX(F364*'参数'!$C$11,'参数'!$C$12)+'参数'!$C$13,2),"")</f>
        <v/>
      </c>
      <c r="J364" s="43" t="str">
        <f>IF(ISNUMBER(H364),IF(D364="卖",ROUND(H364*N('参数'!$C$14)+F364*N('参数'!$C$15),2),0),"")</f>
        <v/>
      </c>
      <c r="K364" s="23" t="n"/>
      <c r="L364" s="20" t="str">
        <f>IF(ISNUMBER(K364),K364,IF(ISNUMBER(H364),I364+J364,""))</f>
        <v/>
      </c>
      <c r="M364" s="48" t="str">
        <f>IF(AND(ISNUMBER(E364),ISNUMBER(G364),ISNUMBER(F364)),(E364-G364)*IF(D364="卖",-1,1)*F364,"")</f>
        <v/>
      </c>
      <c r="N364" s="49" t="str">
        <f>IF(A364="","",IFERROR(T(INDEX('交易记录'!$C$5:$C$304,MATCH(A364,'交易记录'!$A$5:$A$304,0))),"编号没找到"))</f>
        <v/>
      </c>
      <c r="O364" s="31" t="n"/>
    </row>
    <row r="365">
      <c r="A365" s="29" t="n"/>
      <c r="B365" s="30" t="n"/>
      <c r="C365" s="47" t="n"/>
      <c r="D365" s="32" t="n"/>
      <c r="E365" s="33" t="n"/>
      <c r="F365" s="36" t="n"/>
      <c r="G365" s="33" t="n"/>
      <c r="H365" s="20" t="str">
        <f>IF(AND(ISNUMBER(E365),ISNUMBER(F365)),E365*F365,"")</f>
        <v/>
      </c>
      <c r="I365" s="43" t="str">
        <f>IF(ISNUMBER(H365),ROUND(MAX(F365*'参数'!$C$11,'参数'!$C$12)+'参数'!$C$13,2),"")</f>
        <v/>
      </c>
      <c r="J365" s="43" t="str">
        <f>IF(ISNUMBER(H365),IF(D365="卖",ROUND(H365*N('参数'!$C$14)+F365*N('参数'!$C$15),2),0),"")</f>
        <v/>
      </c>
      <c r="K365" s="23" t="n"/>
      <c r="L365" s="20" t="str">
        <f>IF(ISNUMBER(K365),K365,IF(ISNUMBER(H365),I365+J365,""))</f>
        <v/>
      </c>
      <c r="M365" s="48" t="str">
        <f>IF(AND(ISNUMBER(E365),ISNUMBER(G365),ISNUMBER(F365)),(E365-G365)*IF(D365="卖",-1,1)*F365,"")</f>
        <v/>
      </c>
      <c r="N365" s="49" t="str">
        <f>IF(A365="","",IFERROR(T(INDEX('交易记录'!$C$5:$C$304,MATCH(A365,'交易记录'!$A$5:$A$304,0))),"编号没找到"))</f>
        <v/>
      </c>
      <c r="O365" s="31" t="n"/>
    </row>
    <row r="366">
      <c r="A366" s="29" t="n"/>
      <c r="B366" s="30" t="n"/>
      <c r="C366" s="47" t="n"/>
      <c r="D366" s="32" t="n"/>
      <c r="E366" s="33" t="n"/>
      <c r="F366" s="36" t="n"/>
      <c r="G366" s="33" t="n"/>
      <c r="H366" s="20" t="str">
        <f>IF(AND(ISNUMBER(E366),ISNUMBER(F366)),E366*F366,"")</f>
        <v/>
      </c>
      <c r="I366" s="43" t="str">
        <f>IF(ISNUMBER(H366),ROUND(MAX(F366*'参数'!$C$11,'参数'!$C$12)+'参数'!$C$13,2),"")</f>
        <v/>
      </c>
      <c r="J366" s="43" t="str">
        <f>IF(ISNUMBER(H366),IF(D366="卖",ROUND(H366*N('参数'!$C$14)+F366*N('参数'!$C$15),2),0),"")</f>
        <v/>
      </c>
      <c r="K366" s="23" t="n"/>
      <c r="L366" s="20" t="str">
        <f>IF(ISNUMBER(K366),K366,IF(ISNUMBER(H366),I366+J366,""))</f>
        <v/>
      </c>
      <c r="M366" s="48" t="str">
        <f>IF(AND(ISNUMBER(E366),ISNUMBER(G366),ISNUMBER(F366)),(E366-G366)*IF(D366="卖",-1,1)*F366,"")</f>
        <v/>
      </c>
      <c r="N366" s="49" t="str">
        <f>IF(A366="","",IFERROR(T(INDEX('交易记录'!$C$5:$C$304,MATCH(A366,'交易记录'!$A$5:$A$304,0))),"编号没找到"))</f>
        <v/>
      </c>
      <c r="O366" s="31" t="n"/>
    </row>
    <row r="367">
      <c r="A367" s="29" t="n"/>
      <c r="B367" s="30" t="n"/>
      <c r="C367" s="47" t="n"/>
      <c r="D367" s="32" t="n"/>
      <c r="E367" s="33" t="n"/>
      <c r="F367" s="36" t="n"/>
      <c r="G367" s="33" t="n"/>
      <c r="H367" s="20" t="str">
        <f>IF(AND(ISNUMBER(E367),ISNUMBER(F367)),E367*F367,"")</f>
        <v/>
      </c>
      <c r="I367" s="43" t="str">
        <f>IF(ISNUMBER(H367),ROUND(MAX(F367*'参数'!$C$11,'参数'!$C$12)+'参数'!$C$13,2),"")</f>
        <v/>
      </c>
      <c r="J367" s="43" t="str">
        <f>IF(ISNUMBER(H367),IF(D367="卖",ROUND(H367*N('参数'!$C$14)+F367*N('参数'!$C$15),2),0),"")</f>
        <v/>
      </c>
      <c r="K367" s="23" t="n"/>
      <c r="L367" s="20" t="str">
        <f>IF(ISNUMBER(K367),K367,IF(ISNUMBER(H367),I367+J367,""))</f>
        <v/>
      </c>
      <c r="M367" s="48" t="str">
        <f>IF(AND(ISNUMBER(E367),ISNUMBER(G367),ISNUMBER(F367)),(E367-G367)*IF(D367="卖",-1,1)*F367,"")</f>
        <v/>
      </c>
      <c r="N367" s="49" t="str">
        <f>IF(A367="","",IFERROR(T(INDEX('交易记录'!$C$5:$C$304,MATCH(A367,'交易记录'!$A$5:$A$304,0))),"编号没找到"))</f>
        <v/>
      </c>
      <c r="O367" s="31" t="n"/>
    </row>
    <row r="368">
      <c r="A368" s="29" t="n"/>
      <c r="B368" s="30" t="n"/>
      <c r="C368" s="47" t="n"/>
      <c r="D368" s="32" t="n"/>
      <c r="E368" s="33" t="n"/>
      <c r="F368" s="36" t="n"/>
      <c r="G368" s="33" t="n"/>
      <c r="H368" s="20" t="str">
        <f>IF(AND(ISNUMBER(E368),ISNUMBER(F368)),E368*F368,"")</f>
        <v/>
      </c>
      <c r="I368" s="43" t="str">
        <f>IF(ISNUMBER(H368),ROUND(MAX(F368*'参数'!$C$11,'参数'!$C$12)+'参数'!$C$13,2),"")</f>
        <v/>
      </c>
      <c r="J368" s="43" t="str">
        <f>IF(ISNUMBER(H368),IF(D368="卖",ROUND(H368*N('参数'!$C$14)+F368*N('参数'!$C$15),2),0),"")</f>
        <v/>
      </c>
      <c r="K368" s="23" t="n"/>
      <c r="L368" s="20" t="str">
        <f>IF(ISNUMBER(K368),K368,IF(ISNUMBER(H368),I368+J368,""))</f>
        <v/>
      </c>
      <c r="M368" s="48" t="str">
        <f>IF(AND(ISNUMBER(E368),ISNUMBER(G368),ISNUMBER(F368)),(E368-G368)*IF(D368="卖",-1,1)*F368,"")</f>
        <v/>
      </c>
      <c r="N368" s="49" t="str">
        <f>IF(A368="","",IFERROR(T(INDEX('交易记录'!$C$5:$C$304,MATCH(A368,'交易记录'!$A$5:$A$304,0))),"编号没找到"))</f>
        <v/>
      </c>
      <c r="O368" s="31" t="n"/>
    </row>
    <row r="369">
      <c r="A369" s="29" t="n"/>
      <c r="B369" s="30" t="n"/>
      <c r="C369" s="47" t="n"/>
      <c r="D369" s="32" t="n"/>
      <c r="E369" s="33" t="n"/>
      <c r="F369" s="36" t="n"/>
      <c r="G369" s="33" t="n"/>
      <c r="H369" s="20" t="str">
        <f>IF(AND(ISNUMBER(E369),ISNUMBER(F369)),E369*F369,"")</f>
        <v/>
      </c>
      <c r="I369" s="43" t="str">
        <f>IF(ISNUMBER(H369),ROUND(MAX(F369*'参数'!$C$11,'参数'!$C$12)+'参数'!$C$13,2),"")</f>
        <v/>
      </c>
      <c r="J369" s="43" t="str">
        <f>IF(ISNUMBER(H369),IF(D369="卖",ROUND(H369*N('参数'!$C$14)+F369*N('参数'!$C$15),2),0),"")</f>
        <v/>
      </c>
      <c r="K369" s="23" t="n"/>
      <c r="L369" s="20" t="str">
        <f>IF(ISNUMBER(K369),K369,IF(ISNUMBER(H369),I369+J369,""))</f>
        <v/>
      </c>
      <c r="M369" s="48" t="str">
        <f>IF(AND(ISNUMBER(E369),ISNUMBER(G369),ISNUMBER(F369)),(E369-G369)*IF(D369="卖",-1,1)*F369,"")</f>
        <v/>
      </c>
      <c r="N369" s="49" t="str">
        <f>IF(A369="","",IFERROR(T(INDEX('交易记录'!$C$5:$C$304,MATCH(A369,'交易记录'!$A$5:$A$304,0))),"编号没找到"))</f>
        <v/>
      </c>
      <c r="O369" s="31" t="n"/>
    </row>
    <row r="370">
      <c r="A370" s="29" t="n"/>
      <c r="B370" s="30" t="n"/>
      <c r="C370" s="47" t="n"/>
      <c r="D370" s="32" t="n"/>
      <c r="E370" s="33" t="n"/>
      <c r="F370" s="36" t="n"/>
      <c r="G370" s="33" t="n"/>
      <c r="H370" s="20" t="str">
        <f>IF(AND(ISNUMBER(E370),ISNUMBER(F370)),E370*F370,"")</f>
        <v/>
      </c>
      <c r="I370" s="43" t="str">
        <f>IF(ISNUMBER(H370),ROUND(MAX(F370*'参数'!$C$11,'参数'!$C$12)+'参数'!$C$13,2),"")</f>
        <v/>
      </c>
      <c r="J370" s="43" t="str">
        <f>IF(ISNUMBER(H370),IF(D370="卖",ROUND(H370*N('参数'!$C$14)+F370*N('参数'!$C$15),2),0),"")</f>
        <v/>
      </c>
      <c r="K370" s="23" t="n"/>
      <c r="L370" s="20" t="str">
        <f>IF(ISNUMBER(K370),K370,IF(ISNUMBER(H370),I370+J370,""))</f>
        <v/>
      </c>
      <c r="M370" s="48" t="str">
        <f>IF(AND(ISNUMBER(E370),ISNUMBER(G370),ISNUMBER(F370)),(E370-G370)*IF(D370="卖",-1,1)*F370,"")</f>
        <v/>
      </c>
      <c r="N370" s="49" t="str">
        <f>IF(A370="","",IFERROR(T(INDEX('交易记录'!$C$5:$C$304,MATCH(A370,'交易记录'!$A$5:$A$304,0))),"编号没找到"))</f>
        <v/>
      </c>
      <c r="O370" s="31" t="n"/>
    </row>
    <row r="371">
      <c r="A371" s="29" t="n"/>
      <c r="B371" s="30" t="n"/>
      <c r="C371" s="47" t="n"/>
      <c r="D371" s="32" t="n"/>
      <c r="E371" s="33" t="n"/>
      <c r="F371" s="36" t="n"/>
      <c r="G371" s="33" t="n"/>
      <c r="H371" s="20" t="str">
        <f>IF(AND(ISNUMBER(E371),ISNUMBER(F371)),E371*F371,"")</f>
        <v/>
      </c>
      <c r="I371" s="43" t="str">
        <f>IF(ISNUMBER(H371),ROUND(MAX(F371*'参数'!$C$11,'参数'!$C$12)+'参数'!$C$13,2),"")</f>
        <v/>
      </c>
      <c r="J371" s="43" t="str">
        <f>IF(ISNUMBER(H371),IF(D371="卖",ROUND(H371*N('参数'!$C$14)+F371*N('参数'!$C$15),2),0),"")</f>
        <v/>
      </c>
      <c r="K371" s="23" t="n"/>
      <c r="L371" s="20" t="str">
        <f>IF(ISNUMBER(K371),K371,IF(ISNUMBER(H371),I371+J371,""))</f>
        <v/>
      </c>
      <c r="M371" s="48" t="str">
        <f>IF(AND(ISNUMBER(E371),ISNUMBER(G371),ISNUMBER(F371)),(E371-G371)*IF(D371="卖",-1,1)*F371,"")</f>
        <v/>
      </c>
      <c r="N371" s="49" t="str">
        <f>IF(A371="","",IFERROR(T(INDEX('交易记录'!$C$5:$C$304,MATCH(A371,'交易记录'!$A$5:$A$304,0))),"编号没找到"))</f>
        <v/>
      </c>
      <c r="O371" s="31" t="n"/>
    </row>
    <row r="372">
      <c r="A372" s="29" t="n"/>
      <c r="B372" s="30" t="n"/>
      <c r="C372" s="47" t="n"/>
      <c r="D372" s="32" t="n"/>
      <c r="E372" s="33" t="n"/>
      <c r="F372" s="36" t="n"/>
      <c r="G372" s="33" t="n"/>
      <c r="H372" s="20" t="str">
        <f>IF(AND(ISNUMBER(E372),ISNUMBER(F372)),E372*F372,"")</f>
        <v/>
      </c>
      <c r="I372" s="43" t="str">
        <f>IF(ISNUMBER(H372),ROUND(MAX(F372*'参数'!$C$11,'参数'!$C$12)+'参数'!$C$13,2),"")</f>
        <v/>
      </c>
      <c r="J372" s="43" t="str">
        <f>IF(ISNUMBER(H372),IF(D372="卖",ROUND(H372*N('参数'!$C$14)+F372*N('参数'!$C$15),2),0),"")</f>
        <v/>
      </c>
      <c r="K372" s="23" t="n"/>
      <c r="L372" s="20" t="str">
        <f>IF(ISNUMBER(K372),K372,IF(ISNUMBER(H372),I372+J372,""))</f>
        <v/>
      </c>
      <c r="M372" s="48" t="str">
        <f>IF(AND(ISNUMBER(E372),ISNUMBER(G372),ISNUMBER(F372)),(E372-G372)*IF(D372="卖",-1,1)*F372,"")</f>
        <v/>
      </c>
      <c r="N372" s="49" t="str">
        <f>IF(A372="","",IFERROR(T(INDEX('交易记录'!$C$5:$C$304,MATCH(A372,'交易记录'!$A$5:$A$304,0))),"编号没找到"))</f>
        <v/>
      </c>
      <c r="O372" s="31" t="n"/>
    </row>
    <row r="373">
      <c r="A373" s="29" t="n"/>
      <c r="B373" s="30" t="n"/>
      <c r="C373" s="47" t="n"/>
      <c r="D373" s="32" t="n"/>
      <c r="E373" s="33" t="n"/>
      <c r="F373" s="36" t="n"/>
      <c r="G373" s="33" t="n"/>
      <c r="H373" s="20" t="str">
        <f>IF(AND(ISNUMBER(E373),ISNUMBER(F373)),E373*F373,"")</f>
        <v/>
      </c>
      <c r="I373" s="43" t="str">
        <f>IF(ISNUMBER(H373),ROUND(MAX(F373*'参数'!$C$11,'参数'!$C$12)+'参数'!$C$13,2),"")</f>
        <v/>
      </c>
      <c r="J373" s="43" t="str">
        <f>IF(ISNUMBER(H373),IF(D373="卖",ROUND(H373*N('参数'!$C$14)+F373*N('参数'!$C$15),2),0),"")</f>
        <v/>
      </c>
      <c r="K373" s="23" t="n"/>
      <c r="L373" s="20" t="str">
        <f>IF(ISNUMBER(K373),K373,IF(ISNUMBER(H373),I373+J373,""))</f>
        <v/>
      </c>
      <c r="M373" s="48" t="str">
        <f>IF(AND(ISNUMBER(E373),ISNUMBER(G373),ISNUMBER(F373)),(E373-G373)*IF(D373="卖",-1,1)*F373,"")</f>
        <v/>
      </c>
      <c r="N373" s="49" t="str">
        <f>IF(A373="","",IFERROR(T(INDEX('交易记录'!$C$5:$C$304,MATCH(A373,'交易记录'!$A$5:$A$304,0))),"编号没找到"))</f>
        <v/>
      </c>
      <c r="O373" s="31" t="n"/>
    </row>
    <row r="374">
      <c r="A374" s="29" t="n"/>
      <c r="B374" s="30" t="n"/>
      <c r="C374" s="47" t="n"/>
      <c r="D374" s="32" t="n"/>
      <c r="E374" s="33" t="n"/>
      <c r="F374" s="36" t="n"/>
      <c r="G374" s="33" t="n"/>
      <c r="H374" s="20" t="str">
        <f>IF(AND(ISNUMBER(E374),ISNUMBER(F374)),E374*F374,"")</f>
        <v/>
      </c>
      <c r="I374" s="43" t="str">
        <f>IF(ISNUMBER(H374),ROUND(MAX(F374*'参数'!$C$11,'参数'!$C$12)+'参数'!$C$13,2),"")</f>
        <v/>
      </c>
      <c r="J374" s="43" t="str">
        <f>IF(ISNUMBER(H374),IF(D374="卖",ROUND(H374*N('参数'!$C$14)+F374*N('参数'!$C$15),2),0),"")</f>
        <v/>
      </c>
      <c r="K374" s="23" t="n"/>
      <c r="L374" s="20" t="str">
        <f>IF(ISNUMBER(K374),K374,IF(ISNUMBER(H374),I374+J374,""))</f>
        <v/>
      </c>
      <c r="M374" s="48" t="str">
        <f>IF(AND(ISNUMBER(E374),ISNUMBER(G374),ISNUMBER(F374)),(E374-G374)*IF(D374="卖",-1,1)*F374,"")</f>
        <v/>
      </c>
      <c r="N374" s="49" t="str">
        <f>IF(A374="","",IFERROR(T(INDEX('交易记录'!$C$5:$C$304,MATCH(A374,'交易记录'!$A$5:$A$304,0))),"编号没找到"))</f>
        <v/>
      </c>
      <c r="O374" s="31" t="n"/>
    </row>
    <row r="375">
      <c r="A375" s="29" t="n"/>
      <c r="B375" s="30" t="n"/>
      <c r="C375" s="47" t="n"/>
      <c r="D375" s="32" t="n"/>
      <c r="E375" s="33" t="n"/>
      <c r="F375" s="36" t="n"/>
      <c r="G375" s="33" t="n"/>
      <c r="H375" s="20" t="str">
        <f>IF(AND(ISNUMBER(E375),ISNUMBER(F375)),E375*F375,"")</f>
        <v/>
      </c>
      <c r="I375" s="43" t="str">
        <f>IF(ISNUMBER(H375),ROUND(MAX(F375*'参数'!$C$11,'参数'!$C$12)+'参数'!$C$13,2),"")</f>
        <v/>
      </c>
      <c r="J375" s="43" t="str">
        <f>IF(ISNUMBER(H375),IF(D375="卖",ROUND(H375*N('参数'!$C$14)+F375*N('参数'!$C$15),2),0),"")</f>
        <v/>
      </c>
      <c r="K375" s="23" t="n"/>
      <c r="L375" s="20" t="str">
        <f>IF(ISNUMBER(K375),K375,IF(ISNUMBER(H375),I375+J375,""))</f>
        <v/>
      </c>
      <c r="M375" s="48" t="str">
        <f>IF(AND(ISNUMBER(E375),ISNUMBER(G375),ISNUMBER(F375)),(E375-G375)*IF(D375="卖",-1,1)*F375,"")</f>
        <v/>
      </c>
      <c r="N375" s="49" t="str">
        <f>IF(A375="","",IFERROR(T(INDEX('交易记录'!$C$5:$C$304,MATCH(A375,'交易记录'!$A$5:$A$304,0))),"编号没找到"))</f>
        <v/>
      </c>
      <c r="O375" s="31" t="n"/>
    </row>
    <row r="376">
      <c r="A376" s="29" t="n"/>
      <c r="B376" s="30" t="n"/>
      <c r="C376" s="47" t="n"/>
      <c r="D376" s="32" t="n"/>
      <c r="E376" s="33" t="n"/>
      <c r="F376" s="36" t="n"/>
      <c r="G376" s="33" t="n"/>
      <c r="H376" s="20" t="str">
        <f>IF(AND(ISNUMBER(E376),ISNUMBER(F376)),E376*F376,"")</f>
        <v/>
      </c>
      <c r="I376" s="43" t="str">
        <f>IF(ISNUMBER(H376),ROUND(MAX(F376*'参数'!$C$11,'参数'!$C$12)+'参数'!$C$13,2),"")</f>
        <v/>
      </c>
      <c r="J376" s="43" t="str">
        <f>IF(ISNUMBER(H376),IF(D376="卖",ROUND(H376*N('参数'!$C$14)+F376*N('参数'!$C$15),2),0),"")</f>
        <v/>
      </c>
      <c r="K376" s="23" t="n"/>
      <c r="L376" s="20" t="str">
        <f>IF(ISNUMBER(K376),K376,IF(ISNUMBER(H376),I376+J376,""))</f>
        <v/>
      </c>
      <c r="M376" s="48" t="str">
        <f>IF(AND(ISNUMBER(E376),ISNUMBER(G376),ISNUMBER(F376)),(E376-G376)*IF(D376="卖",-1,1)*F376,"")</f>
        <v/>
      </c>
      <c r="N376" s="49" t="str">
        <f>IF(A376="","",IFERROR(T(INDEX('交易记录'!$C$5:$C$304,MATCH(A376,'交易记录'!$A$5:$A$304,0))),"编号没找到"))</f>
        <v/>
      </c>
      <c r="O376" s="31" t="n"/>
    </row>
    <row r="377">
      <c r="A377" s="29" t="n"/>
      <c r="B377" s="30" t="n"/>
      <c r="C377" s="47" t="n"/>
      <c r="D377" s="32" t="n"/>
      <c r="E377" s="33" t="n"/>
      <c r="F377" s="36" t="n"/>
      <c r="G377" s="33" t="n"/>
      <c r="H377" s="20" t="str">
        <f>IF(AND(ISNUMBER(E377),ISNUMBER(F377)),E377*F377,"")</f>
        <v/>
      </c>
      <c r="I377" s="43" t="str">
        <f>IF(ISNUMBER(H377),ROUND(MAX(F377*'参数'!$C$11,'参数'!$C$12)+'参数'!$C$13,2),"")</f>
        <v/>
      </c>
      <c r="J377" s="43" t="str">
        <f>IF(ISNUMBER(H377),IF(D377="卖",ROUND(H377*N('参数'!$C$14)+F377*N('参数'!$C$15),2),0),"")</f>
        <v/>
      </c>
      <c r="K377" s="23" t="n"/>
      <c r="L377" s="20" t="str">
        <f>IF(ISNUMBER(K377),K377,IF(ISNUMBER(H377),I377+J377,""))</f>
        <v/>
      </c>
      <c r="M377" s="48" t="str">
        <f>IF(AND(ISNUMBER(E377),ISNUMBER(G377),ISNUMBER(F377)),(E377-G377)*IF(D377="卖",-1,1)*F377,"")</f>
        <v/>
      </c>
      <c r="N377" s="49" t="str">
        <f>IF(A377="","",IFERROR(T(INDEX('交易记录'!$C$5:$C$304,MATCH(A377,'交易记录'!$A$5:$A$304,0))),"编号没找到"))</f>
        <v/>
      </c>
      <c r="O377" s="31" t="n"/>
    </row>
    <row r="378">
      <c r="A378" s="29" t="n"/>
      <c r="B378" s="30" t="n"/>
      <c r="C378" s="47" t="n"/>
      <c r="D378" s="32" t="n"/>
      <c r="E378" s="33" t="n"/>
      <c r="F378" s="36" t="n"/>
      <c r="G378" s="33" t="n"/>
      <c r="H378" s="20" t="str">
        <f>IF(AND(ISNUMBER(E378),ISNUMBER(F378)),E378*F378,"")</f>
        <v/>
      </c>
      <c r="I378" s="43" t="str">
        <f>IF(ISNUMBER(H378),ROUND(MAX(F378*'参数'!$C$11,'参数'!$C$12)+'参数'!$C$13,2),"")</f>
        <v/>
      </c>
      <c r="J378" s="43" t="str">
        <f>IF(ISNUMBER(H378),IF(D378="卖",ROUND(H378*N('参数'!$C$14)+F378*N('参数'!$C$15),2),0),"")</f>
        <v/>
      </c>
      <c r="K378" s="23" t="n"/>
      <c r="L378" s="20" t="str">
        <f>IF(ISNUMBER(K378),K378,IF(ISNUMBER(H378),I378+J378,""))</f>
        <v/>
      </c>
      <c r="M378" s="48" t="str">
        <f>IF(AND(ISNUMBER(E378),ISNUMBER(G378),ISNUMBER(F378)),(E378-G378)*IF(D378="卖",-1,1)*F378,"")</f>
        <v/>
      </c>
      <c r="N378" s="49" t="str">
        <f>IF(A378="","",IFERROR(T(INDEX('交易记录'!$C$5:$C$304,MATCH(A378,'交易记录'!$A$5:$A$304,0))),"编号没找到"))</f>
        <v/>
      </c>
      <c r="O378" s="31" t="n"/>
    </row>
    <row r="379">
      <c r="A379" s="29" t="n"/>
      <c r="B379" s="30" t="n"/>
      <c r="C379" s="47" t="n"/>
      <c r="D379" s="32" t="n"/>
      <c r="E379" s="33" t="n"/>
      <c r="F379" s="36" t="n"/>
      <c r="G379" s="33" t="n"/>
      <c r="H379" s="20" t="str">
        <f>IF(AND(ISNUMBER(E379),ISNUMBER(F379)),E379*F379,"")</f>
        <v/>
      </c>
      <c r="I379" s="43" t="str">
        <f>IF(ISNUMBER(H379),ROUND(MAX(F379*'参数'!$C$11,'参数'!$C$12)+'参数'!$C$13,2),"")</f>
        <v/>
      </c>
      <c r="J379" s="43" t="str">
        <f>IF(ISNUMBER(H379),IF(D379="卖",ROUND(H379*N('参数'!$C$14)+F379*N('参数'!$C$15),2),0),"")</f>
        <v/>
      </c>
      <c r="K379" s="23" t="n"/>
      <c r="L379" s="20" t="str">
        <f>IF(ISNUMBER(K379),K379,IF(ISNUMBER(H379),I379+J379,""))</f>
        <v/>
      </c>
      <c r="M379" s="48" t="str">
        <f>IF(AND(ISNUMBER(E379),ISNUMBER(G379),ISNUMBER(F379)),(E379-G379)*IF(D379="卖",-1,1)*F379,"")</f>
        <v/>
      </c>
      <c r="N379" s="49" t="str">
        <f>IF(A379="","",IFERROR(T(INDEX('交易记录'!$C$5:$C$304,MATCH(A379,'交易记录'!$A$5:$A$304,0))),"编号没找到"))</f>
        <v/>
      </c>
      <c r="O379" s="31" t="n"/>
    </row>
    <row r="380">
      <c r="A380" s="29" t="n"/>
      <c r="B380" s="30" t="n"/>
      <c r="C380" s="47" t="n"/>
      <c r="D380" s="32" t="n"/>
      <c r="E380" s="33" t="n"/>
      <c r="F380" s="36" t="n"/>
      <c r="G380" s="33" t="n"/>
      <c r="H380" s="20" t="str">
        <f>IF(AND(ISNUMBER(E380),ISNUMBER(F380)),E380*F380,"")</f>
        <v/>
      </c>
      <c r="I380" s="43" t="str">
        <f>IF(ISNUMBER(H380),ROUND(MAX(F380*'参数'!$C$11,'参数'!$C$12)+'参数'!$C$13,2),"")</f>
        <v/>
      </c>
      <c r="J380" s="43" t="str">
        <f>IF(ISNUMBER(H380),IF(D380="卖",ROUND(H380*N('参数'!$C$14)+F380*N('参数'!$C$15),2),0),"")</f>
        <v/>
      </c>
      <c r="K380" s="23" t="n"/>
      <c r="L380" s="20" t="str">
        <f>IF(ISNUMBER(K380),K380,IF(ISNUMBER(H380),I380+J380,""))</f>
        <v/>
      </c>
      <c r="M380" s="48" t="str">
        <f>IF(AND(ISNUMBER(E380),ISNUMBER(G380),ISNUMBER(F380)),(E380-G380)*IF(D380="卖",-1,1)*F380,"")</f>
        <v/>
      </c>
      <c r="N380" s="49" t="str">
        <f>IF(A380="","",IFERROR(T(INDEX('交易记录'!$C$5:$C$304,MATCH(A380,'交易记录'!$A$5:$A$304,0))),"编号没找到"))</f>
        <v/>
      </c>
      <c r="O380" s="31" t="n"/>
    </row>
    <row r="381">
      <c r="A381" s="29" t="n"/>
      <c r="B381" s="30" t="n"/>
      <c r="C381" s="47" t="n"/>
      <c r="D381" s="32" t="n"/>
      <c r="E381" s="33" t="n"/>
      <c r="F381" s="36" t="n"/>
      <c r="G381" s="33" t="n"/>
      <c r="H381" s="20" t="str">
        <f>IF(AND(ISNUMBER(E381),ISNUMBER(F381)),E381*F381,"")</f>
        <v/>
      </c>
      <c r="I381" s="43" t="str">
        <f>IF(ISNUMBER(H381),ROUND(MAX(F381*'参数'!$C$11,'参数'!$C$12)+'参数'!$C$13,2),"")</f>
        <v/>
      </c>
      <c r="J381" s="43" t="str">
        <f>IF(ISNUMBER(H381),IF(D381="卖",ROUND(H381*N('参数'!$C$14)+F381*N('参数'!$C$15),2),0),"")</f>
        <v/>
      </c>
      <c r="K381" s="23" t="n"/>
      <c r="L381" s="20" t="str">
        <f>IF(ISNUMBER(K381),K381,IF(ISNUMBER(H381),I381+J381,""))</f>
        <v/>
      </c>
      <c r="M381" s="48" t="str">
        <f>IF(AND(ISNUMBER(E381),ISNUMBER(G381),ISNUMBER(F381)),(E381-G381)*IF(D381="卖",-1,1)*F381,"")</f>
        <v/>
      </c>
      <c r="N381" s="49" t="str">
        <f>IF(A381="","",IFERROR(T(INDEX('交易记录'!$C$5:$C$304,MATCH(A381,'交易记录'!$A$5:$A$304,0))),"编号没找到"))</f>
        <v/>
      </c>
      <c r="O381" s="31" t="n"/>
    </row>
    <row r="382">
      <c r="A382" s="29" t="n"/>
      <c r="B382" s="30" t="n"/>
      <c r="C382" s="47" t="n"/>
      <c r="D382" s="32" t="n"/>
      <c r="E382" s="33" t="n"/>
      <c r="F382" s="36" t="n"/>
      <c r="G382" s="33" t="n"/>
      <c r="H382" s="20" t="str">
        <f>IF(AND(ISNUMBER(E382),ISNUMBER(F382)),E382*F382,"")</f>
        <v/>
      </c>
      <c r="I382" s="43" t="str">
        <f>IF(ISNUMBER(H382),ROUND(MAX(F382*'参数'!$C$11,'参数'!$C$12)+'参数'!$C$13,2),"")</f>
        <v/>
      </c>
      <c r="J382" s="43" t="str">
        <f>IF(ISNUMBER(H382),IF(D382="卖",ROUND(H382*N('参数'!$C$14)+F382*N('参数'!$C$15),2),0),"")</f>
        <v/>
      </c>
      <c r="K382" s="23" t="n"/>
      <c r="L382" s="20" t="str">
        <f>IF(ISNUMBER(K382),K382,IF(ISNUMBER(H382),I382+J382,""))</f>
        <v/>
      </c>
      <c r="M382" s="48" t="str">
        <f>IF(AND(ISNUMBER(E382),ISNUMBER(G382),ISNUMBER(F382)),(E382-G382)*IF(D382="卖",-1,1)*F382,"")</f>
        <v/>
      </c>
      <c r="N382" s="49" t="str">
        <f>IF(A382="","",IFERROR(T(INDEX('交易记录'!$C$5:$C$304,MATCH(A382,'交易记录'!$A$5:$A$304,0))),"编号没找到"))</f>
        <v/>
      </c>
      <c r="O382" s="31" t="n"/>
    </row>
    <row r="383">
      <c r="A383" s="29" t="n"/>
      <c r="B383" s="30" t="n"/>
      <c r="C383" s="47" t="n"/>
      <c r="D383" s="32" t="n"/>
      <c r="E383" s="33" t="n"/>
      <c r="F383" s="36" t="n"/>
      <c r="G383" s="33" t="n"/>
      <c r="H383" s="20" t="str">
        <f>IF(AND(ISNUMBER(E383),ISNUMBER(F383)),E383*F383,"")</f>
        <v/>
      </c>
      <c r="I383" s="43" t="str">
        <f>IF(ISNUMBER(H383),ROUND(MAX(F383*'参数'!$C$11,'参数'!$C$12)+'参数'!$C$13,2),"")</f>
        <v/>
      </c>
      <c r="J383" s="43" t="str">
        <f>IF(ISNUMBER(H383),IF(D383="卖",ROUND(H383*N('参数'!$C$14)+F383*N('参数'!$C$15),2),0),"")</f>
        <v/>
      </c>
      <c r="K383" s="23" t="n"/>
      <c r="L383" s="20" t="str">
        <f>IF(ISNUMBER(K383),K383,IF(ISNUMBER(H383),I383+J383,""))</f>
        <v/>
      </c>
      <c r="M383" s="48" t="str">
        <f>IF(AND(ISNUMBER(E383),ISNUMBER(G383),ISNUMBER(F383)),(E383-G383)*IF(D383="卖",-1,1)*F383,"")</f>
        <v/>
      </c>
      <c r="N383" s="49" t="str">
        <f>IF(A383="","",IFERROR(T(INDEX('交易记录'!$C$5:$C$304,MATCH(A383,'交易记录'!$A$5:$A$304,0))),"编号没找到"))</f>
        <v/>
      </c>
      <c r="O383" s="31" t="n"/>
    </row>
    <row r="384">
      <c r="A384" s="29" t="n"/>
      <c r="B384" s="30" t="n"/>
      <c r="C384" s="47" t="n"/>
      <c r="D384" s="32" t="n"/>
      <c r="E384" s="33" t="n"/>
      <c r="F384" s="36" t="n"/>
      <c r="G384" s="33" t="n"/>
      <c r="H384" s="20" t="str">
        <f>IF(AND(ISNUMBER(E384),ISNUMBER(F384)),E384*F384,"")</f>
        <v/>
      </c>
      <c r="I384" s="43" t="str">
        <f>IF(ISNUMBER(H384),ROUND(MAX(F384*'参数'!$C$11,'参数'!$C$12)+'参数'!$C$13,2),"")</f>
        <v/>
      </c>
      <c r="J384" s="43" t="str">
        <f>IF(ISNUMBER(H384),IF(D384="卖",ROUND(H384*N('参数'!$C$14)+F384*N('参数'!$C$15),2),0),"")</f>
        <v/>
      </c>
      <c r="K384" s="23" t="n"/>
      <c r="L384" s="20" t="str">
        <f>IF(ISNUMBER(K384),K384,IF(ISNUMBER(H384),I384+J384,""))</f>
        <v/>
      </c>
      <c r="M384" s="48" t="str">
        <f>IF(AND(ISNUMBER(E384),ISNUMBER(G384),ISNUMBER(F384)),(E384-G384)*IF(D384="卖",-1,1)*F384,"")</f>
        <v/>
      </c>
      <c r="N384" s="49" t="str">
        <f>IF(A384="","",IFERROR(T(INDEX('交易记录'!$C$5:$C$304,MATCH(A384,'交易记录'!$A$5:$A$304,0))),"编号没找到"))</f>
        <v/>
      </c>
      <c r="O384" s="31" t="n"/>
    </row>
    <row r="385">
      <c r="A385" s="29" t="n"/>
      <c r="B385" s="30" t="n"/>
      <c r="C385" s="47" t="n"/>
      <c r="D385" s="32" t="n"/>
      <c r="E385" s="33" t="n"/>
      <c r="F385" s="36" t="n"/>
      <c r="G385" s="33" t="n"/>
      <c r="H385" s="20" t="str">
        <f>IF(AND(ISNUMBER(E385),ISNUMBER(F385)),E385*F385,"")</f>
        <v/>
      </c>
      <c r="I385" s="43" t="str">
        <f>IF(ISNUMBER(H385),ROUND(MAX(F385*'参数'!$C$11,'参数'!$C$12)+'参数'!$C$13,2),"")</f>
        <v/>
      </c>
      <c r="J385" s="43" t="str">
        <f>IF(ISNUMBER(H385),IF(D385="卖",ROUND(H385*N('参数'!$C$14)+F385*N('参数'!$C$15),2),0),"")</f>
        <v/>
      </c>
      <c r="K385" s="23" t="n"/>
      <c r="L385" s="20" t="str">
        <f>IF(ISNUMBER(K385),K385,IF(ISNUMBER(H385),I385+J385,""))</f>
        <v/>
      </c>
      <c r="M385" s="48" t="str">
        <f>IF(AND(ISNUMBER(E385),ISNUMBER(G385),ISNUMBER(F385)),(E385-G385)*IF(D385="卖",-1,1)*F385,"")</f>
        <v/>
      </c>
      <c r="N385" s="49" t="str">
        <f>IF(A385="","",IFERROR(T(INDEX('交易记录'!$C$5:$C$304,MATCH(A385,'交易记录'!$A$5:$A$304,0))),"编号没找到"))</f>
        <v/>
      </c>
      <c r="O385" s="31" t="n"/>
    </row>
    <row r="386">
      <c r="A386" s="29" t="n"/>
      <c r="B386" s="30" t="n"/>
      <c r="C386" s="47" t="n"/>
      <c r="D386" s="32" t="n"/>
      <c r="E386" s="33" t="n"/>
      <c r="F386" s="36" t="n"/>
      <c r="G386" s="33" t="n"/>
      <c r="H386" s="20" t="str">
        <f>IF(AND(ISNUMBER(E386),ISNUMBER(F386)),E386*F386,"")</f>
        <v/>
      </c>
      <c r="I386" s="43" t="str">
        <f>IF(ISNUMBER(H386),ROUND(MAX(F386*'参数'!$C$11,'参数'!$C$12)+'参数'!$C$13,2),"")</f>
        <v/>
      </c>
      <c r="J386" s="43" t="str">
        <f>IF(ISNUMBER(H386),IF(D386="卖",ROUND(H386*N('参数'!$C$14)+F386*N('参数'!$C$15),2),0),"")</f>
        <v/>
      </c>
      <c r="K386" s="23" t="n"/>
      <c r="L386" s="20" t="str">
        <f>IF(ISNUMBER(K386),K386,IF(ISNUMBER(H386),I386+J386,""))</f>
        <v/>
      </c>
      <c r="M386" s="48" t="str">
        <f>IF(AND(ISNUMBER(E386),ISNUMBER(G386),ISNUMBER(F386)),(E386-G386)*IF(D386="卖",-1,1)*F386,"")</f>
        <v/>
      </c>
      <c r="N386" s="49" t="str">
        <f>IF(A386="","",IFERROR(T(INDEX('交易记录'!$C$5:$C$304,MATCH(A386,'交易记录'!$A$5:$A$304,0))),"编号没找到"))</f>
        <v/>
      </c>
      <c r="O386" s="31" t="n"/>
    </row>
    <row r="387">
      <c r="A387" s="29" t="n"/>
      <c r="B387" s="30" t="n"/>
      <c r="C387" s="47" t="n"/>
      <c r="D387" s="32" t="n"/>
      <c r="E387" s="33" t="n"/>
      <c r="F387" s="36" t="n"/>
      <c r="G387" s="33" t="n"/>
      <c r="H387" s="20" t="str">
        <f>IF(AND(ISNUMBER(E387),ISNUMBER(F387)),E387*F387,"")</f>
        <v/>
      </c>
      <c r="I387" s="43" t="str">
        <f>IF(ISNUMBER(H387),ROUND(MAX(F387*'参数'!$C$11,'参数'!$C$12)+'参数'!$C$13,2),"")</f>
        <v/>
      </c>
      <c r="J387" s="43" t="str">
        <f>IF(ISNUMBER(H387),IF(D387="卖",ROUND(H387*N('参数'!$C$14)+F387*N('参数'!$C$15),2),0),"")</f>
        <v/>
      </c>
      <c r="K387" s="23" t="n"/>
      <c r="L387" s="20" t="str">
        <f>IF(ISNUMBER(K387),K387,IF(ISNUMBER(H387),I387+J387,""))</f>
        <v/>
      </c>
      <c r="M387" s="48" t="str">
        <f>IF(AND(ISNUMBER(E387),ISNUMBER(G387),ISNUMBER(F387)),(E387-G387)*IF(D387="卖",-1,1)*F387,"")</f>
        <v/>
      </c>
      <c r="N387" s="49" t="str">
        <f>IF(A387="","",IFERROR(T(INDEX('交易记录'!$C$5:$C$304,MATCH(A387,'交易记录'!$A$5:$A$304,0))),"编号没找到"))</f>
        <v/>
      </c>
      <c r="O387" s="31" t="n"/>
    </row>
    <row r="388">
      <c r="A388" s="29" t="n"/>
      <c r="B388" s="30" t="n"/>
      <c r="C388" s="47" t="n"/>
      <c r="D388" s="32" t="n"/>
      <c r="E388" s="33" t="n"/>
      <c r="F388" s="36" t="n"/>
      <c r="G388" s="33" t="n"/>
      <c r="H388" s="20" t="str">
        <f>IF(AND(ISNUMBER(E388),ISNUMBER(F388)),E388*F388,"")</f>
        <v/>
      </c>
      <c r="I388" s="43" t="str">
        <f>IF(ISNUMBER(H388),ROUND(MAX(F388*'参数'!$C$11,'参数'!$C$12)+'参数'!$C$13,2),"")</f>
        <v/>
      </c>
      <c r="J388" s="43" t="str">
        <f>IF(ISNUMBER(H388),IF(D388="卖",ROUND(H388*N('参数'!$C$14)+F388*N('参数'!$C$15),2),0),"")</f>
        <v/>
      </c>
      <c r="K388" s="23" t="n"/>
      <c r="L388" s="20" t="str">
        <f>IF(ISNUMBER(K388),K388,IF(ISNUMBER(H388),I388+J388,""))</f>
        <v/>
      </c>
      <c r="M388" s="48" t="str">
        <f>IF(AND(ISNUMBER(E388),ISNUMBER(G388),ISNUMBER(F388)),(E388-G388)*IF(D388="卖",-1,1)*F388,"")</f>
        <v/>
      </c>
      <c r="N388" s="49" t="str">
        <f>IF(A388="","",IFERROR(T(INDEX('交易记录'!$C$5:$C$304,MATCH(A388,'交易记录'!$A$5:$A$304,0))),"编号没找到"))</f>
        <v/>
      </c>
      <c r="O388" s="31" t="n"/>
    </row>
    <row r="389">
      <c r="A389" s="29" t="n"/>
      <c r="B389" s="30" t="n"/>
      <c r="C389" s="47" t="n"/>
      <c r="D389" s="32" t="n"/>
      <c r="E389" s="33" t="n"/>
      <c r="F389" s="36" t="n"/>
      <c r="G389" s="33" t="n"/>
      <c r="H389" s="20" t="str">
        <f>IF(AND(ISNUMBER(E389),ISNUMBER(F389)),E389*F389,"")</f>
        <v/>
      </c>
      <c r="I389" s="43" t="str">
        <f>IF(ISNUMBER(H389),ROUND(MAX(F389*'参数'!$C$11,'参数'!$C$12)+'参数'!$C$13,2),"")</f>
        <v/>
      </c>
      <c r="J389" s="43" t="str">
        <f>IF(ISNUMBER(H389),IF(D389="卖",ROUND(H389*N('参数'!$C$14)+F389*N('参数'!$C$15),2),0),"")</f>
        <v/>
      </c>
      <c r="K389" s="23" t="n"/>
      <c r="L389" s="20" t="str">
        <f>IF(ISNUMBER(K389),K389,IF(ISNUMBER(H389),I389+J389,""))</f>
        <v/>
      </c>
      <c r="M389" s="48" t="str">
        <f>IF(AND(ISNUMBER(E389),ISNUMBER(G389),ISNUMBER(F389)),(E389-G389)*IF(D389="卖",-1,1)*F389,"")</f>
        <v/>
      </c>
      <c r="N389" s="49" t="str">
        <f>IF(A389="","",IFERROR(T(INDEX('交易记录'!$C$5:$C$304,MATCH(A389,'交易记录'!$A$5:$A$304,0))),"编号没找到"))</f>
        <v/>
      </c>
      <c r="O389" s="31" t="n"/>
    </row>
    <row r="390">
      <c r="A390" s="29" t="n"/>
      <c r="B390" s="30" t="n"/>
      <c r="C390" s="47" t="n"/>
      <c r="D390" s="32" t="n"/>
      <c r="E390" s="33" t="n"/>
      <c r="F390" s="36" t="n"/>
      <c r="G390" s="33" t="n"/>
      <c r="H390" s="20" t="str">
        <f>IF(AND(ISNUMBER(E390),ISNUMBER(F390)),E390*F390,"")</f>
        <v/>
      </c>
      <c r="I390" s="43" t="str">
        <f>IF(ISNUMBER(H390),ROUND(MAX(F390*'参数'!$C$11,'参数'!$C$12)+'参数'!$C$13,2),"")</f>
        <v/>
      </c>
      <c r="J390" s="43" t="str">
        <f>IF(ISNUMBER(H390),IF(D390="卖",ROUND(H390*N('参数'!$C$14)+F390*N('参数'!$C$15),2),0),"")</f>
        <v/>
      </c>
      <c r="K390" s="23" t="n"/>
      <c r="L390" s="20" t="str">
        <f>IF(ISNUMBER(K390),K390,IF(ISNUMBER(H390),I390+J390,""))</f>
        <v/>
      </c>
      <c r="M390" s="48" t="str">
        <f>IF(AND(ISNUMBER(E390),ISNUMBER(G390),ISNUMBER(F390)),(E390-G390)*IF(D390="卖",-1,1)*F390,"")</f>
        <v/>
      </c>
      <c r="N390" s="49" t="str">
        <f>IF(A390="","",IFERROR(T(INDEX('交易记录'!$C$5:$C$304,MATCH(A390,'交易记录'!$A$5:$A$304,0))),"编号没找到"))</f>
        <v/>
      </c>
      <c r="O390" s="31" t="n"/>
    </row>
    <row r="391">
      <c r="A391" s="29" t="n"/>
      <c r="B391" s="30" t="n"/>
      <c r="C391" s="47" t="n"/>
      <c r="D391" s="32" t="n"/>
      <c r="E391" s="33" t="n"/>
      <c r="F391" s="36" t="n"/>
      <c r="G391" s="33" t="n"/>
      <c r="H391" s="20" t="str">
        <f>IF(AND(ISNUMBER(E391),ISNUMBER(F391)),E391*F391,"")</f>
        <v/>
      </c>
      <c r="I391" s="43" t="str">
        <f>IF(ISNUMBER(H391),ROUND(MAX(F391*'参数'!$C$11,'参数'!$C$12)+'参数'!$C$13,2),"")</f>
        <v/>
      </c>
      <c r="J391" s="43" t="str">
        <f>IF(ISNUMBER(H391),IF(D391="卖",ROUND(H391*N('参数'!$C$14)+F391*N('参数'!$C$15),2),0),"")</f>
        <v/>
      </c>
      <c r="K391" s="23" t="n"/>
      <c r="L391" s="20" t="str">
        <f>IF(ISNUMBER(K391),K391,IF(ISNUMBER(H391),I391+J391,""))</f>
        <v/>
      </c>
      <c r="M391" s="48" t="str">
        <f>IF(AND(ISNUMBER(E391),ISNUMBER(G391),ISNUMBER(F391)),(E391-G391)*IF(D391="卖",-1,1)*F391,"")</f>
        <v/>
      </c>
      <c r="N391" s="49" t="str">
        <f>IF(A391="","",IFERROR(T(INDEX('交易记录'!$C$5:$C$304,MATCH(A391,'交易记录'!$A$5:$A$304,0))),"编号没找到"))</f>
        <v/>
      </c>
      <c r="O391" s="31" t="n"/>
    </row>
    <row r="392">
      <c r="A392" s="29" t="n"/>
      <c r="B392" s="30" t="n"/>
      <c r="C392" s="47" t="n"/>
      <c r="D392" s="32" t="n"/>
      <c r="E392" s="33" t="n"/>
      <c r="F392" s="36" t="n"/>
      <c r="G392" s="33" t="n"/>
      <c r="H392" s="20" t="str">
        <f>IF(AND(ISNUMBER(E392),ISNUMBER(F392)),E392*F392,"")</f>
        <v/>
      </c>
      <c r="I392" s="43" t="str">
        <f>IF(ISNUMBER(H392),ROUND(MAX(F392*'参数'!$C$11,'参数'!$C$12)+'参数'!$C$13,2),"")</f>
        <v/>
      </c>
      <c r="J392" s="43" t="str">
        <f>IF(ISNUMBER(H392),IF(D392="卖",ROUND(H392*N('参数'!$C$14)+F392*N('参数'!$C$15),2),0),"")</f>
        <v/>
      </c>
      <c r="K392" s="23" t="n"/>
      <c r="L392" s="20" t="str">
        <f>IF(ISNUMBER(K392),K392,IF(ISNUMBER(H392),I392+J392,""))</f>
        <v/>
      </c>
      <c r="M392" s="48" t="str">
        <f>IF(AND(ISNUMBER(E392),ISNUMBER(G392),ISNUMBER(F392)),(E392-G392)*IF(D392="卖",-1,1)*F392,"")</f>
        <v/>
      </c>
      <c r="N392" s="49" t="str">
        <f>IF(A392="","",IFERROR(T(INDEX('交易记录'!$C$5:$C$304,MATCH(A392,'交易记录'!$A$5:$A$304,0))),"编号没找到"))</f>
        <v/>
      </c>
      <c r="O392" s="31" t="n"/>
    </row>
    <row r="393">
      <c r="A393" s="29" t="n"/>
      <c r="B393" s="30" t="n"/>
      <c r="C393" s="47" t="n"/>
      <c r="D393" s="32" t="n"/>
      <c r="E393" s="33" t="n"/>
      <c r="F393" s="36" t="n"/>
      <c r="G393" s="33" t="n"/>
      <c r="H393" s="20" t="str">
        <f>IF(AND(ISNUMBER(E393),ISNUMBER(F393)),E393*F393,"")</f>
        <v/>
      </c>
      <c r="I393" s="43" t="str">
        <f>IF(ISNUMBER(H393),ROUND(MAX(F393*'参数'!$C$11,'参数'!$C$12)+'参数'!$C$13,2),"")</f>
        <v/>
      </c>
      <c r="J393" s="43" t="str">
        <f>IF(ISNUMBER(H393),IF(D393="卖",ROUND(H393*N('参数'!$C$14)+F393*N('参数'!$C$15),2),0),"")</f>
        <v/>
      </c>
      <c r="K393" s="23" t="n"/>
      <c r="L393" s="20" t="str">
        <f>IF(ISNUMBER(K393),K393,IF(ISNUMBER(H393),I393+J393,""))</f>
        <v/>
      </c>
      <c r="M393" s="48" t="str">
        <f>IF(AND(ISNUMBER(E393),ISNUMBER(G393),ISNUMBER(F393)),(E393-G393)*IF(D393="卖",-1,1)*F393,"")</f>
        <v/>
      </c>
      <c r="N393" s="49" t="str">
        <f>IF(A393="","",IFERROR(T(INDEX('交易记录'!$C$5:$C$304,MATCH(A393,'交易记录'!$A$5:$A$304,0))),"编号没找到"))</f>
        <v/>
      </c>
      <c r="O393" s="31" t="n"/>
    </row>
    <row r="394">
      <c r="A394" s="29" t="n"/>
      <c r="B394" s="30" t="n"/>
      <c r="C394" s="47" t="n"/>
      <c r="D394" s="32" t="n"/>
      <c r="E394" s="33" t="n"/>
      <c r="F394" s="36" t="n"/>
      <c r="G394" s="33" t="n"/>
      <c r="H394" s="20" t="str">
        <f>IF(AND(ISNUMBER(E394),ISNUMBER(F394)),E394*F394,"")</f>
        <v/>
      </c>
      <c r="I394" s="43" t="str">
        <f>IF(ISNUMBER(H394),ROUND(MAX(F394*'参数'!$C$11,'参数'!$C$12)+'参数'!$C$13,2),"")</f>
        <v/>
      </c>
      <c r="J394" s="43" t="str">
        <f>IF(ISNUMBER(H394),IF(D394="卖",ROUND(H394*N('参数'!$C$14)+F394*N('参数'!$C$15),2),0),"")</f>
        <v/>
      </c>
      <c r="K394" s="23" t="n"/>
      <c r="L394" s="20" t="str">
        <f>IF(ISNUMBER(K394),K394,IF(ISNUMBER(H394),I394+J394,""))</f>
        <v/>
      </c>
      <c r="M394" s="48" t="str">
        <f>IF(AND(ISNUMBER(E394),ISNUMBER(G394),ISNUMBER(F394)),(E394-G394)*IF(D394="卖",-1,1)*F394,"")</f>
        <v/>
      </c>
      <c r="N394" s="49" t="str">
        <f>IF(A394="","",IFERROR(T(INDEX('交易记录'!$C$5:$C$304,MATCH(A394,'交易记录'!$A$5:$A$304,0))),"编号没找到"))</f>
        <v/>
      </c>
      <c r="O394" s="31" t="n"/>
    </row>
    <row r="395">
      <c r="A395" s="29" t="n"/>
      <c r="B395" s="30" t="n"/>
      <c r="C395" s="47" t="n"/>
      <c r="D395" s="32" t="n"/>
      <c r="E395" s="33" t="n"/>
      <c r="F395" s="36" t="n"/>
      <c r="G395" s="33" t="n"/>
      <c r="H395" s="20" t="str">
        <f>IF(AND(ISNUMBER(E395),ISNUMBER(F395)),E395*F395,"")</f>
        <v/>
      </c>
      <c r="I395" s="43" t="str">
        <f>IF(ISNUMBER(H395),ROUND(MAX(F395*'参数'!$C$11,'参数'!$C$12)+'参数'!$C$13,2),"")</f>
        <v/>
      </c>
      <c r="J395" s="43" t="str">
        <f>IF(ISNUMBER(H395),IF(D395="卖",ROUND(H395*N('参数'!$C$14)+F395*N('参数'!$C$15),2),0),"")</f>
        <v/>
      </c>
      <c r="K395" s="23" t="n"/>
      <c r="L395" s="20" t="str">
        <f>IF(ISNUMBER(K395),K395,IF(ISNUMBER(H395),I395+J395,""))</f>
        <v/>
      </c>
      <c r="M395" s="48" t="str">
        <f>IF(AND(ISNUMBER(E395),ISNUMBER(G395),ISNUMBER(F395)),(E395-G395)*IF(D395="卖",-1,1)*F395,"")</f>
        <v/>
      </c>
      <c r="N395" s="49" t="str">
        <f>IF(A395="","",IFERROR(T(INDEX('交易记录'!$C$5:$C$304,MATCH(A395,'交易记录'!$A$5:$A$304,0))),"编号没找到"))</f>
        <v/>
      </c>
      <c r="O395" s="31" t="n"/>
    </row>
    <row r="396">
      <c r="A396" s="29" t="n"/>
      <c r="B396" s="30" t="n"/>
      <c r="C396" s="47" t="n"/>
      <c r="D396" s="32" t="n"/>
      <c r="E396" s="33" t="n"/>
      <c r="F396" s="36" t="n"/>
      <c r="G396" s="33" t="n"/>
      <c r="H396" s="20" t="str">
        <f>IF(AND(ISNUMBER(E396),ISNUMBER(F396)),E396*F396,"")</f>
        <v/>
      </c>
      <c r="I396" s="43" t="str">
        <f>IF(ISNUMBER(H396),ROUND(MAX(F396*'参数'!$C$11,'参数'!$C$12)+'参数'!$C$13,2),"")</f>
        <v/>
      </c>
      <c r="J396" s="43" t="str">
        <f>IF(ISNUMBER(H396),IF(D396="卖",ROUND(H396*N('参数'!$C$14)+F396*N('参数'!$C$15),2),0),"")</f>
        <v/>
      </c>
      <c r="K396" s="23" t="n"/>
      <c r="L396" s="20" t="str">
        <f>IF(ISNUMBER(K396),K396,IF(ISNUMBER(H396),I396+J396,""))</f>
        <v/>
      </c>
      <c r="M396" s="48" t="str">
        <f>IF(AND(ISNUMBER(E396),ISNUMBER(G396),ISNUMBER(F396)),(E396-G396)*IF(D396="卖",-1,1)*F396,"")</f>
        <v/>
      </c>
      <c r="N396" s="49" t="str">
        <f>IF(A396="","",IFERROR(T(INDEX('交易记录'!$C$5:$C$304,MATCH(A396,'交易记录'!$A$5:$A$304,0))),"编号没找到"))</f>
        <v/>
      </c>
      <c r="O396" s="31" t="n"/>
    </row>
    <row r="397">
      <c r="A397" s="29" t="n"/>
      <c r="B397" s="30" t="n"/>
      <c r="C397" s="47" t="n"/>
      <c r="D397" s="32" t="n"/>
      <c r="E397" s="33" t="n"/>
      <c r="F397" s="36" t="n"/>
      <c r="G397" s="33" t="n"/>
      <c r="H397" s="20" t="str">
        <f>IF(AND(ISNUMBER(E397),ISNUMBER(F397)),E397*F397,"")</f>
        <v/>
      </c>
      <c r="I397" s="43" t="str">
        <f>IF(ISNUMBER(H397),ROUND(MAX(F397*'参数'!$C$11,'参数'!$C$12)+'参数'!$C$13,2),"")</f>
        <v/>
      </c>
      <c r="J397" s="43" t="str">
        <f>IF(ISNUMBER(H397),IF(D397="卖",ROUND(H397*N('参数'!$C$14)+F397*N('参数'!$C$15),2),0),"")</f>
        <v/>
      </c>
      <c r="K397" s="23" t="n"/>
      <c r="L397" s="20" t="str">
        <f>IF(ISNUMBER(K397),K397,IF(ISNUMBER(H397),I397+J397,""))</f>
        <v/>
      </c>
      <c r="M397" s="48" t="str">
        <f>IF(AND(ISNUMBER(E397),ISNUMBER(G397),ISNUMBER(F397)),(E397-G397)*IF(D397="卖",-1,1)*F397,"")</f>
        <v/>
      </c>
      <c r="N397" s="49" t="str">
        <f>IF(A397="","",IFERROR(T(INDEX('交易记录'!$C$5:$C$304,MATCH(A397,'交易记录'!$A$5:$A$304,0))),"编号没找到"))</f>
        <v/>
      </c>
      <c r="O397" s="31" t="n"/>
    </row>
    <row r="398">
      <c r="A398" s="29" t="n"/>
      <c r="B398" s="30" t="n"/>
      <c r="C398" s="47" t="n"/>
      <c r="D398" s="32" t="n"/>
      <c r="E398" s="33" t="n"/>
      <c r="F398" s="36" t="n"/>
      <c r="G398" s="33" t="n"/>
      <c r="H398" s="20" t="str">
        <f>IF(AND(ISNUMBER(E398),ISNUMBER(F398)),E398*F398,"")</f>
        <v/>
      </c>
      <c r="I398" s="43" t="str">
        <f>IF(ISNUMBER(H398),ROUND(MAX(F398*'参数'!$C$11,'参数'!$C$12)+'参数'!$C$13,2),"")</f>
        <v/>
      </c>
      <c r="J398" s="43" t="str">
        <f>IF(ISNUMBER(H398),IF(D398="卖",ROUND(H398*N('参数'!$C$14)+F398*N('参数'!$C$15),2),0),"")</f>
        <v/>
      </c>
      <c r="K398" s="23" t="n"/>
      <c r="L398" s="20" t="str">
        <f>IF(ISNUMBER(K398),K398,IF(ISNUMBER(H398),I398+J398,""))</f>
        <v/>
      </c>
      <c r="M398" s="48" t="str">
        <f>IF(AND(ISNUMBER(E398),ISNUMBER(G398),ISNUMBER(F398)),(E398-G398)*IF(D398="卖",-1,1)*F398,"")</f>
        <v/>
      </c>
      <c r="N398" s="49" t="str">
        <f>IF(A398="","",IFERROR(T(INDEX('交易记录'!$C$5:$C$304,MATCH(A398,'交易记录'!$A$5:$A$304,0))),"编号没找到"))</f>
        <v/>
      </c>
      <c r="O398" s="31" t="n"/>
    </row>
    <row r="399">
      <c r="A399" s="29" t="n"/>
      <c r="B399" s="30" t="n"/>
      <c r="C399" s="47" t="n"/>
      <c r="D399" s="32" t="n"/>
      <c r="E399" s="33" t="n"/>
      <c r="F399" s="36" t="n"/>
      <c r="G399" s="33" t="n"/>
      <c r="H399" s="20" t="str">
        <f>IF(AND(ISNUMBER(E399),ISNUMBER(F399)),E399*F399,"")</f>
        <v/>
      </c>
      <c r="I399" s="43" t="str">
        <f>IF(ISNUMBER(H399),ROUND(MAX(F399*'参数'!$C$11,'参数'!$C$12)+'参数'!$C$13,2),"")</f>
        <v/>
      </c>
      <c r="J399" s="43" t="str">
        <f>IF(ISNUMBER(H399),IF(D399="卖",ROUND(H399*N('参数'!$C$14)+F399*N('参数'!$C$15),2),0),"")</f>
        <v/>
      </c>
      <c r="K399" s="23" t="n"/>
      <c r="L399" s="20" t="str">
        <f>IF(ISNUMBER(K399),K399,IF(ISNUMBER(H399),I399+J399,""))</f>
        <v/>
      </c>
      <c r="M399" s="48" t="str">
        <f>IF(AND(ISNUMBER(E399),ISNUMBER(G399),ISNUMBER(F399)),(E399-G399)*IF(D399="卖",-1,1)*F399,"")</f>
        <v/>
      </c>
      <c r="N399" s="49" t="str">
        <f>IF(A399="","",IFERROR(T(INDEX('交易记录'!$C$5:$C$304,MATCH(A399,'交易记录'!$A$5:$A$304,0))),"编号没找到"))</f>
        <v/>
      </c>
      <c r="O399" s="31" t="n"/>
    </row>
    <row r="400">
      <c r="A400" s="29" t="n"/>
      <c r="B400" s="30" t="n"/>
      <c r="C400" s="47" t="n"/>
      <c r="D400" s="32" t="n"/>
      <c r="E400" s="33" t="n"/>
      <c r="F400" s="36" t="n"/>
      <c r="G400" s="33" t="n"/>
      <c r="H400" s="20" t="str">
        <f>IF(AND(ISNUMBER(E400),ISNUMBER(F400)),E400*F400,"")</f>
        <v/>
      </c>
      <c r="I400" s="43" t="str">
        <f>IF(ISNUMBER(H400),ROUND(MAX(F400*'参数'!$C$11,'参数'!$C$12)+'参数'!$C$13,2),"")</f>
        <v/>
      </c>
      <c r="J400" s="43" t="str">
        <f>IF(ISNUMBER(H400),IF(D400="卖",ROUND(H400*N('参数'!$C$14)+F400*N('参数'!$C$15),2),0),"")</f>
        <v/>
      </c>
      <c r="K400" s="23" t="n"/>
      <c r="L400" s="20" t="str">
        <f>IF(ISNUMBER(K400),K400,IF(ISNUMBER(H400),I400+J400,""))</f>
        <v/>
      </c>
      <c r="M400" s="48" t="str">
        <f>IF(AND(ISNUMBER(E400),ISNUMBER(G400),ISNUMBER(F400)),(E400-G400)*IF(D400="卖",-1,1)*F400,"")</f>
        <v/>
      </c>
      <c r="N400" s="49" t="str">
        <f>IF(A400="","",IFERROR(T(INDEX('交易记录'!$C$5:$C$304,MATCH(A400,'交易记录'!$A$5:$A$304,0))),"编号没找到"))</f>
        <v/>
      </c>
      <c r="O400" s="31" t="n"/>
    </row>
    <row r="401">
      <c r="A401" s="29" t="n"/>
      <c r="B401" s="30" t="n"/>
      <c r="C401" s="47" t="n"/>
      <c r="D401" s="32" t="n"/>
      <c r="E401" s="33" t="n"/>
      <c r="F401" s="36" t="n"/>
      <c r="G401" s="33" t="n"/>
      <c r="H401" s="20" t="str">
        <f>IF(AND(ISNUMBER(E401),ISNUMBER(F401)),E401*F401,"")</f>
        <v/>
      </c>
      <c r="I401" s="43" t="str">
        <f>IF(ISNUMBER(H401),ROUND(MAX(F401*'参数'!$C$11,'参数'!$C$12)+'参数'!$C$13,2),"")</f>
        <v/>
      </c>
      <c r="J401" s="43" t="str">
        <f>IF(ISNUMBER(H401),IF(D401="卖",ROUND(H401*N('参数'!$C$14)+F401*N('参数'!$C$15),2),0),"")</f>
        <v/>
      </c>
      <c r="K401" s="23" t="n"/>
      <c r="L401" s="20" t="str">
        <f>IF(ISNUMBER(K401),K401,IF(ISNUMBER(H401),I401+J401,""))</f>
        <v/>
      </c>
      <c r="M401" s="48" t="str">
        <f>IF(AND(ISNUMBER(E401),ISNUMBER(G401),ISNUMBER(F401)),(E401-G401)*IF(D401="卖",-1,1)*F401,"")</f>
        <v/>
      </c>
      <c r="N401" s="49" t="str">
        <f>IF(A401="","",IFERROR(T(INDEX('交易记录'!$C$5:$C$304,MATCH(A401,'交易记录'!$A$5:$A$304,0))),"编号没找到"))</f>
        <v/>
      </c>
      <c r="O401" s="31" t="n"/>
    </row>
    <row r="402">
      <c r="A402" s="29" t="n"/>
      <c r="B402" s="30" t="n"/>
      <c r="C402" s="47" t="n"/>
      <c r="D402" s="32" t="n"/>
      <c r="E402" s="33" t="n"/>
      <c r="F402" s="36" t="n"/>
      <c r="G402" s="33" t="n"/>
      <c r="H402" s="20" t="str">
        <f>IF(AND(ISNUMBER(E402),ISNUMBER(F402)),E402*F402,"")</f>
        <v/>
      </c>
      <c r="I402" s="43" t="str">
        <f>IF(ISNUMBER(H402),ROUND(MAX(F402*'参数'!$C$11,'参数'!$C$12)+'参数'!$C$13,2),"")</f>
        <v/>
      </c>
      <c r="J402" s="43" t="str">
        <f>IF(ISNUMBER(H402),IF(D402="卖",ROUND(H402*N('参数'!$C$14)+F402*N('参数'!$C$15),2),0),"")</f>
        <v/>
      </c>
      <c r="K402" s="23" t="n"/>
      <c r="L402" s="20" t="str">
        <f>IF(ISNUMBER(K402),K402,IF(ISNUMBER(H402),I402+J402,""))</f>
        <v/>
      </c>
      <c r="M402" s="48" t="str">
        <f>IF(AND(ISNUMBER(E402),ISNUMBER(G402),ISNUMBER(F402)),(E402-G402)*IF(D402="卖",-1,1)*F402,"")</f>
        <v/>
      </c>
      <c r="N402" s="49" t="str">
        <f>IF(A402="","",IFERROR(T(INDEX('交易记录'!$C$5:$C$304,MATCH(A402,'交易记录'!$A$5:$A$304,0))),"编号没找到"))</f>
        <v/>
      </c>
      <c r="O402" s="31" t="n"/>
    </row>
    <row r="403">
      <c r="A403" s="29" t="n"/>
      <c r="B403" s="30" t="n"/>
      <c r="C403" s="47" t="n"/>
      <c r="D403" s="32" t="n"/>
      <c r="E403" s="33" t="n"/>
      <c r="F403" s="36" t="n"/>
      <c r="G403" s="33" t="n"/>
      <c r="H403" s="20" t="str">
        <f>IF(AND(ISNUMBER(E403),ISNUMBER(F403)),E403*F403,"")</f>
        <v/>
      </c>
      <c r="I403" s="43" t="str">
        <f>IF(ISNUMBER(H403),ROUND(MAX(F403*'参数'!$C$11,'参数'!$C$12)+'参数'!$C$13,2),"")</f>
        <v/>
      </c>
      <c r="J403" s="43" t="str">
        <f>IF(ISNUMBER(H403),IF(D403="卖",ROUND(H403*N('参数'!$C$14)+F403*N('参数'!$C$15),2),0),"")</f>
        <v/>
      </c>
      <c r="K403" s="23" t="n"/>
      <c r="L403" s="20" t="str">
        <f>IF(ISNUMBER(K403),K403,IF(ISNUMBER(H403),I403+J403,""))</f>
        <v/>
      </c>
      <c r="M403" s="48" t="str">
        <f>IF(AND(ISNUMBER(E403),ISNUMBER(G403),ISNUMBER(F403)),(E403-G403)*IF(D403="卖",-1,1)*F403,"")</f>
        <v/>
      </c>
      <c r="N403" s="49" t="str">
        <f>IF(A403="","",IFERROR(T(INDEX('交易记录'!$C$5:$C$304,MATCH(A403,'交易记录'!$A$5:$A$304,0))),"编号没找到"))</f>
        <v/>
      </c>
      <c r="O403" s="31" t="n"/>
    </row>
    <row r="404">
      <c r="A404" s="29" t="n"/>
      <c r="B404" s="30" t="n"/>
      <c r="C404" s="47" t="n"/>
      <c r="D404" s="32" t="n"/>
      <c r="E404" s="33" t="n"/>
      <c r="F404" s="36" t="n"/>
      <c r="G404" s="33" t="n"/>
      <c r="H404" s="20" t="str">
        <f>IF(AND(ISNUMBER(E404),ISNUMBER(F404)),E404*F404,"")</f>
        <v/>
      </c>
      <c r="I404" s="43" t="str">
        <f>IF(ISNUMBER(H404),ROUND(MAX(F404*'参数'!$C$11,'参数'!$C$12)+'参数'!$C$13,2),"")</f>
        <v/>
      </c>
      <c r="J404" s="43" t="str">
        <f>IF(ISNUMBER(H404),IF(D404="卖",ROUND(H404*N('参数'!$C$14)+F404*N('参数'!$C$15),2),0),"")</f>
        <v/>
      </c>
      <c r="K404" s="23" t="n"/>
      <c r="L404" s="20" t="str">
        <f>IF(ISNUMBER(K404),K404,IF(ISNUMBER(H404),I404+J404,""))</f>
        <v/>
      </c>
      <c r="M404" s="48" t="str">
        <f>IF(AND(ISNUMBER(E404),ISNUMBER(G404),ISNUMBER(F404)),(E404-G404)*IF(D404="卖",-1,1)*F404,"")</f>
        <v/>
      </c>
      <c r="N404" s="49" t="str">
        <f>IF(A404="","",IFERROR(T(INDEX('交易记录'!$C$5:$C$304,MATCH(A404,'交易记录'!$A$5:$A$304,0))),"编号没找到"))</f>
        <v/>
      </c>
      <c r="O404" s="31" t="n"/>
    </row>
    <row r="405">
      <c r="A405" s="29" t="n"/>
      <c r="B405" s="30" t="n"/>
      <c r="C405" s="47" t="n"/>
      <c r="D405" s="32" t="n"/>
      <c r="E405" s="33" t="n"/>
      <c r="F405" s="36" t="n"/>
      <c r="G405" s="33" t="n"/>
      <c r="H405" s="20" t="str">
        <f>IF(AND(ISNUMBER(E405),ISNUMBER(F405)),E405*F405,"")</f>
        <v/>
      </c>
      <c r="I405" s="43" t="str">
        <f>IF(ISNUMBER(H405),ROUND(MAX(F405*'参数'!$C$11,'参数'!$C$12)+'参数'!$C$13,2),"")</f>
        <v/>
      </c>
      <c r="J405" s="43" t="str">
        <f>IF(ISNUMBER(H405),IF(D405="卖",ROUND(H405*N('参数'!$C$14)+F405*N('参数'!$C$15),2),0),"")</f>
        <v/>
      </c>
      <c r="K405" s="23" t="n"/>
      <c r="L405" s="20" t="str">
        <f>IF(ISNUMBER(K405),K405,IF(ISNUMBER(H405),I405+J405,""))</f>
        <v/>
      </c>
      <c r="M405" s="48" t="str">
        <f>IF(AND(ISNUMBER(E405),ISNUMBER(G405),ISNUMBER(F405)),(E405-G405)*IF(D405="卖",-1,1)*F405,"")</f>
        <v/>
      </c>
      <c r="N405" s="49" t="str">
        <f>IF(A405="","",IFERROR(T(INDEX('交易记录'!$C$5:$C$304,MATCH(A405,'交易记录'!$A$5:$A$304,0))),"编号没找到"))</f>
        <v/>
      </c>
      <c r="O405" s="31" t="n"/>
    </row>
    <row r="406">
      <c r="A406" s="29" t="n"/>
      <c r="B406" s="30" t="n"/>
      <c r="C406" s="47" t="n"/>
      <c r="D406" s="32" t="n"/>
      <c r="E406" s="33" t="n"/>
      <c r="F406" s="36" t="n"/>
      <c r="G406" s="33" t="n"/>
      <c r="H406" s="20" t="str">
        <f>IF(AND(ISNUMBER(E406),ISNUMBER(F406)),E406*F406,"")</f>
        <v/>
      </c>
      <c r="I406" s="43" t="str">
        <f>IF(ISNUMBER(H406),ROUND(MAX(F406*'参数'!$C$11,'参数'!$C$12)+'参数'!$C$13,2),"")</f>
        <v/>
      </c>
      <c r="J406" s="43" t="str">
        <f>IF(ISNUMBER(H406),IF(D406="卖",ROUND(H406*N('参数'!$C$14)+F406*N('参数'!$C$15),2),0),"")</f>
        <v/>
      </c>
      <c r="K406" s="23" t="n"/>
      <c r="L406" s="20" t="str">
        <f>IF(ISNUMBER(K406),K406,IF(ISNUMBER(H406),I406+J406,""))</f>
        <v/>
      </c>
      <c r="M406" s="48" t="str">
        <f>IF(AND(ISNUMBER(E406),ISNUMBER(G406),ISNUMBER(F406)),(E406-G406)*IF(D406="卖",-1,1)*F406,"")</f>
        <v/>
      </c>
      <c r="N406" s="49" t="str">
        <f>IF(A406="","",IFERROR(T(INDEX('交易记录'!$C$5:$C$304,MATCH(A406,'交易记录'!$A$5:$A$304,0))),"编号没找到"))</f>
        <v/>
      </c>
      <c r="O406" s="31" t="n"/>
    </row>
    <row r="407">
      <c r="A407" s="29" t="n"/>
      <c r="B407" s="30" t="n"/>
      <c r="C407" s="47" t="n"/>
      <c r="D407" s="32" t="n"/>
      <c r="E407" s="33" t="n"/>
      <c r="F407" s="36" t="n"/>
      <c r="G407" s="33" t="n"/>
      <c r="H407" s="20" t="str">
        <f>IF(AND(ISNUMBER(E407),ISNUMBER(F407)),E407*F407,"")</f>
        <v/>
      </c>
      <c r="I407" s="43" t="str">
        <f>IF(ISNUMBER(H407),ROUND(MAX(F407*'参数'!$C$11,'参数'!$C$12)+'参数'!$C$13,2),"")</f>
        <v/>
      </c>
      <c r="J407" s="43" t="str">
        <f>IF(ISNUMBER(H407),IF(D407="卖",ROUND(H407*N('参数'!$C$14)+F407*N('参数'!$C$15),2),0),"")</f>
        <v/>
      </c>
      <c r="K407" s="23" t="n"/>
      <c r="L407" s="20" t="str">
        <f>IF(ISNUMBER(K407),K407,IF(ISNUMBER(H407),I407+J407,""))</f>
        <v/>
      </c>
      <c r="M407" s="48" t="str">
        <f>IF(AND(ISNUMBER(E407),ISNUMBER(G407),ISNUMBER(F407)),(E407-G407)*IF(D407="卖",-1,1)*F407,"")</f>
        <v/>
      </c>
      <c r="N407" s="49" t="str">
        <f>IF(A407="","",IFERROR(T(INDEX('交易记录'!$C$5:$C$304,MATCH(A407,'交易记录'!$A$5:$A$304,0))),"编号没找到"))</f>
        <v/>
      </c>
      <c r="O407" s="31" t="n"/>
    </row>
    <row r="408">
      <c r="A408" s="29" t="n"/>
      <c r="B408" s="30" t="n"/>
      <c r="C408" s="47" t="n"/>
      <c r="D408" s="32" t="n"/>
      <c r="E408" s="33" t="n"/>
      <c r="F408" s="36" t="n"/>
      <c r="G408" s="33" t="n"/>
      <c r="H408" s="20" t="str">
        <f>IF(AND(ISNUMBER(E408),ISNUMBER(F408)),E408*F408,"")</f>
        <v/>
      </c>
      <c r="I408" s="43" t="str">
        <f>IF(ISNUMBER(H408),ROUND(MAX(F408*'参数'!$C$11,'参数'!$C$12)+'参数'!$C$13,2),"")</f>
        <v/>
      </c>
      <c r="J408" s="43" t="str">
        <f>IF(ISNUMBER(H408),IF(D408="卖",ROUND(H408*N('参数'!$C$14)+F408*N('参数'!$C$15),2),0),"")</f>
        <v/>
      </c>
      <c r="K408" s="23" t="n"/>
      <c r="L408" s="20" t="str">
        <f>IF(ISNUMBER(K408),K408,IF(ISNUMBER(H408),I408+J408,""))</f>
        <v/>
      </c>
      <c r="M408" s="48" t="str">
        <f>IF(AND(ISNUMBER(E408),ISNUMBER(G408),ISNUMBER(F408)),(E408-G408)*IF(D408="卖",-1,1)*F408,"")</f>
        <v/>
      </c>
      <c r="N408" s="49" t="str">
        <f>IF(A408="","",IFERROR(T(INDEX('交易记录'!$C$5:$C$304,MATCH(A408,'交易记录'!$A$5:$A$304,0))),"编号没找到"))</f>
        <v/>
      </c>
      <c r="O408" s="31" t="n"/>
    </row>
    <row r="409">
      <c r="A409" s="29" t="n"/>
      <c r="B409" s="30" t="n"/>
      <c r="C409" s="47" t="n"/>
      <c r="D409" s="32" t="n"/>
      <c r="E409" s="33" t="n"/>
      <c r="F409" s="36" t="n"/>
      <c r="G409" s="33" t="n"/>
      <c r="H409" s="20" t="str">
        <f>IF(AND(ISNUMBER(E409),ISNUMBER(F409)),E409*F409,"")</f>
        <v/>
      </c>
      <c r="I409" s="43" t="str">
        <f>IF(ISNUMBER(H409),ROUND(MAX(F409*'参数'!$C$11,'参数'!$C$12)+'参数'!$C$13,2),"")</f>
        <v/>
      </c>
      <c r="J409" s="43" t="str">
        <f>IF(ISNUMBER(H409),IF(D409="卖",ROUND(H409*N('参数'!$C$14)+F409*N('参数'!$C$15),2),0),"")</f>
        <v/>
      </c>
      <c r="K409" s="23" t="n"/>
      <c r="L409" s="20" t="str">
        <f>IF(ISNUMBER(K409),K409,IF(ISNUMBER(H409),I409+J409,""))</f>
        <v/>
      </c>
      <c r="M409" s="48" t="str">
        <f>IF(AND(ISNUMBER(E409),ISNUMBER(G409),ISNUMBER(F409)),(E409-G409)*IF(D409="卖",-1,1)*F409,"")</f>
        <v/>
      </c>
      <c r="N409" s="49" t="str">
        <f>IF(A409="","",IFERROR(T(INDEX('交易记录'!$C$5:$C$304,MATCH(A409,'交易记录'!$A$5:$A$304,0))),"编号没找到"))</f>
        <v/>
      </c>
      <c r="O409" s="31" t="n"/>
    </row>
    <row r="410">
      <c r="A410" s="29" t="n"/>
      <c r="B410" s="30" t="n"/>
      <c r="C410" s="47" t="n"/>
      <c r="D410" s="32" t="n"/>
      <c r="E410" s="33" t="n"/>
      <c r="F410" s="36" t="n"/>
      <c r="G410" s="33" t="n"/>
      <c r="H410" s="20" t="str">
        <f>IF(AND(ISNUMBER(E410),ISNUMBER(F410)),E410*F410,"")</f>
        <v/>
      </c>
      <c r="I410" s="43" t="str">
        <f>IF(ISNUMBER(H410),ROUND(MAX(F410*'参数'!$C$11,'参数'!$C$12)+'参数'!$C$13,2),"")</f>
        <v/>
      </c>
      <c r="J410" s="43" t="str">
        <f>IF(ISNUMBER(H410),IF(D410="卖",ROUND(H410*N('参数'!$C$14)+F410*N('参数'!$C$15),2),0),"")</f>
        <v/>
      </c>
      <c r="K410" s="23" t="n"/>
      <c r="L410" s="20" t="str">
        <f>IF(ISNUMBER(K410),K410,IF(ISNUMBER(H410),I410+J410,""))</f>
        <v/>
      </c>
      <c r="M410" s="48" t="str">
        <f>IF(AND(ISNUMBER(E410),ISNUMBER(G410),ISNUMBER(F410)),(E410-G410)*IF(D410="卖",-1,1)*F410,"")</f>
        <v/>
      </c>
      <c r="N410" s="49" t="str">
        <f>IF(A410="","",IFERROR(T(INDEX('交易记录'!$C$5:$C$304,MATCH(A410,'交易记录'!$A$5:$A$304,0))),"编号没找到"))</f>
        <v/>
      </c>
      <c r="O410" s="31" t="n"/>
    </row>
    <row r="411">
      <c r="A411" s="29" t="n"/>
      <c r="B411" s="30" t="n"/>
      <c r="C411" s="47" t="n"/>
      <c r="D411" s="32" t="n"/>
      <c r="E411" s="33" t="n"/>
      <c r="F411" s="36" t="n"/>
      <c r="G411" s="33" t="n"/>
      <c r="H411" s="20" t="str">
        <f>IF(AND(ISNUMBER(E411),ISNUMBER(F411)),E411*F411,"")</f>
        <v/>
      </c>
      <c r="I411" s="43" t="str">
        <f>IF(ISNUMBER(H411),ROUND(MAX(F411*'参数'!$C$11,'参数'!$C$12)+'参数'!$C$13,2),"")</f>
        <v/>
      </c>
      <c r="J411" s="43" t="str">
        <f>IF(ISNUMBER(H411),IF(D411="卖",ROUND(H411*N('参数'!$C$14)+F411*N('参数'!$C$15),2),0),"")</f>
        <v/>
      </c>
      <c r="K411" s="23" t="n"/>
      <c r="L411" s="20" t="str">
        <f>IF(ISNUMBER(K411),K411,IF(ISNUMBER(H411),I411+J411,""))</f>
        <v/>
      </c>
      <c r="M411" s="48" t="str">
        <f>IF(AND(ISNUMBER(E411),ISNUMBER(G411),ISNUMBER(F411)),(E411-G411)*IF(D411="卖",-1,1)*F411,"")</f>
        <v/>
      </c>
      <c r="N411" s="49" t="str">
        <f>IF(A411="","",IFERROR(T(INDEX('交易记录'!$C$5:$C$304,MATCH(A411,'交易记录'!$A$5:$A$304,0))),"编号没找到"))</f>
        <v/>
      </c>
      <c r="O411" s="31" t="n"/>
    </row>
    <row r="412">
      <c r="A412" s="29" t="n"/>
      <c r="B412" s="30" t="n"/>
      <c r="C412" s="47" t="n"/>
      <c r="D412" s="32" t="n"/>
      <c r="E412" s="33" t="n"/>
      <c r="F412" s="36" t="n"/>
      <c r="G412" s="33" t="n"/>
      <c r="H412" s="20" t="str">
        <f>IF(AND(ISNUMBER(E412),ISNUMBER(F412)),E412*F412,"")</f>
        <v/>
      </c>
      <c r="I412" s="43" t="str">
        <f>IF(ISNUMBER(H412),ROUND(MAX(F412*'参数'!$C$11,'参数'!$C$12)+'参数'!$C$13,2),"")</f>
        <v/>
      </c>
      <c r="J412" s="43" t="str">
        <f>IF(ISNUMBER(H412),IF(D412="卖",ROUND(H412*N('参数'!$C$14)+F412*N('参数'!$C$15),2),0),"")</f>
        <v/>
      </c>
      <c r="K412" s="23" t="n"/>
      <c r="L412" s="20" t="str">
        <f>IF(ISNUMBER(K412),K412,IF(ISNUMBER(H412),I412+J412,""))</f>
        <v/>
      </c>
      <c r="M412" s="48" t="str">
        <f>IF(AND(ISNUMBER(E412),ISNUMBER(G412),ISNUMBER(F412)),(E412-G412)*IF(D412="卖",-1,1)*F412,"")</f>
        <v/>
      </c>
      <c r="N412" s="49" t="str">
        <f>IF(A412="","",IFERROR(T(INDEX('交易记录'!$C$5:$C$304,MATCH(A412,'交易记录'!$A$5:$A$304,0))),"编号没找到"))</f>
        <v/>
      </c>
      <c r="O412" s="31" t="n"/>
    </row>
    <row r="413">
      <c r="A413" s="29" t="n"/>
      <c r="B413" s="30" t="n"/>
      <c r="C413" s="47" t="n"/>
      <c r="D413" s="32" t="n"/>
      <c r="E413" s="33" t="n"/>
      <c r="F413" s="36" t="n"/>
      <c r="G413" s="33" t="n"/>
      <c r="H413" s="20" t="str">
        <f>IF(AND(ISNUMBER(E413),ISNUMBER(F413)),E413*F413,"")</f>
        <v/>
      </c>
      <c r="I413" s="43" t="str">
        <f>IF(ISNUMBER(H413),ROUND(MAX(F413*'参数'!$C$11,'参数'!$C$12)+'参数'!$C$13,2),"")</f>
        <v/>
      </c>
      <c r="J413" s="43" t="str">
        <f>IF(ISNUMBER(H413),IF(D413="卖",ROUND(H413*N('参数'!$C$14)+F413*N('参数'!$C$15),2),0),"")</f>
        <v/>
      </c>
      <c r="K413" s="23" t="n"/>
      <c r="L413" s="20" t="str">
        <f>IF(ISNUMBER(K413),K413,IF(ISNUMBER(H413),I413+J413,""))</f>
        <v/>
      </c>
      <c r="M413" s="48" t="str">
        <f>IF(AND(ISNUMBER(E413),ISNUMBER(G413),ISNUMBER(F413)),(E413-G413)*IF(D413="卖",-1,1)*F413,"")</f>
        <v/>
      </c>
      <c r="N413" s="49" t="str">
        <f>IF(A413="","",IFERROR(T(INDEX('交易记录'!$C$5:$C$304,MATCH(A413,'交易记录'!$A$5:$A$304,0))),"编号没找到"))</f>
        <v/>
      </c>
      <c r="O413" s="31" t="n"/>
    </row>
    <row r="414">
      <c r="A414" s="29" t="n"/>
      <c r="B414" s="30" t="n"/>
      <c r="C414" s="47" t="n"/>
      <c r="D414" s="32" t="n"/>
      <c r="E414" s="33" t="n"/>
      <c r="F414" s="36" t="n"/>
      <c r="G414" s="33" t="n"/>
      <c r="H414" s="20" t="str">
        <f>IF(AND(ISNUMBER(E414),ISNUMBER(F414)),E414*F414,"")</f>
        <v/>
      </c>
      <c r="I414" s="43" t="str">
        <f>IF(ISNUMBER(H414),ROUND(MAX(F414*'参数'!$C$11,'参数'!$C$12)+'参数'!$C$13,2),"")</f>
        <v/>
      </c>
      <c r="J414" s="43" t="str">
        <f>IF(ISNUMBER(H414),IF(D414="卖",ROUND(H414*N('参数'!$C$14)+F414*N('参数'!$C$15),2),0),"")</f>
        <v/>
      </c>
      <c r="K414" s="23" t="n"/>
      <c r="L414" s="20" t="str">
        <f>IF(ISNUMBER(K414),K414,IF(ISNUMBER(H414),I414+J414,""))</f>
        <v/>
      </c>
      <c r="M414" s="48" t="str">
        <f>IF(AND(ISNUMBER(E414),ISNUMBER(G414),ISNUMBER(F414)),(E414-G414)*IF(D414="卖",-1,1)*F414,"")</f>
        <v/>
      </c>
      <c r="N414" s="49" t="str">
        <f>IF(A414="","",IFERROR(T(INDEX('交易记录'!$C$5:$C$304,MATCH(A414,'交易记录'!$A$5:$A$304,0))),"编号没找到"))</f>
        <v/>
      </c>
      <c r="O414" s="31" t="n"/>
    </row>
    <row r="415">
      <c r="A415" s="29" t="n"/>
      <c r="B415" s="30" t="n"/>
      <c r="C415" s="47" t="n"/>
      <c r="D415" s="32" t="n"/>
      <c r="E415" s="33" t="n"/>
      <c r="F415" s="36" t="n"/>
      <c r="G415" s="33" t="n"/>
      <c r="H415" s="20" t="str">
        <f>IF(AND(ISNUMBER(E415),ISNUMBER(F415)),E415*F415,"")</f>
        <v/>
      </c>
      <c r="I415" s="43" t="str">
        <f>IF(ISNUMBER(H415),ROUND(MAX(F415*'参数'!$C$11,'参数'!$C$12)+'参数'!$C$13,2),"")</f>
        <v/>
      </c>
      <c r="J415" s="43" t="str">
        <f>IF(ISNUMBER(H415),IF(D415="卖",ROUND(H415*N('参数'!$C$14)+F415*N('参数'!$C$15),2),0),"")</f>
        <v/>
      </c>
      <c r="K415" s="23" t="n"/>
      <c r="L415" s="20" t="str">
        <f>IF(ISNUMBER(K415),K415,IF(ISNUMBER(H415),I415+J415,""))</f>
        <v/>
      </c>
      <c r="M415" s="48" t="str">
        <f>IF(AND(ISNUMBER(E415),ISNUMBER(G415),ISNUMBER(F415)),(E415-G415)*IF(D415="卖",-1,1)*F415,"")</f>
        <v/>
      </c>
      <c r="N415" s="49" t="str">
        <f>IF(A415="","",IFERROR(T(INDEX('交易记录'!$C$5:$C$304,MATCH(A415,'交易记录'!$A$5:$A$304,0))),"编号没找到"))</f>
        <v/>
      </c>
      <c r="O415" s="31" t="n"/>
    </row>
    <row r="416">
      <c r="A416" s="29" t="n"/>
      <c r="B416" s="30" t="n"/>
      <c r="C416" s="47" t="n"/>
      <c r="D416" s="32" t="n"/>
      <c r="E416" s="33" t="n"/>
      <c r="F416" s="36" t="n"/>
      <c r="G416" s="33" t="n"/>
      <c r="H416" s="20" t="str">
        <f>IF(AND(ISNUMBER(E416),ISNUMBER(F416)),E416*F416,"")</f>
        <v/>
      </c>
      <c r="I416" s="43" t="str">
        <f>IF(ISNUMBER(H416),ROUND(MAX(F416*'参数'!$C$11,'参数'!$C$12)+'参数'!$C$13,2),"")</f>
        <v/>
      </c>
      <c r="J416" s="43" t="str">
        <f>IF(ISNUMBER(H416),IF(D416="卖",ROUND(H416*N('参数'!$C$14)+F416*N('参数'!$C$15),2),0),"")</f>
        <v/>
      </c>
      <c r="K416" s="23" t="n"/>
      <c r="L416" s="20" t="str">
        <f>IF(ISNUMBER(K416),K416,IF(ISNUMBER(H416),I416+J416,""))</f>
        <v/>
      </c>
      <c r="M416" s="48" t="str">
        <f>IF(AND(ISNUMBER(E416),ISNUMBER(G416),ISNUMBER(F416)),(E416-G416)*IF(D416="卖",-1,1)*F416,"")</f>
        <v/>
      </c>
      <c r="N416" s="49" t="str">
        <f>IF(A416="","",IFERROR(T(INDEX('交易记录'!$C$5:$C$304,MATCH(A416,'交易记录'!$A$5:$A$304,0))),"编号没找到"))</f>
        <v/>
      </c>
      <c r="O416" s="31" t="n"/>
    </row>
    <row r="417">
      <c r="A417" s="29" t="n"/>
      <c r="B417" s="30" t="n"/>
      <c r="C417" s="47" t="n"/>
      <c r="D417" s="32" t="n"/>
      <c r="E417" s="33" t="n"/>
      <c r="F417" s="36" t="n"/>
      <c r="G417" s="33" t="n"/>
      <c r="H417" s="20" t="str">
        <f>IF(AND(ISNUMBER(E417),ISNUMBER(F417)),E417*F417,"")</f>
        <v/>
      </c>
      <c r="I417" s="43" t="str">
        <f>IF(ISNUMBER(H417),ROUND(MAX(F417*'参数'!$C$11,'参数'!$C$12)+'参数'!$C$13,2),"")</f>
        <v/>
      </c>
      <c r="J417" s="43" t="str">
        <f>IF(ISNUMBER(H417),IF(D417="卖",ROUND(H417*N('参数'!$C$14)+F417*N('参数'!$C$15),2),0),"")</f>
        <v/>
      </c>
      <c r="K417" s="23" t="n"/>
      <c r="L417" s="20" t="str">
        <f>IF(ISNUMBER(K417),K417,IF(ISNUMBER(H417),I417+J417,""))</f>
        <v/>
      </c>
      <c r="M417" s="48" t="str">
        <f>IF(AND(ISNUMBER(E417),ISNUMBER(G417),ISNUMBER(F417)),(E417-G417)*IF(D417="卖",-1,1)*F417,"")</f>
        <v/>
      </c>
      <c r="N417" s="49" t="str">
        <f>IF(A417="","",IFERROR(T(INDEX('交易记录'!$C$5:$C$304,MATCH(A417,'交易记录'!$A$5:$A$304,0))),"编号没找到"))</f>
        <v/>
      </c>
      <c r="O417" s="31" t="n"/>
    </row>
    <row r="418">
      <c r="A418" s="29" t="n"/>
      <c r="B418" s="30" t="n"/>
      <c r="C418" s="47" t="n"/>
      <c r="D418" s="32" t="n"/>
      <c r="E418" s="33" t="n"/>
      <c r="F418" s="36" t="n"/>
      <c r="G418" s="33" t="n"/>
      <c r="H418" s="20" t="str">
        <f>IF(AND(ISNUMBER(E418),ISNUMBER(F418)),E418*F418,"")</f>
        <v/>
      </c>
      <c r="I418" s="43" t="str">
        <f>IF(ISNUMBER(H418),ROUND(MAX(F418*'参数'!$C$11,'参数'!$C$12)+'参数'!$C$13,2),"")</f>
        <v/>
      </c>
      <c r="J418" s="43" t="str">
        <f>IF(ISNUMBER(H418),IF(D418="卖",ROUND(H418*N('参数'!$C$14)+F418*N('参数'!$C$15),2),0),"")</f>
        <v/>
      </c>
      <c r="K418" s="23" t="n"/>
      <c r="L418" s="20" t="str">
        <f>IF(ISNUMBER(K418),K418,IF(ISNUMBER(H418),I418+J418,""))</f>
        <v/>
      </c>
      <c r="M418" s="48" t="str">
        <f>IF(AND(ISNUMBER(E418),ISNUMBER(G418),ISNUMBER(F418)),(E418-G418)*IF(D418="卖",-1,1)*F418,"")</f>
        <v/>
      </c>
      <c r="N418" s="49" t="str">
        <f>IF(A418="","",IFERROR(T(INDEX('交易记录'!$C$5:$C$304,MATCH(A418,'交易记录'!$A$5:$A$304,0))),"编号没找到"))</f>
        <v/>
      </c>
      <c r="O418" s="31" t="n"/>
    </row>
    <row r="419">
      <c r="A419" s="29" t="n"/>
      <c r="B419" s="30" t="n"/>
      <c r="C419" s="47" t="n"/>
      <c r="D419" s="32" t="n"/>
      <c r="E419" s="33" t="n"/>
      <c r="F419" s="36" t="n"/>
      <c r="G419" s="33" t="n"/>
      <c r="H419" s="20" t="str">
        <f>IF(AND(ISNUMBER(E419),ISNUMBER(F419)),E419*F419,"")</f>
        <v/>
      </c>
      <c r="I419" s="43" t="str">
        <f>IF(ISNUMBER(H419),ROUND(MAX(F419*'参数'!$C$11,'参数'!$C$12)+'参数'!$C$13,2),"")</f>
        <v/>
      </c>
      <c r="J419" s="43" t="str">
        <f>IF(ISNUMBER(H419),IF(D419="卖",ROUND(H419*N('参数'!$C$14)+F419*N('参数'!$C$15),2),0),"")</f>
        <v/>
      </c>
      <c r="K419" s="23" t="n"/>
      <c r="L419" s="20" t="str">
        <f>IF(ISNUMBER(K419),K419,IF(ISNUMBER(H419),I419+J419,""))</f>
        <v/>
      </c>
      <c r="M419" s="48" t="str">
        <f>IF(AND(ISNUMBER(E419),ISNUMBER(G419),ISNUMBER(F419)),(E419-G419)*IF(D419="卖",-1,1)*F419,"")</f>
        <v/>
      </c>
      <c r="N419" s="49" t="str">
        <f>IF(A419="","",IFERROR(T(INDEX('交易记录'!$C$5:$C$304,MATCH(A419,'交易记录'!$A$5:$A$304,0))),"编号没找到"))</f>
        <v/>
      </c>
      <c r="O419" s="31" t="n"/>
    </row>
    <row r="420">
      <c r="A420" s="29" t="n"/>
      <c r="B420" s="30" t="n"/>
      <c r="C420" s="47" t="n"/>
      <c r="D420" s="32" t="n"/>
      <c r="E420" s="33" t="n"/>
      <c r="F420" s="36" t="n"/>
      <c r="G420" s="33" t="n"/>
      <c r="H420" s="20" t="str">
        <f>IF(AND(ISNUMBER(E420),ISNUMBER(F420)),E420*F420,"")</f>
        <v/>
      </c>
      <c r="I420" s="43" t="str">
        <f>IF(ISNUMBER(H420),ROUND(MAX(F420*'参数'!$C$11,'参数'!$C$12)+'参数'!$C$13,2),"")</f>
        <v/>
      </c>
      <c r="J420" s="43" t="str">
        <f>IF(ISNUMBER(H420),IF(D420="卖",ROUND(H420*N('参数'!$C$14)+F420*N('参数'!$C$15),2),0),"")</f>
        <v/>
      </c>
      <c r="K420" s="23" t="n"/>
      <c r="L420" s="20" t="str">
        <f>IF(ISNUMBER(K420),K420,IF(ISNUMBER(H420),I420+J420,""))</f>
        <v/>
      </c>
      <c r="M420" s="48" t="str">
        <f>IF(AND(ISNUMBER(E420),ISNUMBER(G420),ISNUMBER(F420)),(E420-G420)*IF(D420="卖",-1,1)*F420,"")</f>
        <v/>
      </c>
      <c r="N420" s="49" t="str">
        <f>IF(A420="","",IFERROR(T(INDEX('交易记录'!$C$5:$C$304,MATCH(A420,'交易记录'!$A$5:$A$304,0))),"编号没找到"))</f>
        <v/>
      </c>
      <c r="O420" s="31" t="n"/>
    </row>
    <row r="421">
      <c r="A421" s="29" t="n"/>
      <c r="B421" s="30" t="n"/>
      <c r="C421" s="47" t="n"/>
      <c r="D421" s="32" t="n"/>
      <c r="E421" s="33" t="n"/>
      <c r="F421" s="36" t="n"/>
      <c r="G421" s="33" t="n"/>
      <c r="H421" s="20" t="str">
        <f>IF(AND(ISNUMBER(E421),ISNUMBER(F421)),E421*F421,"")</f>
        <v/>
      </c>
      <c r="I421" s="43" t="str">
        <f>IF(ISNUMBER(H421),ROUND(MAX(F421*'参数'!$C$11,'参数'!$C$12)+'参数'!$C$13,2),"")</f>
        <v/>
      </c>
      <c r="J421" s="43" t="str">
        <f>IF(ISNUMBER(H421),IF(D421="卖",ROUND(H421*N('参数'!$C$14)+F421*N('参数'!$C$15),2),0),"")</f>
        <v/>
      </c>
      <c r="K421" s="23" t="n"/>
      <c r="L421" s="20" t="str">
        <f>IF(ISNUMBER(K421),K421,IF(ISNUMBER(H421),I421+J421,""))</f>
        <v/>
      </c>
      <c r="M421" s="48" t="str">
        <f>IF(AND(ISNUMBER(E421),ISNUMBER(G421),ISNUMBER(F421)),(E421-G421)*IF(D421="卖",-1,1)*F421,"")</f>
        <v/>
      </c>
      <c r="N421" s="49" t="str">
        <f>IF(A421="","",IFERROR(T(INDEX('交易记录'!$C$5:$C$304,MATCH(A421,'交易记录'!$A$5:$A$304,0))),"编号没找到"))</f>
        <v/>
      </c>
      <c r="O421" s="31" t="n"/>
    </row>
    <row r="422">
      <c r="A422" s="29" t="n"/>
      <c r="B422" s="30" t="n"/>
      <c r="C422" s="47" t="n"/>
      <c r="D422" s="32" t="n"/>
      <c r="E422" s="33" t="n"/>
      <c r="F422" s="36" t="n"/>
      <c r="G422" s="33" t="n"/>
      <c r="H422" s="20" t="str">
        <f>IF(AND(ISNUMBER(E422),ISNUMBER(F422)),E422*F422,"")</f>
        <v/>
      </c>
      <c r="I422" s="43" t="str">
        <f>IF(ISNUMBER(H422),ROUND(MAX(F422*'参数'!$C$11,'参数'!$C$12)+'参数'!$C$13,2),"")</f>
        <v/>
      </c>
      <c r="J422" s="43" t="str">
        <f>IF(ISNUMBER(H422),IF(D422="卖",ROUND(H422*N('参数'!$C$14)+F422*N('参数'!$C$15),2),0),"")</f>
        <v/>
      </c>
      <c r="K422" s="23" t="n"/>
      <c r="L422" s="20" t="str">
        <f>IF(ISNUMBER(K422),K422,IF(ISNUMBER(H422),I422+J422,""))</f>
        <v/>
      </c>
      <c r="M422" s="48" t="str">
        <f>IF(AND(ISNUMBER(E422),ISNUMBER(G422),ISNUMBER(F422)),(E422-G422)*IF(D422="卖",-1,1)*F422,"")</f>
        <v/>
      </c>
      <c r="N422" s="49" t="str">
        <f>IF(A422="","",IFERROR(T(INDEX('交易记录'!$C$5:$C$304,MATCH(A422,'交易记录'!$A$5:$A$304,0))),"编号没找到"))</f>
        <v/>
      </c>
      <c r="O422" s="31" t="n"/>
    </row>
    <row r="423">
      <c r="A423" s="29" t="n"/>
      <c r="B423" s="30" t="n"/>
      <c r="C423" s="47" t="n"/>
      <c r="D423" s="32" t="n"/>
      <c r="E423" s="33" t="n"/>
      <c r="F423" s="36" t="n"/>
      <c r="G423" s="33" t="n"/>
      <c r="H423" s="20" t="str">
        <f>IF(AND(ISNUMBER(E423),ISNUMBER(F423)),E423*F423,"")</f>
        <v/>
      </c>
      <c r="I423" s="43" t="str">
        <f>IF(ISNUMBER(H423),ROUND(MAX(F423*'参数'!$C$11,'参数'!$C$12)+'参数'!$C$13,2),"")</f>
        <v/>
      </c>
      <c r="J423" s="43" t="str">
        <f>IF(ISNUMBER(H423),IF(D423="卖",ROUND(H423*N('参数'!$C$14)+F423*N('参数'!$C$15),2),0),"")</f>
        <v/>
      </c>
      <c r="K423" s="23" t="n"/>
      <c r="L423" s="20" t="str">
        <f>IF(ISNUMBER(K423),K423,IF(ISNUMBER(H423),I423+J423,""))</f>
        <v/>
      </c>
      <c r="M423" s="48" t="str">
        <f>IF(AND(ISNUMBER(E423),ISNUMBER(G423),ISNUMBER(F423)),(E423-G423)*IF(D423="卖",-1,1)*F423,"")</f>
        <v/>
      </c>
      <c r="N423" s="49" t="str">
        <f>IF(A423="","",IFERROR(T(INDEX('交易记录'!$C$5:$C$304,MATCH(A423,'交易记录'!$A$5:$A$304,0))),"编号没找到"))</f>
        <v/>
      </c>
      <c r="O423" s="31" t="n"/>
    </row>
    <row r="424">
      <c r="A424" s="29" t="n"/>
      <c r="B424" s="30" t="n"/>
      <c r="C424" s="47" t="n"/>
      <c r="D424" s="32" t="n"/>
      <c r="E424" s="33" t="n"/>
      <c r="F424" s="36" t="n"/>
      <c r="G424" s="33" t="n"/>
      <c r="H424" s="20" t="str">
        <f>IF(AND(ISNUMBER(E424),ISNUMBER(F424)),E424*F424,"")</f>
        <v/>
      </c>
      <c r="I424" s="43" t="str">
        <f>IF(ISNUMBER(H424),ROUND(MAX(F424*'参数'!$C$11,'参数'!$C$12)+'参数'!$C$13,2),"")</f>
        <v/>
      </c>
      <c r="J424" s="43" t="str">
        <f>IF(ISNUMBER(H424),IF(D424="卖",ROUND(H424*N('参数'!$C$14)+F424*N('参数'!$C$15),2),0),"")</f>
        <v/>
      </c>
      <c r="K424" s="23" t="n"/>
      <c r="L424" s="20" t="str">
        <f>IF(ISNUMBER(K424),K424,IF(ISNUMBER(H424),I424+J424,""))</f>
        <v/>
      </c>
      <c r="M424" s="48" t="str">
        <f>IF(AND(ISNUMBER(E424),ISNUMBER(G424),ISNUMBER(F424)),(E424-G424)*IF(D424="卖",-1,1)*F424,"")</f>
        <v/>
      </c>
      <c r="N424" s="49" t="str">
        <f>IF(A424="","",IFERROR(T(INDEX('交易记录'!$C$5:$C$304,MATCH(A424,'交易记录'!$A$5:$A$304,0))),"编号没找到"))</f>
        <v/>
      </c>
      <c r="O424" s="31" t="n"/>
    </row>
    <row r="425">
      <c r="A425" s="29" t="n"/>
      <c r="B425" s="30" t="n"/>
      <c r="C425" s="47" t="n"/>
      <c r="D425" s="32" t="n"/>
      <c r="E425" s="33" t="n"/>
      <c r="F425" s="36" t="n"/>
      <c r="G425" s="33" t="n"/>
      <c r="H425" s="20" t="str">
        <f>IF(AND(ISNUMBER(E425),ISNUMBER(F425)),E425*F425,"")</f>
        <v/>
      </c>
      <c r="I425" s="43" t="str">
        <f>IF(ISNUMBER(H425),ROUND(MAX(F425*'参数'!$C$11,'参数'!$C$12)+'参数'!$C$13,2),"")</f>
        <v/>
      </c>
      <c r="J425" s="43" t="str">
        <f>IF(ISNUMBER(H425),IF(D425="卖",ROUND(H425*N('参数'!$C$14)+F425*N('参数'!$C$15),2),0),"")</f>
        <v/>
      </c>
      <c r="K425" s="23" t="n"/>
      <c r="L425" s="20" t="str">
        <f>IF(ISNUMBER(K425),K425,IF(ISNUMBER(H425),I425+J425,""))</f>
        <v/>
      </c>
      <c r="M425" s="48" t="str">
        <f>IF(AND(ISNUMBER(E425),ISNUMBER(G425),ISNUMBER(F425)),(E425-G425)*IF(D425="卖",-1,1)*F425,"")</f>
        <v/>
      </c>
      <c r="N425" s="49" t="str">
        <f>IF(A425="","",IFERROR(T(INDEX('交易记录'!$C$5:$C$304,MATCH(A425,'交易记录'!$A$5:$A$304,0))),"编号没找到"))</f>
        <v/>
      </c>
      <c r="O425" s="31" t="n"/>
    </row>
    <row r="426">
      <c r="A426" s="29" t="n"/>
      <c r="B426" s="30" t="n"/>
      <c r="C426" s="47" t="n"/>
      <c r="D426" s="32" t="n"/>
      <c r="E426" s="33" t="n"/>
      <c r="F426" s="36" t="n"/>
      <c r="G426" s="33" t="n"/>
      <c r="H426" s="20" t="str">
        <f>IF(AND(ISNUMBER(E426),ISNUMBER(F426)),E426*F426,"")</f>
        <v/>
      </c>
      <c r="I426" s="43" t="str">
        <f>IF(ISNUMBER(H426),ROUND(MAX(F426*'参数'!$C$11,'参数'!$C$12)+'参数'!$C$13,2),"")</f>
        <v/>
      </c>
      <c r="J426" s="43" t="str">
        <f>IF(ISNUMBER(H426),IF(D426="卖",ROUND(H426*N('参数'!$C$14)+F426*N('参数'!$C$15),2),0),"")</f>
        <v/>
      </c>
      <c r="K426" s="23" t="n"/>
      <c r="L426" s="20" t="str">
        <f>IF(ISNUMBER(K426),K426,IF(ISNUMBER(H426),I426+J426,""))</f>
        <v/>
      </c>
      <c r="M426" s="48" t="str">
        <f>IF(AND(ISNUMBER(E426),ISNUMBER(G426),ISNUMBER(F426)),(E426-G426)*IF(D426="卖",-1,1)*F426,"")</f>
        <v/>
      </c>
      <c r="N426" s="49" t="str">
        <f>IF(A426="","",IFERROR(T(INDEX('交易记录'!$C$5:$C$304,MATCH(A426,'交易记录'!$A$5:$A$304,0))),"编号没找到"))</f>
        <v/>
      </c>
      <c r="O426" s="31" t="n"/>
    </row>
    <row r="427">
      <c r="A427" s="29" t="n"/>
      <c r="B427" s="30" t="n"/>
      <c r="C427" s="47" t="n"/>
      <c r="D427" s="32" t="n"/>
      <c r="E427" s="33" t="n"/>
      <c r="F427" s="36" t="n"/>
      <c r="G427" s="33" t="n"/>
      <c r="H427" s="20" t="str">
        <f>IF(AND(ISNUMBER(E427),ISNUMBER(F427)),E427*F427,"")</f>
        <v/>
      </c>
      <c r="I427" s="43" t="str">
        <f>IF(ISNUMBER(H427),ROUND(MAX(F427*'参数'!$C$11,'参数'!$C$12)+'参数'!$C$13,2),"")</f>
        <v/>
      </c>
      <c r="J427" s="43" t="str">
        <f>IF(ISNUMBER(H427),IF(D427="卖",ROUND(H427*N('参数'!$C$14)+F427*N('参数'!$C$15),2),0),"")</f>
        <v/>
      </c>
      <c r="K427" s="23" t="n"/>
      <c r="L427" s="20" t="str">
        <f>IF(ISNUMBER(K427),K427,IF(ISNUMBER(H427),I427+J427,""))</f>
        <v/>
      </c>
      <c r="M427" s="48" t="str">
        <f>IF(AND(ISNUMBER(E427),ISNUMBER(G427),ISNUMBER(F427)),(E427-G427)*IF(D427="卖",-1,1)*F427,"")</f>
        <v/>
      </c>
      <c r="N427" s="49" t="str">
        <f>IF(A427="","",IFERROR(T(INDEX('交易记录'!$C$5:$C$304,MATCH(A427,'交易记录'!$A$5:$A$304,0))),"编号没找到"))</f>
        <v/>
      </c>
      <c r="O427" s="31" t="n"/>
    </row>
    <row r="428">
      <c r="A428" s="29" t="n"/>
      <c r="B428" s="30" t="n"/>
      <c r="C428" s="47" t="n"/>
      <c r="D428" s="32" t="n"/>
      <c r="E428" s="33" t="n"/>
      <c r="F428" s="36" t="n"/>
      <c r="G428" s="33" t="n"/>
      <c r="H428" s="20" t="str">
        <f>IF(AND(ISNUMBER(E428),ISNUMBER(F428)),E428*F428,"")</f>
        <v/>
      </c>
      <c r="I428" s="43" t="str">
        <f>IF(ISNUMBER(H428),ROUND(MAX(F428*'参数'!$C$11,'参数'!$C$12)+'参数'!$C$13,2),"")</f>
        <v/>
      </c>
      <c r="J428" s="43" t="str">
        <f>IF(ISNUMBER(H428),IF(D428="卖",ROUND(H428*N('参数'!$C$14)+F428*N('参数'!$C$15),2),0),"")</f>
        <v/>
      </c>
      <c r="K428" s="23" t="n"/>
      <c r="L428" s="20" t="str">
        <f>IF(ISNUMBER(K428),K428,IF(ISNUMBER(H428),I428+J428,""))</f>
        <v/>
      </c>
      <c r="M428" s="48" t="str">
        <f>IF(AND(ISNUMBER(E428),ISNUMBER(G428),ISNUMBER(F428)),(E428-G428)*IF(D428="卖",-1,1)*F428,"")</f>
        <v/>
      </c>
      <c r="N428" s="49" t="str">
        <f>IF(A428="","",IFERROR(T(INDEX('交易记录'!$C$5:$C$304,MATCH(A428,'交易记录'!$A$5:$A$304,0))),"编号没找到"))</f>
        <v/>
      </c>
      <c r="O428" s="31" t="n"/>
    </row>
    <row r="429">
      <c r="A429" s="29" t="n"/>
      <c r="B429" s="30" t="n"/>
      <c r="C429" s="47" t="n"/>
      <c r="D429" s="32" t="n"/>
      <c r="E429" s="33" t="n"/>
      <c r="F429" s="36" t="n"/>
      <c r="G429" s="33" t="n"/>
      <c r="H429" s="20" t="str">
        <f>IF(AND(ISNUMBER(E429),ISNUMBER(F429)),E429*F429,"")</f>
        <v/>
      </c>
      <c r="I429" s="43" t="str">
        <f>IF(ISNUMBER(H429),ROUND(MAX(F429*'参数'!$C$11,'参数'!$C$12)+'参数'!$C$13,2),"")</f>
        <v/>
      </c>
      <c r="J429" s="43" t="str">
        <f>IF(ISNUMBER(H429),IF(D429="卖",ROUND(H429*N('参数'!$C$14)+F429*N('参数'!$C$15),2),0),"")</f>
        <v/>
      </c>
      <c r="K429" s="23" t="n"/>
      <c r="L429" s="20" t="str">
        <f>IF(ISNUMBER(K429),K429,IF(ISNUMBER(H429),I429+J429,""))</f>
        <v/>
      </c>
      <c r="M429" s="48" t="str">
        <f>IF(AND(ISNUMBER(E429),ISNUMBER(G429),ISNUMBER(F429)),(E429-G429)*IF(D429="卖",-1,1)*F429,"")</f>
        <v/>
      </c>
      <c r="N429" s="49" t="str">
        <f>IF(A429="","",IFERROR(T(INDEX('交易记录'!$C$5:$C$304,MATCH(A429,'交易记录'!$A$5:$A$304,0))),"编号没找到"))</f>
        <v/>
      </c>
      <c r="O429" s="31" t="n"/>
    </row>
    <row r="430">
      <c r="A430" s="29" t="n"/>
      <c r="B430" s="30" t="n"/>
      <c r="C430" s="47" t="n"/>
      <c r="D430" s="32" t="n"/>
      <c r="E430" s="33" t="n"/>
      <c r="F430" s="36" t="n"/>
      <c r="G430" s="33" t="n"/>
      <c r="H430" s="20" t="str">
        <f>IF(AND(ISNUMBER(E430),ISNUMBER(F430)),E430*F430,"")</f>
        <v/>
      </c>
      <c r="I430" s="43" t="str">
        <f>IF(ISNUMBER(H430),ROUND(MAX(F430*'参数'!$C$11,'参数'!$C$12)+'参数'!$C$13,2),"")</f>
        <v/>
      </c>
      <c r="J430" s="43" t="str">
        <f>IF(ISNUMBER(H430),IF(D430="卖",ROUND(H430*N('参数'!$C$14)+F430*N('参数'!$C$15),2),0),"")</f>
        <v/>
      </c>
      <c r="K430" s="23" t="n"/>
      <c r="L430" s="20" t="str">
        <f>IF(ISNUMBER(K430),K430,IF(ISNUMBER(H430),I430+J430,""))</f>
        <v/>
      </c>
      <c r="M430" s="48" t="str">
        <f>IF(AND(ISNUMBER(E430),ISNUMBER(G430),ISNUMBER(F430)),(E430-G430)*IF(D430="卖",-1,1)*F430,"")</f>
        <v/>
      </c>
      <c r="N430" s="49" t="str">
        <f>IF(A430="","",IFERROR(T(INDEX('交易记录'!$C$5:$C$304,MATCH(A430,'交易记录'!$A$5:$A$304,0))),"编号没找到"))</f>
        <v/>
      </c>
      <c r="O430" s="31" t="n"/>
    </row>
    <row r="431">
      <c r="A431" s="29" t="n"/>
      <c r="B431" s="30" t="n"/>
      <c r="C431" s="47" t="n"/>
      <c r="D431" s="32" t="n"/>
      <c r="E431" s="33" t="n"/>
      <c r="F431" s="36" t="n"/>
      <c r="G431" s="33" t="n"/>
      <c r="H431" s="20" t="str">
        <f>IF(AND(ISNUMBER(E431),ISNUMBER(F431)),E431*F431,"")</f>
        <v/>
      </c>
      <c r="I431" s="43" t="str">
        <f>IF(ISNUMBER(H431),ROUND(MAX(F431*'参数'!$C$11,'参数'!$C$12)+'参数'!$C$13,2),"")</f>
        <v/>
      </c>
      <c r="J431" s="43" t="str">
        <f>IF(ISNUMBER(H431),IF(D431="卖",ROUND(H431*N('参数'!$C$14)+F431*N('参数'!$C$15),2),0),"")</f>
        <v/>
      </c>
      <c r="K431" s="23" t="n"/>
      <c r="L431" s="20" t="str">
        <f>IF(ISNUMBER(K431),K431,IF(ISNUMBER(H431),I431+J431,""))</f>
        <v/>
      </c>
      <c r="M431" s="48" t="str">
        <f>IF(AND(ISNUMBER(E431),ISNUMBER(G431),ISNUMBER(F431)),(E431-G431)*IF(D431="卖",-1,1)*F431,"")</f>
        <v/>
      </c>
      <c r="N431" s="49" t="str">
        <f>IF(A431="","",IFERROR(T(INDEX('交易记录'!$C$5:$C$304,MATCH(A431,'交易记录'!$A$5:$A$304,0))),"编号没找到"))</f>
        <v/>
      </c>
      <c r="O431" s="31" t="n"/>
    </row>
    <row r="432">
      <c r="A432" s="29" t="n"/>
      <c r="B432" s="30" t="n"/>
      <c r="C432" s="47" t="n"/>
      <c r="D432" s="32" t="n"/>
      <c r="E432" s="33" t="n"/>
      <c r="F432" s="36" t="n"/>
      <c r="G432" s="33" t="n"/>
      <c r="H432" s="20" t="str">
        <f>IF(AND(ISNUMBER(E432),ISNUMBER(F432)),E432*F432,"")</f>
        <v/>
      </c>
      <c r="I432" s="43" t="str">
        <f>IF(ISNUMBER(H432),ROUND(MAX(F432*'参数'!$C$11,'参数'!$C$12)+'参数'!$C$13,2),"")</f>
        <v/>
      </c>
      <c r="J432" s="43" t="str">
        <f>IF(ISNUMBER(H432),IF(D432="卖",ROUND(H432*N('参数'!$C$14)+F432*N('参数'!$C$15),2),0),"")</f>
        <v/>
      </c>
      <c r="K432" s="23" t="n"/>
      <c r="L432" s="20" t="str">
        <f>IF(ISNUMBER(K432),K432,IF(ISNUMBER(H432),I432+J432,""))</f>
        <v/>
      </c>
      <c r="M432" s="48" t="str">
        <f>IF(AND(ISNUMBER(E432),ISNUMBER(G432),ISNUMBER(F432)),(E432-G432)*IF(D432="卖",-1,1)*F432,"")</f>
        <v/>
      </c>
      <c r="N432" s="49" t="str">
        <f>IF(A432="","",IFERROR(T(INDEX('交易记录'!$C$5:$C$304,MATCH(A432,'交易记录'!$A$5:$A$304,0))),"编号没找到"))</f>
        <v/>
      </c>
      <c r="O432" s="31" t="n"/>
    </row>
    <row r="433">
      <c r="A433" s="29" t="n"/>
      <c r="B433" s="30" t="n"/>
      <c r="C433" s="47" t="n"/>
      <c r="D433" s="32" t="n"/>
      <c r="E433" s="33" t="n"/>
      <c r="F433" s="36" t="n"/>
      <c r="G433" s="33" t="n"/>
      <c r="H433" s="20" t="str">
        <f>IF(AND(ISNUMBER(E433),ISNUMBER(F433)),E433*F433,"")</f>
        <v/>
      </c>
      <c r="I433" s="43" t="str">
        <f>IF(ISNUMBER(H433),ROUND(MAX(F433*'参数'!$C$11,'参数'!$C$12)+'参数'!$C$13,2),"")</f>
        <v/>
      </c>
      <c r="J433" s="43" t="str">
        <f>IF(ISNUMBER(H433),IF(D433="卖",ROUND(H433*N('参数'!$C$14)+F433*N('参数'!$C$15),2),0),"")</f>
        <v/>
      </c>
      <c r="K433" s="23" t="n"/>
      <c r="L433" s="20" t="str">
        <f>IF(ISNUMBER(K433),K433,IF(ISNUMBER(H433),I433+J433,""))</f>
        <v/>
      </c>
      <c r="M433" s="48" t="str">
        <f>IF(AND(ISNUMBER(E433),ISNUMBER(G433),ISNUMBER(F433)),(E433-G433)*IF(D433="卖",-1,1)*F433,"")</f>
        <v/>
      </c>
      <c r="N433" s="49" t="str">
        <f>IF(A433="","",IFERROR(T(INDEX('交易记录'!$C$5:$C$304,MATCH(A433,'交易记录'!$A$5:$A$304,0))),"编号没找到"))</f>
        <v/>
      </c>
      <c r="O433" s="31" t="n"/>
    </row>
    <row r="434">
      <c r="A434" s="29" t="n"/>
      <c r="B434" s="30" t="n"/>
      <c r="C434" s="47" t="n"/>
      <c r="D434" s="32" t="n"/>
      <c r="E434" s="33" t="n"/>
      <c r="F434" s="36" t="n"/>
      <c r="G434" s="33" t="n"/>
      <c r="H434" s="20" t="str">
        <f>IF(AND(ISNUMBER(E434),ISNUMBER(F434)),E434*F434,"")</f>
        <v/>
      </c>
      <c r="I434" s="43" t="str">
        <f>IF(ISNUMBER(H434),ROUND(MAX(F434*'参数'!$C$11,'参数'!$C$12)+'参数'!$C$13,2),"")</f>
        <v/>
      </c>
      <c r="J434" s="43" t="str">
        <f>IF(ISNUMBER(H434),IF(D434="卖",ROUND(H434*N('参数'!$C$14)+F434*N('参数'!$C$15),2),0),"")</f>
        <v/>
      </c>
      <c r="K434" s="23" t="n"/>
      <c r="L434" s="20" t="str">
        <f>IF(ISNUMBER(K434),K434,IF(ISNUMBER(H434),I434+J434,""))</f>
        <v/>
      </c>
      <c r="M434" s="48" t="str">
        <f>IF(AND(ISNUMBER(E434),ISNUMBER(G434),ISNUMBER(F434)),(E434-G434)*IF(D434="卖",-1,1)*F434,"")</f>
        <v/>
      </c>
      <c r="N434" s="49" t="str">
        <f>IF(A434="","",IFERROR(T(INDEX('交易记录'!$C$5:$C$304,MATCH(A434,'交易记录'!$A$5:$A$304,0))),"编号没找到"))</f>
        <v/>
      </c>
      <c r="O434" s="31" t="n"/>
    </row>
    <row r="435">
      <c r="A435" s="29" t="n"/>
      <c r="B435" s="30" t="n"/>
      <c r="C435" s="47" t="n"/>
      <c r="D435" s="32" t="n"/>
      <c r="E435" s="33" t="n"/>
      <c r="F435" s="36" t="n"/>
      <c r="G435" s="33" t="n"/>
      <c r="H435" s="20" t="str">
        <f>IF(AND(ISNUMBER(E435),ISNUMBER(F435)),E435*F435,"")</f>
        <v/>
      </c>
      <c r="I435" s="43" t="str">
        <f>IF(ISNUMBER(H435),ROUND(MAX(F435*'参数'!$C$11,'参数'!$C$12)+'参数'!$C$13,2),"")</f>
        <v/>
      </c>
      <c r="J435" s="43" t="str">
        <f>IF(ISNUMBER(H435),IF(D435="卖",ROUND(H435*N('参数'!$C$14)+F435*N('参数'!$C$15),2),0),"")</f>
        <v/>
      </c>
      <c r="K435" s="23" t="n"/>
      <c r="L435" s="20" t="str">
        <f>IF(ISNUMBER(K435),K435,IF(ISNUMBER(H435),I435+J435,""))</f>
        <v/>
      </c>
      <c r="M435" s="48" t="str">
        <f>IF(AND(ISNUMBER(E435),ISNUMBER(G435),ISNUMBER(F435)),(E435-G435)*IF(D435="卖",-1,1)*F435,"")</f>
        <v/>
      </c>
      <c r="N435" s="49" t="str">
        <f>IF(A435="","",IFERROR(T(INDEX('交易记录'!$C$5:$C$304,MATCH(A435,'交易记录'!$A$5:$A$304,0))),"编号没找到"))</f>
        <v/>
      </c>
      <c r="O435" s="31" t="n"/>
    </row>
    <row r="436">
      <c r="A436" s="29" t="n"/>
      <c r="B436" s="30" t="n"/>
      <c r="C436" s="47" t="n"/>
      <c r="D436" s="32" t="n"/>
      <c r="E436" s="33" t="n"/>
      <c r="F436" s="36" t="n"/>
      <c r="G436" s="33" t="n"/>
      <c r="H436" s="20" t="str">
        <f>IF(AND(ISNUMBER(E436),ISNUMBER(F436)),E436*F436,"")</f>
        <v/>
      </c>
      <c r="I436" s="43" t="str">
        <f>IF(ISNUMBER(H436),ROUND(MAX(F436*'参数'!$C$11,'参数'!$C$12)+'参数'!$C$13,2),"")</f>
        <v/>
      </c>
      <c r="J436" s="43" t="str">
        <f>IF(ISNUMBER(H436),IF(D436="卖",ROUND(H436*N('参数'!$C$14)+F436*N('参数'!$C$15),2),0),"")</f>
        <v/>
      </c>
      <c r="K436" s="23" t="n"/>
      <c r="L436" s="20" t="str">
        <f>IF(ISNUMBER(K436),K436,IF(ISNUMBER(H436),I436+J436,""))</f>
        <v/>
      </c>
      <c r="M436" s="48" t="str">
        <f>IF(AND(ISNUMBER(E436),ISNUMBER(G436),ISNUMBER(F436)),(E436-G436)*IF(D436="卖",-1,1)*F436,"")</f>
        <v/>
      </c>
      <c r="N436" s="49" t="str">
        <f>IF(A436="","",IFERROR(T(INDEX('交易记录'!$C$5:$C$304,MATCH(A436,'交易记录'!$A$5:$A$304,0))),"编号没找到"))</f>
        <v/>
      </c>
      <c r="O436" s="31" t="n"/>
    </row>
    <row r="437">
      <c r="A437" s="29" t="n"/>
      <c r="B437" s="30" t="n"/>
      <c r="C437" s="47" t="n"/>
      <c r="D437" s="32" t="n"/>
      <c r="E437" s="33" t="n"/>
      <c r="F437" s="36" t="n"/>
      <c r="G437" s="33" t="n"/>
      <c r="H437" s="20" t="str">
        <f>IF(AND(ISNUMBER(E437),ISNUMBER(F437)),E437*F437,"")</f>
        <v/>
      </c>
      <c r="I437" s="43" t="str">
        <f>IF(ISNUMBER(H437),ROUND(MAX(F437*'参数'!$C$11,'参数'!$C$12)+'参数'!$C$13,2),"")</f>
        <v/>
      </c>
      <c r="J437" s="43" t="str">
        <f>IF(ISNUMBER(H437),IF(D437="卖",ROUND(H437*N('参数'!$C$14)+F437*N('参数'!$C$15),2),0),"")</f>
        <v/>
      </c>
      <c r="K437" s="23" t="n"/>
      <c r="L437" s="20" t="str">
        <f>IF(ISNUMBER(K437),K437,IF(ISNUMBER(H437),I437+J437,""))</f>
        <v/>
      </c>
      <c r="M437" s="48" t="str">
        <f>IF(AND(ISNUMBER(E437),ISNUMBER(G437),ISNUMBER(F437)),(E437-G437)*IF(D437="卖",-1,1)*F437,"")</f>
        <v/>
      </c>
      <c r="N437" s="49" t="str">
        <f>IF(A437="","",IFERROR(T(INDEX('交易记录'!$C$5:$C$304,MATCH(A437,'交易记录'!$A$5:$A$304,0))),"编号没找到"))</f>
        <v/>
      </c>
      <c r="O437" s="31" t="n"/>
    </row>
    <row r="438">
      <c r="A438" s="29" t="n"/>
      <c r="B438" s="30" t="n"/>
      <c r="C438" s="47" t="n"/>
      <c r="D438" s="32" t="n"/>
      <c r="E438" s="33" t="n"/>
      <c r="F438" s="36" t="n"/>
      <c r="G438" s="33" t="n"/>
      <c r="H438" s="20" t="str">
        <f>IF(AND(ISNUMBER(E438),ISNUMBER(F438)),E438*F438,"")</f>
        <v/>
      </c>
      <c r="I438" s="43" t="str">
        <f>IF(ISNUMBER(H438),ROUND(MAX(F438*'参数'!$C$11,'参数'!$C$12)+'参数'!$C$13,2),"")</f>
        <v/>
      </c>
      <c r="J438" s="43" t="str">
        <f>IF(ISNUMBER(H438),IF(D438="卖",ROUND(H438*N('参数'!$C$14)+F438*N('参数'!$C$15),2),0),"")</f>
        <v/>
      </c>
      <c r="K438" s="23" t="n"/>
      <c r="L438" s="20" t="str">
        <f>IF(ISNUMBER(K438),K438,IF(ISNUMBER(H438),I438+J438,""))</f>
        <v/>
      </c>
      <c r="M438" s="48" t="str">
        <f>IF(AND(ISNUMBER(E438),ISNUMBER(G438),ISNUMBER(F438)),(E438-G438)*IF(D438="卖",-1,1)*F438,"")</f>
        <v/>
      </c>
      <c r="N438" s="49" t="str">
        <f>IF(A438="","",IFERROR(T(INDEX('交易记录'!$C$5:$C$304,MATCH(A438,'交易记录'!$A$5:$A$304,0))),"编号没找到"))</f>
        <v/>
      </c>
      <c r="O438" s="31" t="n"/>
    </row>
    <row r="439">
      <c r="A439" s="29" t="n"/>
      <c r="B439" s="30" t="n"/>
      <c r="C439" s="47" t="n"/>
      <c r="D439" s="32" t="n"/>
      <c r="E439" s="33" t="n"/>
      <c r="F439" s="36" t="n"/>
      <c r="G439" s="33" t="n"/>
      <c r="H439" s="20" t="str">
        <f>IF(AND(ISNUMBER(E439),ISNUMBER(F439)),E439*F439,"")</f>
        <v/>
      </c>
      <c r="I439" s="43" t="str">
        <f>IF(ISNUMBER(H439),ROUND(MAX(F439*'参数'!$C$11,'参数'!$C$12)+'参数'!$C$13,2),"")</f>
        <v/>
      </c>
      <c r="J439" s="43" t="str">
        <f>IF(ISNUMBER(H439),IF(D439="卖",ROUND(H439*N('参数'!$C$14)+F439*N('参数'!$C$15),2),0),"")</f>
        <v/>
      </c>
      <c r="K439" s="23" t="n"/>
      <c r="L439" s="20" t="str">
        <f>IF(ISNUMBER(K439),K439,IF(ISNUMBER(H439),I439+J439,""))</f>
        <v/>
      </c>
      <c r="M439" s="48" t="str">
        <f>IF(AND(ISNUMBER(E439),ISNUMBER(G439),ISNUMBER(F439)),(E439-G439)*IF(D439="卖",-1,1)*F439,"")</f>
        <v/>
      </c>
      <c r="N439" s="49" t="str">
        <f>IF(A439="","",IFERROR(T(INDEX('交易记录'!$C$5:$C$304,MATCH(A439,'交易记录'!$A$5:$A$304,0))),"编号没找到"))</f>
        <v/>
      </c>
      <c r="O439" s="31" t="n"/>
    </row>
    <row r="440">
      <c r="A440" s="29" t="n"/>
      <c r="B440" s="30" t="n"/>
      <c r="C440" s="47" t="n"/>
      <c r="D440" s="32" t="n"/>
      <c r="E440" s="33" t="n"/>
      <c r="F440" s="36" t="n"/>
      <c r="G440" s="33" t="n"/>
      <c r="H440" s="20" t="str">
        <f>IF(AND(ISNUMBER(E440),ISNUMBER(F440)),E440*F440,"")</f>
        <v/>
      </c>
      <c r="I440" s="43" t="str">
        <f>IF(ISNUMBER(H440),ROUND(MAX(F440*'参数'!$C$11,'参数'!$C$12)+'参数'!$C$13,2),"")</f>
        <v/>
      </c>
      <c r="J440" s="43" t="str">
        <f>IF(ISNUMBER(H440),IF(D440="卖",ROUND(H440*N('参数'!$C$14)+F440*N('参数'!$C$15),2),0),"")</f>
        <v/>
      </c>
      <c r="K440" s="23" t="n"/>
      <c r="L440" s="20" t="str">
        <f>IF(ISNUMBER(K440),K440,IF(ISNUMBER(H440),I440+J440,""))</f>
        <v/>
      </c>
      <c r="M440" s="48" t="str">
        <f>IF(AND(ISNUMBER(E440),ISNUMBER(G440),ISNUMBER(F440)),(E440-G440)*IF(D440="卖",-1,1)*F440,"")</f>
        <v/>
      </c>
      <c r="N440" s="49" t="str">
        <f>IF(A440="","",IFERROR(T(INDEX('交易记录'!$C$5:$C$304,MATCH(A440,'交易记录'!$A$5:$A$304,0))),"编号没找到"))</f>
        <v/>
      </c>
      <c r="O440" s="31" t="n"/>
    </row>
    <row r="441">
      <c r="A441" s="29" t="n"/>
      <c r="B441" s="30" t="n"/>
      <c r="C441" s="47" t="n"/>
      <c r="D441" s="32" t="n"/>
      <c r="E441" s="33" t="n"/>
      <c r="F441" s="36" t="n"/>
      <c r="G441" s="33" t="n"/>
      <c r="H441" s="20" t="str">
        <f>IF(AND(ISNUMBER(E441),ISNUMBER(F441)),E441*F441,"")</f>
        <v/>
      </c>
      <c r="I441" s="43" t="str">
        <f>IF(ISNUMBER(H441),ROUND(MAX(F441*'参数'!$C$11,'参数'!$C$12)+'参数'!$C$13,2),"")</f>
        <v/>
      </c>
      <c r="J441" s="43" t="str">
        <f>IF(ISNUMBER(H441),IF(D441="卖",ROUND(H441*N('参数'!$C$14)+F441*N('参数'!$C$15),2),0),"")</f>
        <v/>
      </c>
      <c r="K441" s="23" t="n"/>
      <c r="L441" s="20" t="str">
        <f>IF(ISNUMBER(K441),K441,IF(ISNUMBER(H441),I441+J441,""))</f>
        <v/>
      </c>
      <c r="M441" s="48" t="str">
        <f>IF(AND(ISNUMBER(E441),ISNUMBER(G441),ISNUMBER(F441)),(E441-G441)*IF(D441="卖",-1,1)*F441,"")</f>
        <v/>
      </c>
      <c r="N441" s="49" t="str">
        <f>IF(A441="","",IFERROR(T(INDEX('交易记录'!$C$5:$C$304,MATCH(A441,'交易记录'!$A$5:$A$304,0))),"编号没找到"))</f>
        <v/>
      </c>
      <c r="O441" s="31" t="n"/>
    </row>
    <row r="442">
      <c r="A442" s="29" t="n"/>
      <c r="B442" s="30" t="n"/>
      <c r="C442" s="47" t="n"/>
      <c r="D442" s="32" t="n"/>
      <c r="E442" s="33" t="n"/>
      <c r="F442" s="36" t="n"/>
      <c r="G442" s="33" t="n"/>
      <c r="H442" s="20" t="str">
        <f>IF(AND(ISNUMBER(E442),ISNUMBER(F442)),E442*F442,"")</f>
        <v/>
      </c>
      <c r="I442" s="43" t="str">
        <f>IF(ISNUMBER(H442),ROUND(MAX(F442*'参数'!$C$11,'参数'!$C$12)+'参数'!$C$13,2),"")</f>
        <v/>
      </c>
      <c r="J442" s="43" t="str">
        <f>IF(ISNUMBER(H442),IF(D442="卖",ROUND(H442*N('参数'!$C$14)+F442*N('参数'!$C$15),2),0),"")</f>
        <v/>
      </c>
      <c r="K442" s="23" t="n"/>
      <c r="L442" s="20" t="str">
        <f>IF(ISNUMBER(K442),K442,IF(ISNUMBER(H442),I442+J442,""))</f>
        <v/>
      </c>
      <c r="M442" s="48" t="str">
        <f>IF(AND(ISNUMBER(E442),ISNUMBER(G442),ISNUMBER(F442)),(E442-G442)*IF(D442="卖",-1,1)*F442,"")</f>
        <v/>
      </c>
      <c r="N442" s="49" t="str">
        <f>IF(A442="","",IFERROR(T(INDEX('交易记录'!$C$5:$C$304,MATCH(A442,'交易记录'!$A$5:$A$304,0))),"编号没找到"))</f>
        <v/>
      </c>
      <c r="O442" s="31" t="n"/>
    </row>
    <row r="443">
      <c r="A443" s="29" t="n"/>
      <c r="B443" s="30" t="n"/>
      <c r="C443" s="47" t="n"/>
      <c r="D443" s="32" t="n"/>
      <c r="E443" s="33" t="n"/>
      <c r="F443" s="36" t="n"/>
      <c r="G443" s="33" t="n"/>
      <c r="H443" s="20" t="str">
        <f>IF(AND(ISNUMBER(E443),ISNUMBER(F443)),E443*F443,"")</f>
        <v/>
      </c>
      <c r="I443" s="43" t="str">
        <f>IF(ISNUMBER(H443),ROUND(MAX(F443*'参数'!$C$11,'参数'!$C$12)+'参数'!$C$13,2),"")</f>
        <v/>
      </c>
      <c r="J443" s="43" t="str">
        <f>IF(ISNUMBER(H443),IF(D443="卖",ROUND(H443*N('参数'!$C$14)+F443*N('参数'!$C$15),2),0),"")</f>
        <v/>
      </c>
      <c r="K443" s="23" t="n"/>
      <c r="L443" s="20" t="str">
        <f>IF(ISNUMBER(K443),K443,IF(ISNUMBER(H443),I443+J443,""))</f>
        <v/>
      </c>
      <c r="M443" s="48" t="str">
        <f>IF(AND(ISNUMBER(E443),ISNUMBER(G443),ISNUMBER(F443)),(E443-G443)*IF(D443="卖",-1,1)*F443,"")</f>
        <v/>
      </c>
      <c r="N443" s="49" t="str">
        <f>IF(A443="","",IFERROR(T(INDEX('交易记录'!$C$5:$C$304,MATCH(A443,'交易记录'!$A$5:$A$304,0))),"编号没找到"))</f>
        <v/>
      </c>
      <c r="O443" s="31" t="n"/>
    </row>
    <row r="444">
      <c r="A444" s="29" t="n"/>
      <c r="B444" s="30" t="n"/>
      <c r="C444" s="47" t="n"/>
      <c r="D444" s="32" t="n"/>
      <c r="E444" s="33" t="n"/>
      <c r="F444" s="36" t="n"/>
      <c r="G444" s="33" t="n"/>
      <c r="H444" s="20" t="str">
        <f>IF(AND(ISNUMBER(E444),ISNUMBER(F444)),E444*F444,"")</f>
        <v/>
      </c>
      <c r="I444" s="43" t="str">
        <f>IF(ISNUMBER(H444),ROUND(MAX(F444*'参数'!$C$11,'参数'!$C$12)+'参数'!$C$13,2),"")</f>
        <v/>
      </c>
      <c r="J444" s="43" t="str">
        <f>IF(ISNUMBER(H444),IF(D444="卖",ROUND(H444*N('参数'!$C$14)+F444*N('参数'!$C$15),2),0),"")</f>
        <v/>
      </c>
      <c r="K444" s="23" t="n"/>
      <c r="L444" s="20" t="str">
        <f>IF(ISNUMBER(K444),K444,IF(ISNUMBER(H444),I444+J444,""))</f>
        <v/>
      </c>
      <c r="M444" s="48" t="str">
        <f>IF(AND(ISNUMBER(E444),ISNUMBER(G444),ISNUMBER(F444)),(E444-G444)*IF(D444="卖",-1,1)*F444,"")</f>
        <v/>
      </c>
      <c r="N444" s="49" t="str">
        <f>IF(A444="","",IFERROR(T(INDEX('交易记录'!$C$5:$C$304,MATCH(A444,'交易记录'!$A$5:$A$304,0))),"编号没找到"))</f>
        <v/>
      </c>
      <c r="O444" s="31" t="n"/>
    </row>
    <row r="445">
      <c r="A445" s="29" t="n"/>
      <c r="B445" s="30" t="n"/>
      <c r="C445" s="47" t="n"/>
      <c r="D445" s="32" t="n"/>
      <c r="E445" s="33" t="n"/>
      <c r="F445" s="36" t="n"/>
      <c r="G445" s="33" t="n"/>
      <c r="H445" s="20" t="str">
        <f>IF(AND(ISNUMBER(E445),ISNUMBER(F445)),E445*F445,"")</f>
        <v/>
      </c>
      <c r="I445" s="43" t="str">
        <f>IF(ISNUMBER(H445),ROUND(MAX(F445*'参数'!$C$11,'参数'!$C$12)+'参数'!$C$13,2),"")</f>
        <v/>
      </c>
      <c r="J445" s="43" t="str">
        <f>IF(ISNUMBER(H445),IF(D445="卖",ROUND(H445*N('参数'!$C$14)+F445*N('参数'!$C$15),2),0),"")</f>
        <v/>
      </c>
      <c r="K445" s="23" t="n"/>
      <c r="L445" s="20" t="str">
        <f>IF(ISNUMBER(K445),K445,IF(ISNUMBER(H445),I445+J445,""))</f>
        <v/>
      </c>
      <c r="M445" s="48" t="str">
        <f>IF(AND(ISNUMBER(E445),ISNUMBER(G445),ISNUMBER(F445)),(E445-G445)*IF(D445="卖",-1,1)*F445,"")</f>
        <v/>
      </c>
      <c r="N445" s="49" t="str">
        <f>IF(A445="","",IFERROR(T(INDEX('交易记录'!$C$5:$C$304,MATCH(A445,'交易记录'!$A$5:$A$304,0))),"编号没找到"))</f>
        <v/>
      </c>
      <c r="O445" s="31" t="n"/>
    </row>
    <row r="446">
      <c r="A446" s="29" t="n"/>
      <c r="B446" s="30" t="n"/>
      <c r="C446" s="47" t="n"/>
      <c r="D446" s="32" t="n"/>
      <c r="E446" s="33" t="n"/>
      <c r="F446" s="36" t="n"/>
      <c r="G446" s="33" t="n"/>
      <c r="H446" s="20" t="str">
        <f>IF(AND(ISNUMBER(E446),ISNUMBER(F446)),E446*F446,"")</f>
        <v/>
      </c>
      <c r="I446" s="43" t="str">
        <f>IF(ISNUMBER(H446),ROUND(MAX(F446*'参数'!$C$11,'参数'!$C$12)+'参数'!$C$13,2),"")</f>
        <v/>
      </c>
      <c r="J446" s="43" t="str">
        <f>IF(ISNUMBER(H446),IF(D446="卖",ROUND(H446*N('参数'!$C$14)+F446*N('参数'!$C$15),2),0),"")</f>
        <v/>
      </c>
      <c r="K446" s="23" t="n"/>
      <c r="L446" s="20" t="str">
        <f>IF(ISNUMBER(K446),K446,IF(ISNUMBER(H446),I446+J446,""))</f>
        <v/>
      </c>
      <c r="M446" s="48" t="str">
        <f>IF(AND(ISNUMBER(E446),ISNUMBER(G446),ISNUMBER(F446)),(E446-G446)*IF(D446="卖",-1,1)*F446,"")</f>
        <v/>
      </c>
      <c r="N446" s="49" t="str">
        <f>IF(A446="","",IFERROR(T(INDEX('交易记录'!$C$5:$C$304,MATCH(A446,'交易记录'!$A$5:$A$304,0))),"编号没找到"))</f>
        <v/>
      </c>
      <c r="O446" s="31" t="n"/>
    </row>
    <row r="447">
      <c r="A447" s="29" t="n"/>
      <c r="B447" s="30" t="n"/>
      <c r="C447" s="47" t="n"/>
      <c r="D447" s="32" t="n"/>
      <c r="E447" s="33" t="n"/>
      <c r="F447" s="36" t="n"/>
      <c r="G447" s="33" t="n"/>
      <c r="H447" s="20" t="str">
        <f>IF(AND(ISNUMBER(E447),ISNUMBER(F447)),E447*F447,"")</f>
        <v/>
      </c>
      <c r="I447" s="43" t="str">
        <f>IF(ISNUMBER(H447),ROUND(MAX(F447*'参数'!$C$11,'参数'!$C$12)+'参数'!$C$13,2),"")</f>
        <v/>
      </c>
      <c r="J447" s="43" t="str">
        <f>IF(ISNUMBER(H447),IF(D447="卖",ROUND(H447*N('参数'!$C$14)+F447*N('参数'!$C$15),2),0),"")</f>
        <v/>
      </c>
      <c r="K447" s="23" t="n"/>
      <c r="L447" s="20" t="str">
        <f>IF(ISNUMBER(K447),K447,IF(ISNUMBER(H447),I447+J447,""))</f>
        <v/>
      </c>
      <c r="M447" s="48" t="str">
        <f>IF(AND(ISNUMBER(E447),ISNUMBER(G447),ISNUMBER(F447)),(E447-G447)*IF(D447="卖",-1,1)*F447,"")</f>
        <v/>
      </c>
      <c r="N447" s="49" t="str">
        <f>IF(A447="","",IFERROR(T(INDEX('交易记录'!$C$5:$C$304,MATCH(A447,'交易记录'!$A$5:$A$304,0))),"编号没找到"))</f>
        <v/>
      </c>
      <c r="O447" s="31" t="n"/>
    </row>
    <row r="448">
      <c r="A448" s="29" t="n"/>
      <c r="B448" s="30" t="n"/>
      <c r="C448" s="47" t="n"/>
      <c r="D448" s="32" t="n"/>
      <c r="E448" s="33" t="n"/>
      <c r="F448" s="36" t="n"/>
      <c r="G448" s="33" t="n"/>
      <c r="H448" s="20" t="str">
        <f>IF(AND(ISNUMBER(E448),ISNUMBER(F448)),E448*F448,"")</f>
        <v/>
      </c>
      <c r="I448" s="43" t="str">
        <f>IF(ISNUMBER(H448),ROUND(MAX(F448*'参数'!$C$11,'参数'!$C$12)+'参数'!$C$13,2),"")</f>
        <v/>
      </c>
      <c r="J448" s="43" t="str">
        <f>IF(ISNUMBER(H448),IF(D448="卖",ROUND(H448*N('参数'!$C$14)+F448*N('参数'!$C$15),2),0),"")</f>
        <v/>
      </c>
      <c r="K448" s="23" t="n"/>
      <c r="L448" s="20" t="str">
        <f>IF(ISNUMBER(K448),K448,IF(ISNUMBER(H448),I448+J448,""))</f>
        <v/>
      </c>
      <c r="M448" s="48" t="str">
        <f>IF(AND(ISNUMBER(E448),ISNUMBER(G448),ISNUMBER(F448)),(E448-G448)*IF(D448="卖",-1,1)*F448,"")</f>
        <v/>
      </c>
      <c r="N448" s="49" t="str">
        <f>IF(A448="","",IFERROR(T(INDEX('交易记录'!$C$5:$C$304,MATCH(A448,'交易记录'!$A$5:$A$304,0))),"编号没找到"))</f>
        <v/>
      </c>
      <c r="O448" s="31" t="n"/>
    </row>
    <row r="449">
      <c r="A449" s="29" t="n"/>
      <c r="B449" s="30" t="n"/>
      <c r="C449" s="47" t="n"/>
      <c r="D449" s="32" t="n"/>
      <c r="E449" s="33" t="n"/>
      <c r="F449" s="36" t="n"/>
      <c r="G449" s="33" t="n"/>
      <c r="H449" s="20" t="str">
        <f>IF(AND(ISNUMBER(E449),ISNUMBER(F449)),E449*F449,"")</f>
        <v/>
      </c>
      <c r="I449" s="43" t="str">
        <f>IF(ISNUMBER(H449),ROUND(MAX(F449*'参数'!$C$11,'参数'!$C$12)+'参数'!$C$13,2),"")</f>
        <v/>
      </c>
      <c r="J449" s="43" t="str">
        <f>IF(ISNUMBER(H449),IF(D449="卖",ROUND(H449*N('参数'!$C$14)+F449*N('参数'!$C$15),2),0),"")</f>
        <v/>
      </c>
      <c r="K449" s="23" t="n"/>
      <c r="L449" s="20" t="str">
        <f>IF(ISNUMBER(K449),K449,IF(ISNUMBER(H449),I449+J449,""))</f>
        <v/>
      </c>
      <c r="M449" s="48" t="str">
        <f>IF(AND(ISNUMBER(E449),ISNUMBER(G449),ISNUMBER(F449)),(E449-G449)*IF(D449="卖",-1,1)*F449,"")</f>
        <v/>
      </c>
      <c r="N449" s="49" t="str">
        <f>IF(A449="","",IFERROR(T(INDEX('交易记录'!$C$5:$C$304,MATCH(A449,'交易记录'!$A$5:$A$304,0))),"编号没找到"))</f>
        <v/>
      </c>
      <c r="O449" s="31" t="n"/>
    </row>
    <row r="450">
      <c r="A450" s="29" t="n"/>
      <c r="B450" s="30" t="n"/>
      <c r="C450" s="47" t="n"/>
      <c r="D450" s="32" t="n"/>
      <c r="E450" s="33" t="n"/>
      <c r="F450" s="36" t="n"/>
      <c r="G450" s="33" t="n"/>
      <c r="H450" s="20" t="str">
        <f>IF(AND(ISNUMBER(E450),ISNUMBER(F450)),E450*F450,"")</f>
        <v/>
      </c>
      <c r="I450" s="43" t="str">
        <f>IF(ISNUMBER(H450),ROUND(MAX(F450*'参数'!$C$11,'参数'!$C$12)+'参数'!$C$13,2),"")</f>
        <v/>
      </c>
      <c r="J450" s="43" t="str">
        <f>IF(ISNUMBER(H450),IF(D450="卖",ROUND(H450*N('参数'!$C$14)+F450*N('参数'!$C$15),2),0),"")</f>
        <v/>
      </c>
      <c r="K450" s="23" t="n"/>
      <c r="L450" s="20" t="str">
        <f>IF(ISNUMBER(K450),K450,IF(ISNUMBER(H450),I450+J450,""))</f>
        <v/>
      </c>
      <c r="M450" s="48" t="str">
        <f>IF(AND(ISNUMBER(E450),ISNUMBER(G450),ISNUMBER(F450)),(E450-G450)*IF(D450="卖",-1,1)*F450,"")</f>
        <v/>
      </c>
      <c r="N450" s="49" t="str">
        <f>IF(A450="","",IFERROR(T(INDEX('交易记录'!$C$5:$C$304,MATCH(A450,'交易记录'!$A$5:$A$304,0))),"编号没找到"))</f>
        <v/>
      </c>
      <c r="O450" s="31" t="n"/>
    </row>
    <row r="451">
      <c r="A451" s="29" t="n"/>
      <c r="B451" s="30" t="n"/>
      <c r="C451" s="47" t="n"/>
      <c r="D451" s="32" t="n"/>
      <c r="E451" s="33" t="n"/>
      <c r="F451" s="36" t="n"/>
      <c r="G451" s="33" t="n"/>
      <c r="H451" s="20" t="str">
        <f>IF(AND(ISNUMBER(E451),ISNUMBER(F451)),E451*F451,"")</f>
        <v/>
      </c>
      <c r="I451" s="43" t="str">
        <f>IF(ISNUMBER(H451),ROUND(MAX(F451*'参数'!$C$11,'参数'!$C$12)+'参数'!$C$13,2),"")</f>
        <v/>
      </c>
      <c r="J451" s="43" t="str">
        <f>IF(ISNUMBER(H451),IF(D451="卖",ROUND(H451*N('参数'!$C$14)+F451*N('参数'!$C$15),2),0),"")</f>
        <v/>
      </c>
      <c r="K451" s="23" t="n"/>
      <c r="L451" s="20" t="str">
        <f>IF(ISNUMBER(K451),K451,IF(ISNUMBER(H451),I451+J451,""))</f>
        <v/>
      </c>
      <c r="M451" s="48" t="str">
        <f>IF(AND(ISNUMBER(E451),ISNUMBER(G451),ISNUMBER(F451)),(E451-G451)*IF(D451="卖",-1,1)*F451,"")</f>
        <v/>
      </c>
      <c r="N451" s="49" t="str">
        <f>IF(A451="","",IFERROR(T(INDEX('交易记录'!$C$5:$C$304,MATCH(A451,'交易记录'!$A$5:$A$304,0))),"编号没找到"))</f>
        <v/>
      </c>
      <c r="O451" s="31" t="n"/>
    </row>
    <row r="452">
      <c r="A452" s="29" t="n"/>
      <c r="B452" s="30" t="n"/>
      <c r="C452" s="47" t="n"/>
      <c r="D452" s="32" t="n"/>
      <c r="E452" s="33" t="n"/>
      <c r="F452" s="36" t="n"/>
      <c r="G452" s="33" t="n"/>
      <c r="H452" s="20" t="str">
        <f>IF(AND(ISNUMBER(E452),ISNUMBER(F452)),E452*F452,"")</f>
        <v/>
      </c>
      <c r="I452" s="43" t="str">
        <f>IF(ISNUMBER(H452),ROUND(MAX(F452*'参数'!$C$11,'参数'!$C$12)+'参数'!$C$13,2),"")</f>
        <v/>
      </c>
      <c r="J452" s="43" t="str">
        <f>IF(ISNUMBER(H452),IF(D452="卖",ROUND(H452*N('参数'!$C$14)+F452*N('参数'!$C$15),2),0),"")</f>
        <v/>
      </c>
      <c r="K452" s="23" t="n"/>
      <c r="L452" s="20" t="str">
        <f>IF(ISNUMBER(K452),K452,IF(ISNUMBER(H452),I452+J452,""))</f>
        <v/>
      </c>
      <c r="M452" s="48" t="str">
        <f>IF(AND(ISNUMBER(E452),ISNUMBER(G452),ISNUMBER(F452)),(E452-G452)*IF(D452="卖",-1,1)*F452,"")</f>
        <v/>
      </c>
      <c r="N452" s="49" t="str">
        <f>IF(A452="","",IFERROR(T(INDEX('交易记录'!$C$5:$C$304,MATCH(A452,'交易记录'!$A$5:$A$304,0))),"编号没找到"))</f>
        <v/>
      </c>
      <c r="O452" s="31" t="n"/>
    </row>
    <row r="453">
      <c r="A453" s="29" t="n"/>
      <c r="B453" s="30" t="n"/>
      <c r="C453" s="47" t="n"/>
      <c r="D453" s="32" t="n"/>
      <c r="E453" s="33" t="n"/>
      <c r="F453" s="36" t="n"/>
      <c r="G453" s="33" t="n"/>
      <c r="H453" s="20" t="str">
        <f>IF(AND(ISNUMBER(E453),ISNUMBER(F453)),E453*F453,"")</f>
        <v/>
      </c>
      <c r="I453" s="43" t="str">
        <f>IF(ISNUMBER(H453),ROUND(MAX(F453*'参数'!$C$11,'参数'!$C$12)+'参数'!$C$13,2),"")</f>
        <v/>
      </c>
      <c r="J453" s="43" t="str">
        <f>IF(ISNUMBER(H453),IF(D453="卖",ROUND(H453*N('参数'!$C$14)+F453*N('参数'!$C$15),2),0),"")</f>
        <v/>
      </c>
      <c r="K453" s="23" t="n"/>
      <c r="L453" s="20" t="str">
        <f>IF(ISNUMBER(K453),K453,IF(ISNUMBER(H453),I453+J453,""))</f>
        <v/>
      </c>
      <c r="M453" s="48" t="str">
        <f>IF(AND(ISNUMBER(E453),ISNUMBER(G453),ISNUMBER(F453)),(E453-G453)*IF(D453="卖",-1,1)*F453,"")</f>
        <v/>
      </c>
      <c r="N453" s="49" t="str">
        <f>IF(A453="","",IFERROR(T(INDEX('交易记录'!$C$5:$C$304,MATCH(A453,'交易记录'!$A$5:$A$304,0))),"编号没找到"))</f>
        <v/>
      </c>
      <c r="O453" s="31" t="n"/>
    </row>
    <row r="454">
      <c r="A454" s="29" t="n"/>
      <c r="B454" s="30" t="n"/>
      <c r="C454" s="47" t="n"/>
      <c r="D454" s="32" t="n"/>
      <c r="E454" s="33" t="n"/>
      <c r="F454" s="36" t="n"/>
      <c r="G454" s="33" t="n"/>
      <c r="H454" s="20" t="str">
        <f>IF(AND(ISNUMBER(E454),ISNUMBER(F454)),E454*F454,"")</f>
        <v/>
      </c>
      <c r="I454" s="43" t="str">
        <f>IF(ISNUMBER(H454),ROUND(MAX(F454*'参数'!$C$11,'参数'!$C$12)+'参数'!$C$13,2),"")</f>
        <v/>
      </c>
      <c r="J454" s="43" t="str">
        <f>IF(ISNUMBER(H454),IF(D454="卖",ROUND(H454*N('参数'!$C$14)+F454*N('参数'!$C$15),2),0),"")</f>
        <v/>
      </c>
      <c r="K454" s="23" t="n"/>
      <c r="L454" s="20" t="str">
        <f>IF(ISNUMBER(K454),K454,IF(ISNUMBER(H454),I454+J454,""))</f>
        <v/>
      </c>
      <c r="M454" s="48" t="str">
        <f>IF(AND(ISNUMBER(E454),ISNUMBER(G454),ISNUMBER(F454)),(E454-G454)*IF(D454="卖",-1,1)*F454,"")</f>
        <v/>
      </c>
      <c r="N454" s="49" t="str">
        <f>IF(A454="","",IFERROR(T(INDEX('交易记录'!$C$5:$C$304,MATCH(A454,'交易记录'!$A$5:$A$304,0))),"编号没找到"))</f>
        <v/>
      </c>
      <c r="O454" s="31" t="n"/>
    </row>
    <row r="455">
      <c r="A455" s="29" t="n"/>
      <c r="B455" s="30" t="n"/>
      <c r="C455" s="47" t="n"/>
      <c r="D455" s="32" t="n"/>
      <c r="E455" s="33" t="n"/>
      <c r="F455" s="36" t="n"/>
      <c r="G455" s="33" t="n"/>
      <c r="H455" s="20" t="str">
        <f>IF(AND(ISNUMBER(E455),ISNUMBER(F455)),E455*F455,"")</f>
        <v/>
      </c>
      <c r="I455" s="43" t="str">
        <f>IF(ISNUMBER(H455),ROUND(MAX(F455*'参数'!$C$11,'参数'!$C$12)+'参数'!$C$13,2),"")</f>
        <v/>
      </c>
      <c r="J455" s="43" t="str">
        <f>IF(ISNUMBER(H455),IF(D455="卖",ROUND(H455*N('参数'!$C$14)+F455*N('参数'!$C$15),2),0),"")</f>
        <v/>
      </c>
      <c r="K455" s="23" t="n"/>
      <c r="L455" s="20" t="str">
        <f>IF(ISNUMBER(K455),K455,IF(ISNUMBER(H455),I455+J455,""))</f>
        <v/>
      </c>
      <c r="M455" s="48" t="str">
        <f>IF(AND(ISNUMBER(E455),ISNUMBER(G455),ISNUMBER(F455)),(E455-G455)*IF(D455="卖",-1,1)*F455,"")</f>
        <v/>
      </c>
      <c r="N455" s="49" t="str">
        <f>IF(A455="","",IFERROR(T(INDEX('交易记录'!$C$5:$C$304,MATCH(A455,'交易记录'!$A$5:$A$304,0))),"编号没找到"))</f>
        <v/>
      </c>
      <c r="O455" s="31" t="n"/>
    </row>
    <row r="456">
      <c r="A456" s="29" t="n"/>
      <c r="B456" s="30" t="n"/>
      <c r="C456" s="47" t="n"/>
      <c r="D456" s="32" t="n"/>
      <c r="E456" s="33" t="n"/>
      <c r="F456" s="36" t="n"/>
      <c r="G456" s="33" t="n"/>
      <c r="H456" s="20" t="str">
        <f>IF(AND(ISNUMBER(E456),ISNUMBER(F456)),E456*F456,"")</f>
        <v/>
      </c>
      <c r="I456" s="43" t="str">
        <f>IF(ISNUMBER(H456),ROUND(MAX(F456*'参数'!$C$11,'参数'!$C$12)+'参数'!$C$13,2),"")</f>
        <v/>
      </c>
      <c r="J456" s="43" t="str">
        <f>IF(ISNUMBER(H456),IF(D456="卖",ROUND(H456*N('参数'!$C$14)+F456*N('参数'!$C$15),2),0),"")</f>
        <v/>
      </c>
      <c r="K456" s="23" t="n"/>
      <c r="L456" s="20" t="str">
        <f>IF(ISNUMBER(K456),K456,IF(ISNUMBER(H456),I456+J456,""))</f>
        <v/>
      </c>
      <c r="M456" s="48" t="str">
        <f>IF(AND(ISNUMBER(E456),ISNUMBER(G456),ISNUMBER(F456)),(E456-G456)*IF(D456="卖",-1,1)*F456,"")</f>
        <v/>
      </c>
      <c r="N456" s="49" t="str">
        <f>IF(A456="","",IFERROR(T(INDEX('交易记录'!$C$5:$C$304,MATCH(A456,'交易记录'!$A$5:$A$304,0))),"编号没找到"))</f>
        <v/>
      </c>
      <c r="O456" s="31" t="n"/>
    </row>
    <row r="457">
      <c r="A457" s="29" t="n"/>
      <c r="B457" s="30" t="n"/>
      <c r="C457" s="47" t="n"/>
      <c r="D457" s="32" t="n"/>
      <c r="E457" s="33" t="n"/>
      <c r="F457" s="36" t="n"/>
      <c r="G457" s="33" t="n"/>
      <c r="H457" s="20" t="str">
        <f>IF(AND(ISNUMBER(E457),ISNUMBER(F457)),E457*F457,"")</f>
        <v/>
      </c>
      <c r="I457" s="43" t="str">
        <f>IF(ISNUMBER(H457),ROUND(MAX(F457*'参数'!$C$11,'参数'!$C$12)+'参数'!$C$13,2),"")</f>
        <v/>
      </c>
      <c r="J457" s="43" t="str">
        <f>IF(ISNUMBER(H457),IF(D457="卖",ROUND(H457*N('参数'!$C$14)+F457*N('参数'!$C$15),2),0),"")</f>
        <v/>
      </c>
      <c r="K457" s="23" t="n"/>
      <c r="L457" s="20" t="str">
        <f>IF(ISNUMBER(K457),K457,IF(ISNUMBER(H457),I457+J457,""))</f>
        <v/>
      </c>
      <c r="M457" s="48" t="str">
        <f>IF(AND(ISNUMBER(E457),ISNUMBER(G457),ISNUMBER(F457)),(E457-G457)*IF(D457="卖",-1,1)*F457,"")</f>
        <v/>
      </c>
      <c r="N457" s="49" t="str">
        <f>IF(A457="","",IFERROR(T(INDEX('交易记录'!$C$5:$C$304,MATCH(A457,'交易记录'!$A$5:$A$304,0))),"编号没找到"))</f>
        <v/>
      </c>
      <c r="O457" s="31" t="n"/>
    </row>
    <row r="458">
      <c r="A458" s="29" t="n"/>
      <c r="B458" s="30" t="n"/>
      <c r="C458" s="47" t="n"/>
      <c r="D458" s="32" t="n"/>
      <c r="E458" s="33" t="n"/>
      <c r="F458" s="36" t="n"/>
      <c r="G458" s="33" t="n"/>
      <c r="H458" s="20" t="str">
        <f>IF(AND(ISNUMBER(E458),ISNUMBER(F458)),E458*F458,"")</f>
        <v/>
      </c>
      <c r="I458" s="43" t="str">
        <f>IF(ISNUMBER(H458),ROUND(MAX(F458*'参数'!$C$11,'参数'!$C$12)+'参数'!$C$13,2),"")</f>
        <v/>
      </c>
      <c r="J458" s="43" t="str">
        <f>IF(ISNUMBER(H458),IF(D458="卖",ROUND(H458*N('参数'!$C$14)+F458*N('参数'!$C$15),2),0),"")</f>
        <v/>
      </c>
      <c r="K458" s="23" t="n"/>
      <c r="L458" s="20" t="str">
        <f>IF(ISNUMBER(K458),K458,IF(ISNUMBER(H458),I458+J458,""))</f>
        <v/>
      </c>
      <c r="M458" s="48" t="str">
        <f>IF(AND(ISNUMBER(E458),ISNUMBER(G458),ISNUMBER(F458)),(E458-G458)*IF(D458="卖",-1,1)*F458,"")</f>
        <v/>
      </c>
      <c r="N458" s="49" t="str">
        <f>IF(A458="","",IFERROR(T(INDEX('交易记录'!$C$5:$C$304,MATCH(A458,'交易记录'!$A$5:$A$304,0))),"编号没找到"))</f>
        <v/>
      </c>
      <c r="O458" s="31" t="n"/>
    </row>
    <row r="459">
      <c r="A459" s="29" t="n"/>
      <c r="B459" s="30" t="n"/>
      <c r="C459" s="47" t="n"/>
      <c r="D459" s="32" t="n"/>
      <c r="E459" s="33" t="n"/>
      <c r="F459" s="36" t="n"/>
      <c r="G459" s="33" t="n"/>
      <c r="H459" s="20" t="str">
        <f>IF(AND(ISNUMBER(E459),ISNUMBER(F459)),E459*F459,"")</f>
        <v/>
      </c>
      <c r="I459" s="43" t="str">
        <f>IF(ISNUMBER(H459),ROUND(MAX(F459*'参数'!$C$11,'参数'!$C$12)+'参数'!$C$13,2),"")</f>
        <v/>
      </c>
      <c r="J459" s="43" t="str">
        <f>IF(ISNUMBER(H459),IF(D459="卖",ROUND(H459*N('参数'!$C$14)+F459*N('参数'!$C$15),2),0),"")</f>
        <v/>
      </c>
      <c r="K459" s="23" t="n"/>
      <c r="L459" s="20" t="str">
        <f>IF(ISNUMBER(K459),K459,IF(ISNUMBER(H459),I459+J459,""))</f>
        <v/>
      </c>
      <c r="M459" s="48" t="str">
        <f>IF(AND(ISNUMBER(E459),ISNUMBER(G459),ISNUMBER(F459)),(E459-G459)*IF(D459="卖",-1,1)*F459,"")</f>
        <v/>
      </c>
      <c r="N459" s="49" t="str">
        <f>IF(A459="","",IFERROR(T(INDEX('交易记录'!$C$5:$C$304,MATCH(A459,'交易记录'!$A$5:$A$304,0))),"编号没找到"))</f>
        <v/>
      </c>
      <c r="O459" s="31" t="n"/>
    </row>
    <row r="460">
      <c r="A460" s="29" t="n"/>
      <c r="B460" s="30" t="n"/>
      <c r="C460" s="47" t="n"/>
      <c r="D460" s="32" t="n"/>
      <c r="E460" s="33" t="n"/>
      <c r="F460" s="36" t="n"/>
      <c r="G460" s="33" t="n"/>
      <c r="H460" s="20" t="str">
        <f>IF(AND(ISNUMBER(E460),ISNUMBER(F460)),E460*F460,"")</f>
        <v/>
      </c>
      <c r="I460" s="43" t="str">
        <f>IF(ISNUMBER(H460),ROUND(MAX(F460*'参数'!$C$11,'参数'!$C$12)+'参数'!$C$13,2),"")</f>
        <v/>
      </c>
      <c r="J460" s="43" t="str">
        <f>IF(ISNUMBER(H460),IF(D460="卖",ROUND(H460*N('参数'!$C$14)+F460*N('参数'!$C$15),2),0),"")</f>
        <v/>
      </c>
      <c r="K460" s="23" t="n"/>
      <c r="L460" s="20" t="str">
        <f>IF(ISNUMBER(K460),K460,IF(ISNUMBER(H460),I460+J460,""))</f>
        <v/>
      </c>
      <c r="M460" s="48" t="str">
        <f>IF(AND(ISNUMBER(E460),ISNUMBER(G460),ISNUMBER(F460)),(E460-G460)*IF(D460="卖",-1,1)*F460,"")</f>
        <v/>
      </c>
      <c r="N460" s="49" t="str">
        <f>IF(A460="","",IFERROR(T(INDEX('交易记录'!$C$5:$C$304,MATCH(A460,'交易记录'!$A$5:$A$304,0))),"编号没找到"))</f>
        <v/>
      </c>
      <c r="O460" s="31" t="n"/>
    </row>
    <row r="461">
      <c r="A461" s="29" t="n"/>
      <c r="B461" s="30" t="n"/>
      <c r="C461" s="47" t="n"/>
      <c r="D461" s="32" t="n"/>
      <c r="E461" s="33" t="n"/>
      <c r="F461" s="36" t="n"/>
      <c r="G461" s="33" t="n"/>
      <c r="H461" s="20" t="str">
        <f>IF(AND(ISNUMBER(E461),ISNUMBER(F461)),E461*F461,"")</f>
        <v/>
      </c>
      <c r="I461" s="43" t="str">
        <f>IF(ISNUMBER(H461),ROUND(MAX(F461*'参数'!$C$11,'参数'!$C$12)+'参数'!$C$13,2),"")</f>
        <v/>
      </c>
      <c r="J461" s="43" t="str">
        <f>IF(ISNUMBER(H461),IF(D461="卖",ROUND(H461*N('参数'!$C$14)+F461*N('参数'!$C$15),2),0),"")</f>
        <v/>
      </c>
      <c r="K461" s="23" t="n"/>
      <c r="L461" s="20" t="str">
        <f>IF(ISNUMBER(K461),K461,IF(ISNUMBER(H461),I461+J461,""))</f>
        <v/>
      </c>
      <c r="M461" s="48" t="str">
        <f>IF(AND(ISNUMBER(E461),ISNUMBER(G461),ISNUMBER(F461)),(E461-G461)*IF(D461="卖",-1,1)*F461,"")</f>
        <v/>
      </c>
      <c r="N461" s="49" t="str">
        <f>IF(A461="","",IFERROR(T(INDEX('交易记录'!$C$5:$C$304,MATCH(A461,'交易记录'!$A$5:$A$304,0))),"编号没找到"))</f>
        <v/>
      </c>
      <c r="O461" s="31" t="n"/>
    </row>
    <row r="462">
      <c r="A462" s="29" t="n"/>
      <c r="B462" s="30" t="n"/>
      <c r="C462" s="47" t="n"/>
      <c r="D462" s="32" t="n"/>
      <c r="E462" s="33" t="n"/>
      <c r="F462" s="36" t="n"/>
      <c r="G462" s="33" t="n"/>
      <c r="H462" s="20" t="str">
        <f>IF(AND(ISNUMBER(E462),ISNUMBER(F462)),E462*F462,"")</f>
        <v/>
      </c>
      <c r="I462" s="43" t="str">
        <f>IF(ISNUMBER(H462),ROUND(MAX(F462*'参数'!$C$11,'参数'!$C$12)+'参数'!$C$13,2),"")</f>
        <v/>
      </c>
      <c r="J462" s="43" t="str">
        <f>IF(ISNUMBER(H462),IF(D462="卖",ROUND(H462*N('参数'!$C$14)+F462*N('参数'!$C$15),2),0),"")</f>
        <v/>
      </c>
      <c r="K462" s="23" t="n"/>
      <c r="L462" s="20" t="str">
        <f>IF(ISNUMBER(K462),K462,IF(ISNUMBER(H462),I462+J462,""))</f>
        <v/>
      </c>
      <c r="M462" s="48" t="str">
        <f>IF(AND(ISNUMBER(E462),ISNUMBER(G462),ISNUMBER(F462)),(E462-G462)*IF(D462="卖",-1,1)*F462,"")</f>
        <v/>
      </c>
      <c r="N462" s="49" t="str">
        <f>IF(A462="","",IFERROR(T(INDEX('交易记录'!$C$5:$C$304,MATCH(A462,'交易记录'!$A$5:$A$304,0))),"编号没找到"))</f>
        <v/>
      </c>
      <c r="O462" s="31" t="n"/>
    </row>
    <row r="463">
      <c r="A463" s="29" t="n"/>
      <c r="B463" s="30" t="n"/>
      <c r="C463" s="47" t="n"/>
      <c r="D463" s="32" t="n"/>
      <c r="E463" s="33" t="n"/>
      <c r="F463" s="36" t="n"/>
      <c r="G463" s="33" t="n"/>
      <c r="H463" s="20" t="str">
        <f>IF(AND(ISNUMBER(E463),ISNUMBER(F463)),E463*F463,"")</f>
        <v/>
      </c>
      <c r="I463" s="43" t="str">
        <f>IF(ISNUMBER(H463),ROUND(MAX(F463*'参数'!$C$11,'参数'!$C$12)+'参数'!$C$13,2),"")</f>
        <v/>
      </c>
      <c r="J463" s="43" t="str">
        <f>IF(ISNUMBER(H463),IF(D463="卖",ROUND(H463*N('参数'!$C$14)+F463*N('参数'!$C$15),2),0),"")</f>
        <v/>
      </c>
      <c r="K463" s="23" t="n"/>
      <c r="L463" s="20" t="str">
        <f>IF(ISNUMBER(K463),K463,IF(ISNUMBER(H463),I463+J463,""))</f>
        <v/>
      </c>
      <c r="M463" s="48" t="str">
        <f>IF(AND(ISNUMBER(E463),ISNUMBER(G463),ISNUMBER(F463)),(E463-G463)*IF(D463="卖",-1,1)*F463,"")</f>
        <v/>
      </c>
      <c r="N463" s="49" t="str">
        <f>IF(A463="","",IFERROR(T(INDEX('交易记录'!$C$5:$C$304,MATCH(A463,'交易记录'!$A$5:$A$304,0))),"编号没找到"))</f>
        <v/>
      </c>
      <c r="O463" s="31" t="n"/>
    </row>
    <row r="464">
      <c r="A464" s="29" t="n"/>
      <c r="B464" s="30" t="n"/>
      <c r="C464" s="47" t="n"/>
      <c r="D464" s="32" t="n"/>
      <c r="E464" s="33" t="n"/>
      <c r="F464" s="36" t="n"/>
      <c r="G464" s="33" t="n"/>
      <c r="H464" s="20" t="str">
        <f>IF(AND(ISNUMBER(E464),ISNUMBER(F464)),E464*F464,"")</f>
        <v/>
      </c>
      <c r="I464" s="43" t="str">
        <f>IF(ISNUMBER(H464),ROUND(MAX(F464*'参数'!$C$11,'参数'!$C$12)+'参数'!$C$13,2),"")</f>
        <v/>
      </c>
      <c r="J464" s="43" t="str">
        <f>IF(ISNUMBER(H464),IF(D464="卖",ROUND(H464*N('参数'!$C$14)+F464*N('参数'!$C$15),2),0),"")</f>
        <v/>
      </c>
      <c r="K464" s="23" t="n"/>
      <c r="L464" s="20" t="str">
        <f>IF(ISNUMBER(K464),K464,IF(ISNUMBER(H464),I464+J464,""))</f>
        <v/>
      </c>
      <c r="M464" s="48" t="str">
        <f>IF(AND(ISNUMBER(E464),ISNUMBER(G464),ISNUMBER(F464)),(E464-G464)*IF(D464="卖",-1,1)*F464,"")</f>
        <v/>
      </c>
      <c r="N464" s="49" t="str">
        <f>IF(A464="","",IFERROR(T(INDEX('交易记录'!$C$5:$C$304,MATCH(A464,'交易记录'!$A$5:$A$304,0))),"编号没找到"))</f>
        <v/>
      </c>
      <c r="O464" s="31" t="n"/>
    </row>
    <row r="465">
      <c r="A465" s="29" t="n"/>
      <c r="B465" s="30" t="n"/>
      <c r="C465" s="47" t="n"/>
      <c r="D465" s="32" t="n"/>
      <c r="E465" s="33" t="n"/>
      <c r="F465" s="36" t="n"/>
      <c r="G465" s="33" t="n"/>
      <c r="H465" s="20" t="str">
        <f>IF(AND(ISNUMBER(E465),ISNUMBER(F465)),E465*F465,"")</f>
        <v/>
      </c>
      <c r="I465" s="43" t="str">
        <f>IF(ISNUMBER(H465),ROUND(MAX(F465*'参数'!$C$11,'参数'!$C$12)+'参数'!$C$13,2),"")</f>
        <v/>
      </c>
      <c r="J465" s="43" t="str">
        <f>IF(ISNUMBER(H465),IF(D465="卖",ROUND(H465*N('参数'!$C$14)+F465*N('参数'!$C$15),2),0),"")</f>
        <v/>
      </c>
      <c r="K465" s="23" t="n"/>
      <c r="L465" s="20" t="str">
        <f>IF(ISNUMBER(K465),K465,IF(ISNUMBER(H465),I465+J465,""))</f>
        <v/>
      </c>
      <c r="M465" s="48" t="str">
        <f>IF(AND(ISNUMBER(E465),ISNUMBER(G465),ISNUMBER(F465)),(E465-G465)*IF(D465="卖",-1,1)*F465,"")</f>
        <v/>
      </c>
      <c r="N465" s="49" t="str">
        <f>IF(A465="","",IFERROR(T(INDEX('交易记录'!$C$5:$C$304,MATCH(A465,'交易记录'!$A$5:$A$304,0))),"编号没找到"))</f>
        <v/>
      </c>
      <c r="O465" s="31" t="n"/>
    </row>
    <row r="466">
      <c r="A466" s="29" t="n"/>
      <c r="B466" s="30" t="n"/>
      <c r="C466" s="47" t="n"/>
      <c r="D466" s="32" t="n"/>
      <c r="E466" s="33" t="n"/>
      <c r="F466" s="36" t="n"/>
      <c r="G466" s="33" t="n"/>
      <c r="H466" s="20" t="str">
        <f>IF(AND(ISNUMBER(E466),ISNUMBER(F466)),E466*F466,"")</f>
        <v/>
      </c>
      <c r="I466" s="43" t="str">
        <f>IF(ISNUMBER(H466),ROUND(MAX(F466*'参数'!$C$11,'参数'!$C$12)+'参数'!$C$13,2),"")</f>
        <v/>
      </c>
      <c r="J466" s="43" t="str">
        <f>IF(ISNUMBER(H466),IF(D466="卖",ROUND(H466*N('参数'!$C$14)+F466*N('参数'!$C$15),2),0),"")</f>
        <v/>
      </c>
      <c r="K466" s="23" t="n"/>
      <c r="L466" s="20" t="str">
        <f>IF(ISNUMBER(K466),K466,IF(ISNUMBER(H466),I466+J466,""))</f>
        <v/>
      </c>
      <c r="M466" s="48" t="str">
        <f>IF(AND(ISNUMBER(E466),ISNUMBER(G466),ISNUMBER(F466)),(E466-G466)*IF(D466="卖",-1,1)*F466,"")</f>
        <v/>
      </c>
      <c r="N466" s="49" t="str">
        <f>IF(A466="","",IFERROR(T(INDEX('交易记录'!$C$5:$C$304,MATCH(A466,'交易记录'!$A$5:$A$304,0))),"编号没找到"))</f>
        <v/>
      </c>
      <c r="O466" s="31" t="n"/>
    </row>
    <row r="467">
      <c r="A467" s="29" t="n"/>
      <c r="B467" s="30" t="n"/>
      <c r="C467" s="47" t="n"/>
      <c r="D467" s="32" t="n"/>
      <c r="E467" s="33" t="n"/>
      <c r="F467" s="36" t="n"/>
      <c r="G467" s="33" t="n"/>
      <c r="H467" s="20" t="str">
        <f>IF(AND(ISNUMBER(E467),ISNUMBER(F467)),E467*F467,"")</f>
        <v/>
      </c>
      <c r="I467" s="43" t="str">
        <f>IF(ISNUMBER(H467),ROUND(MAX(F467*'参数'!$C$11,'参数'!$C$12)+'参数'!$C$13,2),"")</f>
        <v/>
      </c>
      <c r="J467" s="43" t="str">
        <f>IF(ISNUMBER(H467),IF(D467="卖",ROUND(H467*N('参数'!$C$14)+F467*N('参数'!$C$15),2),0),"")</f>
        <v/>
      </c>
      <c r="K467" s="23" t="n"/>
      <c r="L467" s="20" t="str">
        <f>IF(ISNUMBER(K467),K467,IF(ISNUMBER(H467),I467+J467,""))</f>
        <v/>
      </c>
      <c r="M467" s="48" t="str">
        <f>IF(AND(ISNUMBER(E467),ISNUMBER(G467),ISNUMBER(F467)),(E467-G467)*IF(D467="卖",-1,1)*F467,"")</f>
        <v/>
      </c>
      <c r="N467" s="49" t="str">
        <f>IF(A467="","",IFERROR(T(INDEX('交易记录'!$C$5:$C$304,MATCH(A467,'交易记录'!$A$5:$A$304,0))),"编号没找到"))</f>
        <v/>
      </c>
      <c r="O467" s="31" t="n"/>
    </row>
    <row r="468">
      <c r="A468" s="29" t="n"/>
      <c r="B468" s="30" t="n"/>
      <c r="C468" s="47" t="n"/>
      <c r="D468" s="32" t="n"/>
      <c r="E468" s="33" t="n"/>
      <c r="F468" s="36" t="n"/>
      <c r="G468" s="33" t="n"/>
      <c r="H468" s="20" t="str">
        <f>IF(AND(ISNUMBER(E468),ISNUMBER(F468)),E468*F468,"")</f>
        <v/>
      </c>
      <c r="I468" s="43" t="str">
        <f>IF(ISNUMBER(H468),ROUND(MAX(F468*'参数'!$C$11,'参数'!$C$12)+'参数'!$C$13,2),"")</f>
        <v/>
      </c>
      <c r="J468" s="43" t="str">
        <f>IF(ISNUMBER(H468),IF(D468="卖",ROUND(H468*N('参数'!$C$14)+F468*N('参数'!$C$15),2),0),"")</f>
        <v/>
      </c>
      <c r="K468" s="23" t="n"/>
      <c r="L468" s="20" t="str">
        <f>IF(ISNUMBER(K468),K468,IF(ISNUMBER(H468),I468+J468,""))</f>
        <v/>
      </c>
      <c r="M468" s="48" t="str">
        <f>IF(AND(ISNUMBER(E468),ISNUMBER(G468),ISNUMBER(F468)),(E468-G468)*IF(D468="卖",-1,1)*F468,"")</f>
        <v/>
      </c>
      <c r="N468" s="49" t="str">
        <f>IF(A468="","",IFERROR(T(INDEX('交易记录'!$C$5:$C$304,MATCH(A468,'交易记录'!$A$5:$A$304,0))),"编号没找到"))</f>
        <v/>
      </c>
      <c r="O468" s="31" t="n"/>
    </row>
    <row r="469">
      <c r="A469" s="29" t="n"/>
      <c r="B469" s="30" t="n"/>
      <c r="C469" s="47" t="n"/>
      <c r="D469" s="32" t="n"/>
      <c r="E469" s="33" t="n"/>
      <c r="F469" s="36" t="n"/>
      <c r="G469" s="33" t="n"/>
      <c r="H469" s="20" t="str">
        <f>IF(AND(ISNUMBER(E469),ISNUMBER(F469)),E469*F469,"")</f>
        <v/>
      </c>
      <c r="I469" s="43" t="str">
        <f>IF(ISNUMBER(H469),ROUND(MAX(F469*'参数'!$C$11,'参数'!$C$12)+'参数'!$C$13,2),"")</f>
        <v/>
      </c>
      <c r="J469" s="43" t="str">
        <f>IF(ISNUMBER(H469),IF(D469="卖",ROUND(H469*N('参数'!$C$14)+F469*N('参数'!$C$15),2),0),"")</f>
        <v/>
      </c>
      <c r="K469" s="23" t="n"/>
      <c r="L469" s="20" t="str">
        <f>IF(ISNUMBER(K469),K469,IF(ISNUMBER(H469),I469+J469,""))</f>
        <v/>
      </c>
      <c r="M469" s="48" t="str">
        <f>IF(AND(ISNUMBER(E469),ISNUMBER(G469),ISNUMBER(F469)),(E469-G469)*IF(D469="卖",-1,1)*F469,"")</f>
        <v/>
      </c>
      <c r="N469" s="49" t="str">
        <f>IF(A469="","",IFERROR(T(INDEX('交易记录'!$C$5:$C$304,MATCH(A469,'交易记录'!$A$5:$A$304,0))),"编号没找到"))</f>
        <v/>
      </c>
      <c r="O469" s="31" t="n"/>
    </row>
    <row r="470">
      <c r="A470" s="29" t="n"/>
      <c r="B470" s="30" t="n"/>
      <c r="C470" s="47" t="n"/>
      <c r="D470" s="32" t="n"/>
      <c r="E470" s="33" t="n"/>
      <c r="F470" s="36" t="n"/>
      <c r="G470" s="33" t="n"/>
      <c r="H470" s="20" t="str">
        <f>IF(AND(ISNUMBER(E470),ISNUMBER(F470)),E470*F470,"")</f>
        <v/>
      </c>
      <c r="I470" s="43" t="str">
        <f>IF(ISNUMBER(H470),ROUND(MAX(F470*'参数'!$C$11,'参数'!$C$12)+'参数'!$C$13,2),"")</f>
        <v/>
      </c>
      <c r="J470" s="43" t="str">
        <f>IF(ISNUMBER(H470),IF(D470="卖",ROUND(H470*N('参数'!$C$14)+F470*N('参数'!$C$15),2),0),"")</f>
        <v/>
      </c>
      <c r="K470" s="23" t="n"/>
      <c r="L470" s="20" t="str">
        <f>IF(ISNUMBER(K470),K470,IF(ISNUMBER(H470),I470+J470,""))</f>
        <v/>
      </c>
      <c r="M470" s="48" t="str">
        <f>IF(AND(ISNUMBER(E470),ISNUMBER(G470),ISNUMBER(F470)),(E470-G470)*IF(D470="卖",-1,1)*F470,"")</f>
        <v/>
      </c>
      <c r="N470" s="49" t="str">
        <f>IF(A470="","",IFERROR(T(INDEX('交易记录'!$C$5:$C$304,MATCH(A470,'交易记录'!$A$5:$A$304,0))),"编号没找到"))</f>
        <v/>
      </c>
      <c r="O470" s="31" t="n"/>
    </row>
    <row r="471">
      <c r="A471" s="29" t="n"/>
      <c r="B471" s="30" t="n"/>
      <c r="C471" s="47" t="n"/>
      <c r="D471" s="32" t="n"/>
      <c r="E471" s="33" t="n"/>
      <c r="F471" s="36" t="n"/>
      <c r="G471" s="33" t="n"/>
      <c r="H471" s="20" t="str">
        <f>IF(AND(ISNUMBER(E471),ISNUMBER(F471)),E471*F471,"")</f>
        <v/>
      </c>
      <c r="I471" s="43" t="str">
        <f>IF(ISNUMBER(H471),ROUND(MAX(F471*'参数'!$C$11,'参数'!$C$12)+'参数'!$C$13,2),"")</f>
        <v/>
      </c>
      <c r="J471" s="43" t="str">
        <f>IF(ISNUMBER(H471),IF(D471="卖",ROUND(H471*N('参数'!$C$14)+F471*N('参数'!$C$15),2),0),"")</f>
        <v/>
      </c>
      <c r="K471" s="23" t="n"/>
      <c r="L471" s="20" t="str">
        <f>IF(ISNUMBER(K471),K471,IF(ISNUMBER(H471),I471+J471,""))</f>
        <v/>
      </c>
      <c r="M471" s="48" t="str">
        <f>IF(AND(ISNUMBER(E471),ISNUMBER(G471),ISNUMBER(F471)),(E471-G471)*IF(D471="卖",-1,1)*F471,"")</f>
        <v/>
      </c>
      <c r="N471" s="49" t="str">
        <f>IF(A471="","",IFERROR(T(INDEX('交易记录'!$C$5:$C$304,MATCH(A471,'交易记录'!$A$5:$A$304,0))),"编号没找到"))</f>
        <v/>
      </c>
      <c r="O471" s="31" t="n"/>
    </row>
    <row r="472">
      <c r="A472" s="29" t="n"/>
      <c r="B472" s="30" t="n"/>
      <c r="C472" s="47" t="n"/>
      <c r="D472" s="32" t="n"/>
      <c r="E472" s="33" t="n"/>
      <c r="F472" s="36" t="n"/>
      <c r="G472" s="33" t="n"/>
      <c r="H472" s="20" t="str">
        <f>IF(AND(ISNUMBER(E472),ISNUMBER(F472)),E472*F472,"")</f>
        <v/>
      </c>
      <c r="I472" s="43" t="str">
        <f>IF(ISNUMBER(H472),ROUND(MAX(F472*'参数'!$C$11,'参数'!$C$12)+'参数'!$C$13,2),"")</f>
        <v/>
      </c>
      <c r="J472" s="43" t="str">
        <f>IF(ISNUMBER(H472),IF(D472="卖",ROUND(H472*N('参数'!$C$14)+F472*N('参数'!$C$15),2),0),"")</f>
        <v/>
      </c>
      <c r="K472" s="23" t="n"/>
      <c r="L472" s="20" t="str">
        <f>IF(ISNUMBER(K472),K472,IF(ISNUMBER(H472),I472+J472,""))</f>
        <v/>
      </c>
      <c r="M472" s="48" t="str">
        <f>IF(AND(ISNUMBER(E472),ISNUMBER(G472),ISNUMBER(F472)),(E472-G472)*IF(D472="卖",-1,1)*F472,"")</f>
        <v/>
      </c>
      <c r="N472" s="49" t="str">
        <f>IF(A472="","",IFERROR(T(INDEX('交易记录'!$C$5:$C$304,MATCH(A472,'交易记录'!$A$5:$A$304,0))),"编号没找到"))</f>
        <v/>
      </c>
      <c r="O472" s="31" t="n"/>
    </row>
    <row r="473">
      <c r="A473" s="29" t="n"/>
      <c r="B473" s="30" t="n"/>
      <c r="C473" s="47" t="n"/>
      <c r="D473" s="32" t="n"/>
      <c r="E473" s="33" t="n"/>
      <c r="F473" s="36" t="n"/>
      <c r="G473" s="33" t="n"/>
      <c r="H473" s="20" t="str">
        <f>IF(AND(ISNUMBER(E473),ISNUMBER(F473)),E473*F473,"")</f>
        <v/>
      </c>
      <c r="I473" s="43" t="str">
        <f>IF(ISNUMBER(H473),ROUND(MAX(F473*'参数'!$C$11,'参数'!$C$12)+'参数'!$C$13,2),"")</f>
        <v/>
      </c>
      <c r="J473" s="43" t="str">
        <f>IF(ISNUMBER(H473),IF(D473="卖",ROUND(H473*N('参数'!$C$14)+F473*N('参数'!$C$15),2),0),"")</f>
        <v/>
      </c>
      <c r="K473" s="23" t="n"/>
      <c r="L473" s="20" t="str">
        <f>IF(ISNUMBER(K473),K473,IF(ISNUMBER(H473),I473+J473,""))</f>
        <v/>
      </c>
      <c r="M473" s="48" t="str">
        <f>IF(AND(ISNUMBER(E473),ISNUMBER(G473),ISNUMBER(F473)),(E473-G473)*IF(D473="卖",-1,1)*F473,"")</f>
        <v/>
      </c>
      <c r="N473" s="49" t="str">
        <f>IF(A473="","",IFERROR(T(INDEX('交易记录'!$C$5:$C$304,MATCH(A473,'交易记录'!$A$5:$A$304,0))),"编号没找到"))</f>
        <v/>
      </c>
      <c r="O473" s="31" t="n"/>
    </row>
    <row r="474">
      <c r="A474" s="29" t="n"/>
      <c r="B474" s="30" t="n"/>
      <c r="C474" s="47" t="n"/>
      <c r="D474" s="32" t="n"/>
      <c r="E474" s="33" t="n"/>
      <c r="F474" s="36" t="n"/>
      <c r="G474" s="33" t="n"/>
      <c r="H474" s="20" t="str">
        <f>IF(AND(ISNUMBER(E474),ISNUMBER(F474)),E474*F474,"")</f>
        <v/>
      </c>
      <c r="I474" s="43" t="str">
        <f>IF(ISNUMBER(H474),ROUND(MAX(F474*'参数'!$C$11,'参数'!$C$12)+'参数'!$C$13,2),"")</f>
        <v/>
      </c>
      <c r="J474" s="43" t="str">
        <f>IF(ISNUMBER(H474),IF(D474="卖",ROUND(H474*N('参数'!$C$14)+F474*N('参数'!$C$15),2),0),"")</f>
        <v/>
      </c>
      <c r="K474" s="23" t="n"/>
      <c r="L474" s="20" t="str">
        <f>IF(ISNUMBER(K474),K474,IF(ISNUMBER(H474),I474+J474,""))</f>
        <v/>
      </c>
      <c r="M474" s="48" t="str">
        <f>IF(AND(ISNUMBER(E474),ISNUMBER(G474),ISNUMBER(F474)),(E474-G474)*IF(D474="卖",-1,1)*F474,"")</f>
        <v/>
      </c>
      <c r="N474" s="49" t="str">
        <f>IF(A474="","",IFERROR(T(INDEX('交易记录'!$C$5:$C$304,MATCH(A474,'交易记录'!$A$5:$A$304,0))),"编号没找到"))</f>
        <v/>
      </c>
      <c r="O474" s="31" t="n"/>
    </row>
    <row r="475">
      <c r="A475" s="29" t="n"/>
      <c r="B475" s="30" t="n"/>
      <c r="C475" s="47" t="n"/>
      <c r="D475" s="32" t="n"/>
      <c r="E475" s="33" t="n"/>
      <c r="F475" s="36" t="n"/>
      <c r="G475" s="33" t="n"/>
      <c r="H475" s="20" t="str">
        <f>IF(AND(ISNUMBER(E475),ISNUMBER(F475)),E475*F475,"")</f>
        <v/>
      </c>
      <c r="I475" s="43" t="str">
        <f>IF(ISNUMBER(H475),ROUND(MAX(F475*'参数'!$C$11,'参数'!$C$12)+'参数'!$C$13,2),"")</f>
        <v/>
      </c>
      <c r="J475" s="43" t="str">
        <f>IF(ISNUMBER(H475),IF(D475="卖",ROUND(H475*N('参数'!$C$14)+F475*N('参数'!$C$15),2),0),"")</f>
        <v/>
      </c>
      <c r="K475" s="23" t="n"/>
      <c r="L475" s="20" t="str">
        <f>IF(ISNUMBER(K475),K475,IF(ISNUMBER(H475),I475+J475,""))</f>
        <v/>
      </c>
      <c r="M475" s="48" t="str">
        <f>IF(AND(ISNUMBER(E475),ISNUMBER(G475),ISNUMBER(F475)),(E475-G475)*IF(D475="卖",-1,1)*F475,"")</f>
        <v/>
      </c>
      <c r="N475" s="49" t="str">
        <f>IF(A475="","",IFERROR(T(INDEX('交易记录'!$C$5:$C$304,MATCH(A475,'交易记录'!$A$5:$A$304,0))),"编号没找到"))</f>
        <v/>
      </c>
      <c r="O475" s="31" t="n"/>
    </row>
    <row r="476">
      <c r="A476" s="29" t="n"/>
      <c r="B476" s="30" t="n"/>
      <c r="C476" s="47" t="n"/>
      <c r="D476" s="32" t="n"/>
      <c r="E476" s="33" t="n"/>
      <c r="F476" s="36" t="n"/>
      <c r="G476" s="33" t="n"/>
      <c r="H476" s="20" t="str">
        <f>IF(AND(ISNUMBER(E476),ISNUMBER(F476)),E476*F476,"")</f>
        <v/>
      </c>
      <c r="I476" s="43" t="str">
        <f>IF(ISNUMBER(H476),ROUND(MAX(F476*'参数'!$C$11,'参数'!$C$12)+'参数'!$C$13,2),"")</f>
        <v/>
      </c>
      <c r="J476" s="43" t="str">
        <f>IF(ISNUMBER(H476),IF(D476="卖",ROUND(H476*N('参数'!$C$14)+F476*N('参数'!$C$15),2),0),"")</f>
        <v/>
      </c>
      <c r="K476" s="23" t="n"/>
      <c r="L476" s="20" t="str">
        <f>IF(ISNUMBER(K476),K476,IF(ISNUMBER(H476),I476+J476,""))</f>
        <v/>
      </c>
      <c r="M476" s="48" t="str">
        <f>IF(AND(ISNUMBER(E476),ISNUMBER(G476),ISNUMBER(F476)),(E476-G476)*IF(D476="卖",-1,1)*F476,"")</f>
        <v/>
      </c>
      <c r="N476" s="49" t="str">
        <f>IF(A476="","",IFERROR(T(INDEX('交易记录'!$C$5:$C$304,MATCH(A476,'交易记录'!$A$5:$A$304,0))),"编号没找到"))</f>
        <v/>
      </c>
      <c r="O476" s="31" t="n"/>
    </row>
    <row r="477">
      <c r="A477" s="29" t="n"/>
      <c r="B477" s="30" t="n"/>
      <c r="C477" s="47" t="n"/>
      <c r="D477" s="32" t="n"/>
      <c r="E477" s="33" t="n"/>
      <c r="F477" s="36" t="n"/>
      <c r="G477" s="33" t="n"/>
      <c r="H477" s="20" t="str">
        <f>IF(AND(ISNUMBER(E477),ISNUMBER(F477)),E477*F477,"")</f>
        <v/>
      </c>
      <c r="I477" s="43" t="str">
        <f>IF(ISNUMBER(H477),ROUND(MAX(F477*'参数'!$C$11,'参数'!$C$12)+'参数'!$C$13,2),"")</f>
        <v/>
      </c>
      <c r="J477" s="43" t="str">
        <f>IF(ISNUMBER(H477),IF(D477="卖",ROUND(H477*N('参数'!$C$14)+F477*N('参数'!$C$15),2),0),"")</f>
        <v/>
      </c>
      <c r="K477" s="23" t="n"/>
      <c r="L477" s="20" t="str">
        <f>IF(ISNUMBER(K477),K477,IF(ISNUMBER(H477),I477+J477,""))</f>
        <v/>
      </c>
      <c r="M477" s="48" t="str">
        <f>IF(AND(ISNUMBER(E477),ISNUMBER(G477),ISNUMBER(F477)),(E477-G477)*IF(D477="卖",-1,1)*F477,"")</f>
        <v/>
      </c>
      <c r="N477" s="49" t="str">
        <f>IF(A477="","",IFERROR(T(INDEX('交易记录'!$C$5:$C$304,MATCH(A477,'交易记录'!$A$5:$A$304,0))),"编号没找到"))</f>
        <v/>
      </c>
      <c r="O477" s="31" t="n"/>
    </row>
    <row r="478">
      <c r="A478" s="29" t="n"/>
      <c r="B478" s="30" t="n"/>
      <c r="C478" s="47" t="n"/>
      <c r="D478" s="32" t="n"/>
      <c r="E478" s="33" t="n"/>
      <c r="F478" s="36" t="n"/>
      <c r="G478" s="33" t="n"/>
      <c r="H478" s="20" t="str">
        <f>IF(AND(ISNUMBER(E478),ISNUMBER(F478)),E478*F478,"")</f>
        <v/>
      </c>
      <c r="I478" s="43" t="str">
        <f>IF(ISNUMBER(H478),ROUND(MAX(F478*'参数'!$C$11,'参数'!$C$12)+'参数'!$C$13,2),"")</f>
        <v/>
      </c>
      <c r="J478" s="43" t="str">
        <f>IF(ISNUMBER(H478),IF(D478="卖",ROUND(H478*N('参数'!$C$14)+F478*N('参数'!$C$15),2),0),"")</f>
        <v/>
      </c>
      <c r="K478" s="23" t="n"/>
      <c r="L478" s="20" t="str">
        <f>IF(ISNUMBER(K478),K478,IF(ISNUMBER(H478),I478+J478,""))</f>
        <v/>
      </c>
      <c r="M478" s="48" t="str">
        <f>IF(AND(ISNUMBER(E478),ISNUMBER(G478),ISNUMBER(F478)),(E478-G478)*IF(D478="卖",-1,1)*F478,"")</f>
        <v/>
      </c>
      <c r="N478" s="49" t="str">
        <f>IF(A478="","",IFERROR(T(INDEX('交易记录'!$C$5:$C$304,MATCH(A478,'交易记录'!$A$5:$A$304,0))),"编号没找到"))</f>
        <v/>
      </c>
      <c r="O478" s="31" t="n"/>
    </row>
    <row r="479">
      <c r="A479" s="29" t="n"/>
      <c r="B479" s="30" t="n"/>
      <c r="C479" s="47" t="n"/>
      <c r="D479" s="32" t="n"/>
      <c r="E479" s="33" t="n"/>
      <c r="F479" s="36" t="n"/>
      <c r="G479" s="33" t="n"/>
      <c r="H479" s="20" t="str">
        <f>IF(AND(ISNUMBER(E479),ISNUMBER(F479)),E479*F479,"")</f>
        <v/>
      </c>
      <c r="I479" s="43" t="str">
        <f>IF(ISNUMBER(H479),ROUND(MAX(F479*'参数'!$C$11,'参数'!$C$12)+'参数'!$C$13,2),"")</f>
        <v/>
      </c>
      <c r="J479" s="43" t="str">
        <f>IF(ISNUMBER(H479),IF(D479="卖",ROUND(H479*N('参数'!$C$14)+F479*N('参数'!$C$15),2),0),"")</f>
        <v/>
      </c>
      <c r="K479" s="23" t="n"/>
      <c r="L479" s="20" t="str">
        <f>IF(ISNUMBER(K479),K479,IF(ISNUMBER(H479),I479+J479,""))</f>
        <v/>
      </c>
      <c r="M479" s="48" t="str">
        <f>IF(AND(ISNUMBER(E479),ISNUMBER(G479),ISNUMBER(F479)),(E479-G479)*IF(D479="卖",-1,1)*F479,"")</f>
        <v/>
      </c>
      <c r="N479" s="49" t="str">
        <f>IF(A479="","",IFERROR(T(INDEX('交易记录'!$C$5:$C$304,MATCH(A479,'交易记录'!$A$5:$A$304,0))),"编号没找到"))</f>
        <v/>
      </c>
      <c r="O479" s="31" t="n"/>
    </row>
    <row r="480">
      <c r="A480" s="29" t="n"/>
      <c r="B480" s="30" t="n"/>
      <c r="C480" s="47" t="n"/>
      <c r="D480" s="32" t="n"/>
      <c r="E480" s="33" t="n"/>
      <c r="F480" s="36" t="n"/>
      <c r="G480" s="33" t="n"/>
      <c r="H480" s="20" t="str">
        <f>IF(AND(ISNUMBER(E480),ISNUMBER(F480)),E480*F480,"")</f>
        <v/>
      </c>
      <c r="I480" s="43" t="str">
        <f>IF(ISNUMBER(H480),ROUND(MAX(F480*'参数'!$C$11,'参数'!$C$12)+'参数'!$C$13,2),"")</f>
        <v/>
      </c>
      <c r="J480" s="43" t="str">
        <f>IF(ISNUMBER(H480),IF(D480="卖",ROUND(H480*N('参数'!$C$14)+F480*N('参数'!$C$15),2),0),"")</f>
        <v/>
      </c>
      <c r="K480" s="23" t="n"/>
      <c r="L480" s="20" t="str">
        <f>IF(ISNUMBER(K480),K480,IF(ISNUMBER(H480),I480+J480,""))</f>
        <v/>
      </c>
      <c r="M480" s="48" t="str">
        <f>IF(AND(ISNUMBER(E480),ISNUMBER(G480),ISNUMBER(F480)),(E480-G480)*IF(D480="卖",-1,1)*F480,"")</f>
        <v/>
      </c>
      <c r="N480" s="49" t="str">
        <f>IF(A480="","",IFERROR(T(INDEX('交易记录'!$C$5:$C$304,MATCH(A480,'交易记录'!$A$5:$A$304,0))),"编号没找到"))</f>
        <v/>
      </c>
      <c r="O480" s="31" t="n"/>
    </row>
    <row r="481">
      <c r="A481" s="29" t="n"/>
      <c r="B481" s="30" t="n"/>
      <c r="C481" s="47" t="n"/>
      <c r="D481" s="32" t="n"/>
      <c r="E481" s="33" t="n"/>
      <c r="F481" s="36" t="n"/>
      <c r="G481" s="33" t="n"/>
      <c r="H481" s="20" t="str">
        <f>IF(AND(ISNUMBER(E481),ISNUMBER(F481)),E481*F481,"")</f>
        <v/>
      </c>
      <c r="I481" s="43" t="str">
        <f>IF(ISNUMBER(H481),ROUND(MAX(F481*'参数'!$C$11,'参数'!$C$12)+'参数'!$C$13,2),"")</f>
        <v/>
      </c>
      <c r="J481" s="43" t="str">
        <f>IF(ISNUMBER(H481),IF(D481="卖",ROUND(H481*N('参数'!$C$14)+F481*N('参数'!$C$15),2),0),"")</f>
        <v/>
      </c>
      <c r="K481" s="23" t="n"/>
      <c r="L481" s="20" t="str">
        <f>IF(ISNUMBER(K481),K481,IF(ISNUMBER(H481),I481+J481,""))</f>
        <v/>
      </c>
      <c r="M481" s="48" t="str">
        <f>IF(AND(ISNUMBER(E481),ISNUMBER(G481),ISNUMBER(F481)),(E481-G481)*IF(D481="卖",-1,1)*F481,"")</f>
        <v/>
      </c>
      <c r="N481" s="49" t="str">
        <f>IF(A481="","",IFERROR(T(INDEX('交易记录'!$C$5:$C$304,MATCH(A481,'交易记录'!$A$5:$A$304,0))),"编号没找到"))</f>
        <v/>
      </c>
      <c r="O481" s="31" t="n"/>
    </row>
    <row r="482">
      <c r="A482" s="29" t="n"/>
      <c r="B482" s="30" t="n"/>
      <c r="C482" s="47" t="n"/>
      <c r="D482" s="32" t="n"/>
      <c r="E482" s="33" t="n"/>
      <c r="F482" s="36" t="n"/>
      <c r="G482" s="33" t="n"/>
      <c r="H482" s="20" t="str">
        <f>IF(AND(ISNUMBER(E482),ISNUMBER(F482)),E482*F482,"")</f>
        <v/>
      </c>
      <c r="I482" s="43" t="str">
        <f>IF(ISNUMBER(H482),ROUND(MAX(F482*'参数'!$C$11,'参数'!$C$12)+'参数'!$C$13,2),"")</f>
        <v/>
      </c>
      <c r="J482" s="43" t="str">
        <f>IF(ISNUMBER(H482),IF(D482="卖",ROUND(H482*N('参数'!$C$14)+F482*N('参数'!$C$15),2),0),"")</f>
        <v/>
      </c>
      <c r="K482" s="23" t="n"/>
      <c r="L482" s="20" t="str">
        <f>IF(ISNUMBER(K482),K482,IF(ISNUMBER(H482),I482+J482,""))</f>
        <v/>
      </c>
      <c r="M482" s="48" t="str">
        <f>IF(AND(ISNUMBER(E482),ISNUMBER(G482),ISNUMBER(F482)),(E482-G482)*IF(D482="卖",-1,1)*F482,"")</f>
        <v/>
      </c>
      <c r="N482" s="49" t="str">
        <f>IF(A482="","",IFERROR(T(INDEX('交易记录'!$C$5:$C$304,MATCH(A482,'交易记录'!$A$5:$A$304,0))),"编号没找到"))</f>
        <v/>
      </c>
      <c r="O482" s="31" t="n"/>
    </row>
    <row r="483">
      <c r="A483" s="29" t="n"/>
      <c r="B483" s="30" t="n"/>
      <c r="C483" s="47" t="n"/>
      <c r="D483" s="32" t="n"/>
      <c r="E483" s="33" t="n"/>
      <c r="F483" s="36" t="n"/>
      <c r="G483" s="33" t="n"/>
      <c r="H483" s="20" t="str">
        <f>IF(AND(ISNUMBER(E483),ISNUMBER(F483)),E483*F483,"")</f>
        <v/>
      </c>
      <c r="I483" s="43" t="str">
        <f>IF(ISNUMBER(H483),ROUND(MAX(F483*'参数'!$C$11,'参数'!$C$12)+'参数'!$C$13,2),"")</f>
        <v/>
      </c>
      <c r="J483" s="43" t="str">
        <f>IF(ISNUMBER(H483),IF(D483="卖",ROUND(H483*N('参数'!$C$14)+F483*N('参数'!$C$15),2),0),"")</f>
        <v/>
      </c>
      <c r="K483" s="23" t="n"/>
      <c r="L483" s="20" t="str">
        <f>IF(ISNUMBER(K483),K483,IF(ISNUMBER(H483),I483+J483,""))</f>
        <v/>
      </c>
      <c r="M483" s="48" t="str">
        <f>IF(AND(ISNUMBER(E483),ISNUMBER(G483),ISNUMBER(F483)),(E483-G483)*IF(D483="卖",-1,1)*F483,"")</f>
        <v/>
      </c>
      <c r="N483" s="49" t="str">
        <f>IF(A483="","",IFERROR(T(INDEX('交易记录'!$C$5:$C$304,MATCH(A483,'交易记录'!$A$5:$A$304,0))),"编号没找到"))</f>
        <v/>
      </c>
      <c r="O483" s="31" t="n"/>
    </row>
    <row r="484">
      <c r="A484" s="29" t="n"/>
      <c r="B484" s="30" t="n"/>
      <c r="C484" s="47" t="n"/>
      <c r="D484" s="32" t="n"/>
      <c r="E484" s="33" t="n"/>
      <c r="F484" s="36" t="n"/>
      <c r="G484" s="33" t="n"/>
      <c r="H484" s="20" t="str">
        <f>IF(AND(ISNUMBER(E484),ISNUMBER(F484)),E484*F484,"")</f>
        <v/>
      </c>
      <c r="I484" s="43" t="str">
        <f>IF(ISNUMBER(H484),ROUND(MAX(F484*'参数'!$C$11,'参数'!$C$12)+'参数'!$C$13,2),"")</f>
        <v/>
      </c>
      <c r="J484" s="43" t="str">
        <f>IF(ISNUMBER(H484),IF(D484="卖",ROUND(H484*N('参数'!$C$14)+F484*N('参数'!$C$15),2),0),"")</f>
        <v/>
      </c>
      <c r="K484" s="23" t="n"/>
      <c r="L484" s="20" t="str">
        <f>IF(ISNUMBER(K484),K484,IF(ISNUMBER(H484),I484+J484,""))</f>
        <v/>
      </c>
      <c r="M484" s="48" t="str">
        <f>IF(AND(ISNUMBER(E484),ISNUMBER(G484),ISNUMBER(F484)),(E484-G484)*IF(D484="卖",-1,1)*F484,"")</f>
        <v/>
      </c>
      <c r="N484" s="49" t="str">
        <f>IF(A484="","",IFERROR(T(INDEX('交易记录'!$C$5:$C$304,MATCH(A484,'交易记录'!$A$5:$A$304,0))),"编号没找到"))</f>
        <v/>
      </c>
      <c r="O484" s="31" t="n"/>
    </row>
    <row r="485">
      <c r="A485" s="29" t="n"/>
      <c r="B485" s="30" t="n"/>
      <c r="C485" s="47" t="n"/>
      <c r="D485" s="32" t="n"/>
      <c r="E485" s="33" t="n"/>
      <c r="F485" s="36" t="n"/>
      <c r="G485" s="33" t="n"/>
      <c r="H485" s="20" t="str">
        <f>IF(AND(ISNUMBER(E485),ISNUMBER(F485)),E485*F485,"")</f>
        <v/>
      </c>
      <c r="I485" s="43" t="str">
        <f>IF(ISNUMBER(H485),ROUND(MAX(F485*'参数'!$C$11,'参数'!$C$12)+'参数'!$C$13,2),"")</f>
        <v/>
      </c>
      <c r="J485" s="43" t="str">
        <f>IF(ISNUMBER(H485),IF(D485="卖",ROUND(H485*N('参数'!$C$14)+F485*N('参数'!$C$15),2),0),"")</f>
        <v/>
      </c>
      <c r="K485" s="23" t="n"/>
      <c r="L485" s="20" t="str">
        <f>IF(ISNUMBER(K485),K485,IF(ISNUMBER(H485),I485+J485,""))</f>
        <v/>
      </c>
      <c r="M485" s="48" t="str">
        <f>IF(AND(ISNUMBER(E485),ISNUMBER(G485),ISNUMBER(F485)),(E485-G485)*IF(D485="卖",-1,1)*F485,"")</f>
        <v/>
      </c>
      <c r="N485" s="49" t="str">
        <f>IF(A485="","",IFERROR(T(INDEX('交易记录'!$C$5:$C$304,MATCH(A485,'交易记录'!$A$5:$A$304,0))),"编号没找到"))</f>
        <v/>
      </c>
      <c r="O485" s="31" t="n"/>
    </row>
    <row r="486">
      <c r="A486" s="29" t="n"/>
      <c r="B486" s="30" t="n"/>
      <c r="C486" s="47" t="n"/>
      <c r="D486" s="32" t="n"/>
      <c r="E486" s="33" t="n"/>
      <c r="F486" s="36" t="n"/>
      <c r="G486" s="33" t="n"/>
      <c r="H486" s="20" t="str">
        <f>IF(AND(ISNUMBER(E486),ISNUMBER(F486)),E486*F486,"")</f>
        <v/>
      </c>
      <c r="I486" s="43" t="str">
        <f>IF(ISNUMBER(H486),ROUND(MAX(F486*'参数'!$C$11,'参数'!$C$12)+'参数'!$C$13,2),"")</f>
        <v/>
      </c>
      <c r="J486" s="43" t="str">
        <f>IF(ISNUMBER(H486),IF(D486="卖",ROUND(H486*N('参数'!$C$14)+F486*N('参数'!$C$15),2),0),"")</f>
        <v/>
      </c>
      <c r="K486" s="23" t="n"/>
      <c r="L486" s="20" t="str">
        <f>IF(ISNUMBER(K486),K486,IF(ISNUMBER(H486),I486+J486,""))</f>
        <v/>
      </c>
      <c r="M486" s="48" t="str">
        <f>IF(AND(ISNUMBER(E486),ISNUMBER(G486),ISNUMBER(F486)),(E486-G486)*IF(D486="卖",-1,1)*F486,"")</f>
        <v/>
      </c>
      <c r="N486" s="49" t="str">
        <f>IF(A486="","",IFERROR(T(INDEX('交易记录'!$C$5:$C$304,MATCH(A486,'交易记录'!$A$5:$A$304,0))),"编号没找到"))</f>
        <v/>
      </c>
      <c r="O486" s="31" t="n"/>
    </row>
    <row r="487">
      <c r="A487" s="29" t="n"/>
      <c r="B487" s="30" t="n"/>
      <c r="C487" s="47" t="n"/>
      <c r="D487" s="32" t="n"/>
      <c r="E487" s="33" t="n"/>
      <c r="F487" s="36" t="n"/>
      <c r="G487" s="33" t="n"/>
      <c r="H487" s="20" t="str">
        <f>IF(AND(ISNUMBER(E487),ISNUMBER(F487)),E487*F487,"")</f>
        <v/>
      </c>
      <c r="I487" s="43" t="str">
        <f>IF(ISNUMBER(H487),ROUND(MAX(F487*'参数'!$C$11,'参数'!$C$12)+'参数'!$C$13,2),"")</f>
        <v/>
      </c>
      <c r="J487" s="43" t="str">
        <f>IF(ISNUMBER(H487),IF(D487="卖",ROUND(H487*N('参数'!$C$14)+F487*N('参数'!$C$15),2),0),"")</f>
        <v/>
      </c>
      <c r="K487" s="23" t="n"/>
      <c r="L487" s="20" t="str">
        <f>IF(ISNUMBER(K487),K487,IF(ISNUMBER(H487),I487+J487,""))</f>
        <v/>
      </c>
      <c r="M487" s="48" t="str">
        <f>IF(AND(ISNUMBER(E487),ISNUMBER(G487),ISNUMBER(F487)),(E487-G487)*IF(D487="卖",-1,1)*F487,"")</f>
        <v/>
      </c>
      <c r="N487" s="49" t="str">
        <f>IF(A487="","",IFERROR(T(INDEX('交易记录'!$C$5:$C$304,MATCH(A487,'交易记录'!$A$5:$A$304,0))),"编号没找到"))</f>
        <v/>
      </c>
      <c r="O487" s="31" t="n"/>
    </row>
    <row r="488">
      <c r="A488" s="29" t="n"/>
      <c r="B488" s="30" t="n"/>
      <c r="C488" s="47" t="n"/>
      <c r="D488" s="32" t="n"/>
      <c r="E488" s="33" t="n"/>
      <c r="F488" s="36" t="n"/>
      <c r="G488" s="33" t="n"/>
      <c r="H488" s="20" t="str">
        <f>IF(AND(ISNUMBER(E488),ISNUMBER(F488)),E488*F488,"")</f>
        <v/>
      </c>
      <c r="I488" s="43" t="str">
        <f>IF(ISNUMBER(H488),ROUND(MAX(F488*'参数'!$C$11,'参数'!$C$12)+'参数'!$C$13,2),"")</f>
        <v/>
      </c>
      <c r="J488" s="43" t="str">
        <f>IF(ISNUMBER(H488),IF(D488="卖",ROUND(H488*N('参数'!$C$14)+F488*N('参数'!$C$15),2),0),"")</f>
        <v/>
      </c>
      <c r="K488" s="23" t="n"/>
      <c r="L488" s="20" t="str">
        <f>IF(ISNUMBER(K488),K488,IF(ISNUMBER(H488),I488+J488,""))</f>
        <v/>
      </c>
      <c r="M488" s="48" t="str">
        <f>IF(AND(ISNUMBER(E488),ISNUMBER(G488),ISNUMBER(F488)),(E488-G488)*IF(D488="卖",-1,1)*F488,"")</f>
        <v/>
      </c>
      <c r="N488" s="49" t="str">
        <f>IF(A488="","",IFERROR(T(INDEX('交易记录'!$C$5:$C$304,MATCH(A488,'交易记录'!$A$5:$A$304,0))),"编号没找到"))</f>
        <v/>
      </c>
      <c r="O488" s="31" t="n"/>
    </row>
    <row r="489">
      <c r="A489" s="29" t="n"/>
      <c r="B489" s="30" t="n"/>
      <c r="C489" s="47" t="n"/>
      <c r="D489" s="32" t="n"/>
      <c r="E489" s="33" t="n"/>
      <c r="F489" s="36" t="n"/>
      <c r="G489" s="33" t="n"/>
      <c r="H489" s="20" t="str">
        <f>IF(AND(ISNUMBER(E489),ISNUMBER(F489)),E489*F489,"")</f>
        <v/>
      </c>
      <c r="I489" s="43" t="str">
        <f>IF(ISNUMBER(H489),ROUND(MAX(F489*'参数'!$C$11,'参数'!$C$12)+'参数'!$C$13,2),"")</f>
        <v/>
      </c>
      <c r="J489" s="43" t="str">
        <f>IF(ISNUMBER(H489),IF(D489="卖",ROUND(H489*N('参数'!$C$14)+F489*N('参数'!$C$15),2),0),"")</f>
        <v/>
      </c>
      <c r="K489" s="23" t="n"/>
      <c r="L489" s="20" t="str">
        <f>IF(ISNUMBER(K489),K489,IF(ISNUMBER(H489),I489+J489,""))</f>
        <v/>
      </c>
      <c r="M489" s="48" t="str">
        <f>IF(AND(ISNUMBER(E489),ISNUMBER(G489),ISNUMBER(F489)),(E489-G489)*IF(D489="卖",-1,1)*F489,"")</f>
        <v/>
      </c>
      <c r="N489" s="49" t="str">
        <f>IF(A489="","",IFERROR(T(INDEX('交易记录'!$C$5:$C$304,MATCH(A489,'交易记录'!$A$5:$A$304,0))),"编号没找到"))</f>
        <v/>
      </c>
      <c r="O489" s="31" t="n"/>
    </row>
    <row r="490">
      <c r="A490" s="29" t="n"/>
      <c r="B490" s="30" t="n"/>
      <c r="C490" s="47" t="n"/>
      <c r="D490" s="32" t="n"/>
      <c r="E490" s="33" t="n"/>
      <c r="F490" s="36" t="n"/>
      <c r="G490" s="33" t="n"/>
      <c r="H490" s="20" t="str">
        <f>IF(AND(ISNUMBER(E490),ISNUMBER(F490)),E490*F490,"")</f>
        <v/>
      </c>
      <c r="I490" s="43" t="str">
        <f>IF(ISNUMBER(H490),ROUND(MAX(F490*'参数'!$C$11,'参数'!$C$12)+'参数'!$C$13,2),"")</f>
        <v/>
      </c>
      <c r="J490" s="43" t="str">
        <f>IF(ISNUMBER(H490),IF(D490="卖",ROUND(H490*N('参数'!$C$14)+F490*N('参数'!$C$15),2),0),"")</f>
        <v/>
      </c>
      <c r="K490" s="23" t="n"/>
      <c r="L490" s="20" t="str">
        <f>IF(ISNUMBER(K490),K490,IF(ISNUMBER(H490),I490+J490,""))</f>
        <v/>
      </c>
      <c r="M490" s="48" t="str">
        <f>IF(AND(ISNUMBER(E490),ISNUMBER(G490),ISNUMBER(F490)),(E490-G490)*IF(D490="卖",-1,1)*F490,"")</f>
        <v/>
      </c>
      <c r="N490" s="49" t="str">
        <f>IF(A490="","",IFERROR(T(INDEX('交易记录'!$C$5:$C$304,MATCH(A490,'交易记录'!$A$5:$A$304,0))),"编号没找到"))</f>
        <v/>
      </c>
      <c r="O490" s="31" t="n"/>
    </row>
    <row r="491">
      <c r="A491" s="29" t="n"/>
      <c r="B491" s="30" t="n"/>
      <c r="C491" s="47" t="n"/>
      <c r="D491" s="32" t="n"/>
      <c r="E491" s="33" t="n"/>
      <c r="F491" s="36" t="n"/>
      <c r="G491" s="33" t="n"/>
      <c r="H491" s="20" t="str">
        <f>IF(AND(ISNUMBER(E491),ISNUMBER(F491)),E491*F491,"")</f>
        <v/>
      </c>
      <c r="I491" s="43" t="str">
        <f>IF(ISNUMBER(H491),ROUND(MAX(F491*'参数'!$C$11,'参数'!$C$12)+'参数'!$C$13,2),"")</f>
        <v/>
      </c>
      <c r="J491" s="43" t="str">
        <f>IF(ISNUMBER(H491),IF(D491="卖",ROUND(H491*N('参数'!$C$14)+F491*N('参数'!$C$15),2),0),"")</f>
        <v/>
      </c>
      <c r="K491" s="23" t="n"/>
      <c r="L491" s="20" t="str">
        <f>IF(ISNUMBER(K491),K491,IF(ISNUMBER(H491),I491+J491,""))</f>
        <v/>
      </c>
      <c r="M491" s="48" t="str">
        <f>IF(AND(ISNUMBER(E491),ISNUMBER(G491),ISNUMBER(F491)),(E491-G491)*IF(D491="卖",-1,1)*F491,"")</f>
        <v/>
      </c>
      <c r="N491" s="49" t="str">
        <f>IF(A491="","",IFERROR(T(INDEX('交易记录'!$C$5:$C$304,MATCH(A491,'交易记录'!$A$5:$A$304,0))),"编号没找到"))</f>
        <v/>
      </c>
      <c r="O491" s="31" t="n"/>
    </row>
    <row r="492">
      <c r="A492" s="29" t="n"/>
      <c r="B492" s="30" t="n"/>
      <c r="C492" s="47" t="n"/>
      <c r="D492" s="32" t="n"/>
      <c r="E492" s="33" t="n"/>
      <c r="F492" s="36" t="n"/>
      <c r="G492" s="33" t="n"/>
      <c r="H492" s="20" t="str">
        <f>IF(AND(ISNUMBER(E492),ISNUMBER(F492)),E492*F492,"")</f>
        <v/>
      </c>
      <c r="I492" s="43" t="str">
        <f>IF(ISNUMBER(H492),ROUND(MAX(F492*'参数'!$C$11,'参数'!$C$12)+'参数'!$C$13,2),"")</f>
        <v/>
      </c>
      <c r="J492" s="43" t="str">
        <f>IF(ISNUMBER(H492),IF(D492="卖",ROUND(H492*N('参数'!$C$14)+F492*N('参数'!$C$15),2),0),"")</f>
        <v/>
      </c>
      <c r="K492" s="23" t="n"/>
      <c r="L492" s="20" t="str">
        <f>IF(ISNUMBER(K492),K492,IF(ISNUMBER(H492),I492+J492,""))</f>
        <v/>
      </c>
      <c r="M492" s="48" t="str">
        <f>IF(AND(ISNUMBER(E492),ISNUMBER(G492),ISNUMBER(F492)),(E492-G492)*IF(D492="卖",-1,1)*F492,"")</f>
        <v/>
      </c>
      <c r="N492" s="49" t="str">
        <f>IF(A492="","",IFERROR(T(INDEX('交易记录'!$C$5:$C$304,MATCH(A492,'交易记录'!$A$5:$A$304,0))),"编号没找到"))</f>
        <v/>
      </c>
      <c r="O492" s="31" t="n"/>
    </row>
    <row r="493">
      <c r="A493" s="29" t="n"/>
      <c r="B493" s="30" t="n"/>
      <c r="C493" s="47" t="n"/>
      <c r="D493" s="32" t="n"/>
      <c r="E493" s="33" t="n"/>
      <c r="F493" s="36" t="n"/>
      <c r="G493" s="33" t="n"/>
      <c r="H493" s="20" t="str">
        <f>IF(AND(ISNUMBER(E493),ISNUMBER(F493)),E493*F493,"")</f>
        <v/>
      </c>
      <c r="I493" s="43" t="str">
        <f>IF(ISNUMBER(H493),ROUND(MAX(F493*'参数'!$C$11,'参数'!$C$12)+'参数'!$C$13,2),"")</f>
        <v/>
      </c>
      <c r="J493" s="43" t="str">
        <f>IF(ISNUMBER(H493),IF(D493="卖",ROUND(H493*N('参数'!$C$14)+F493*N('参数'!$C$15),2),0),"")</f>
        <v/>
      </c>
      <c r="K493" s="23" t="n"/>
      <c r="L493" s="20" t="str">
        <f>IF(ISNUMBER(K493),K493,IF(ISNUMBER(H493),I493+J493,""))</f>
        <v/>
      </c>
      <c r="M493" s="48" t="str">
        <f>IF(AND(ISNUMBER(E493),ISNUMBER(G493),ISNUMBER(F493)),(E493-G493)*IF(D493="卖",-1,1)*F493,"")</f>
        <v/>
      </c>
      <c r="N493" s="49" t="str">
        <f>IF(A493="","",IFERROR(T(INDEX('交易记录'!$C$5:$C$304,MATCH(A493,'交易记录'!$A$5:$A$304,0))),"编号没找到"))</f>
        <v/>
      </c>
      <c r="O493" s="31" t="n"/>
    </row>
    <row r="494">
      <c r="A494" s="29" t="n"/>
      <c r="B494" s="30" t="n"/>
      <c r="C494" s="47" t="n"/>
      <c r="D494" s="32" t="n"/>
      <c r="E494" s="33" t="n"/>
      <c r="F494" s="36" t="n"/>
      <c r="G494" s="33" t="n"/>
      <c r="H494" s="20" t="str">
        <f>IF(AND(ISNUMBER(E494),ISNUMBER(F494)),E494*F494,"")</f>
        <v/>
      </c>
      <c r="I494" s="43" t="str">
        <f>IF(ISNUMBER(H494),ROUND(MAX(F494*'参数'!$C$11,'参数'!$C$12)+'参数'!$C$13,2),"")</f>
        <v/>
      </c>
      <c r="J494" s="43" t="str">
        <f>IF(ISNUMBER(H494),IF(D494="卖",ROUND(H494*N('参数'!$C$14)+F494*N('参数'!$C$15),2),0),"")</f>
        <v/>
      </c>
      <c r="K494" s="23" t="n"/>
      <c r="L494" s="20" t="str">
        <f>IF(ISNUMBER(K494),K494,IF(ISNUMBER(H494),I494+J494,""))</f>
        <v/>
      </c>
      <c r="M494" s="48" t="str">
        <f>IF(AND(ISNUMBER(E494),ISNUMBER(G494),ISNUMBER(F494)),(E494-G494)*IF(D494="卖",-1,1)*F494,"")</f>
        <v/>
      </c>
      <c r="N494" s="49" t="str">
        <f>IF(A494="","",IFERROR(T(INDEX('交易记录'!$C$5:$C$304,MATCH(A494,'交易记录'!$A$5:$A$304,0))),"编号没找到"))</f>
        <v/>
      </c>
      <c r="O494" s="31" t="n"/>
    </row>
    <row r="495">
      <c r="A495" s="29" t="n"/>
      <c r="B495" s="30" t="n"/>
      <c r="C495" s="47" t="n"/>
      <c r="D495" s="32" t="n"/>
      <c r="E495" s="33" t="n"/>
      <c r="F495" s="36" t="n"/>
      <c r="G495" s="33" t="n"/>
      <c r="H495" s="20" t="str">
        <f>IF(AND(ISNUMBER(E495),ISNUMBER(F495)),E495*F495,"")</f>
        <v/>
      </c>
      <c r="I495" s="43" t="str">
        <f>IF(ISNUMBER(H495),ROUND(MAX(F495*'参数'!$C$11,'参数'!$C$12)+'参数'!$C$13,2),"")</f>
        <v/>
      </c>
      <c r="J495" s="43" t="str">
        <f>IF(ISNUMBER(H495),IF(D495="卖",ROUND(H495*N('参数'!$C$14)+F495*N('参数'!$C$15),2),0),"")</f>
        <v/>
      </c>
      <c r="K495" s="23" t="n"/>
      <c r="L495" s="20" t="str">
        <f>IF(ISNUMBER(K495),K495,IF(ISNUMBER(H495),I495+J495,""))</f>
        <v/>
      </c>
      <c r="M495" s="48" t="str">
        <f>IF(AND(ISNUMBER(E495),ISNUMBER(G495),ISNUMBER(F495)),(E495-G495)*IF(D495="卖",-1,1)*F495,"")</f>
        <v/>
      </c>
      <c r="N495" s="49" t="str">
        <f>IF(A495="","",IFERROR(T(INDEX('交易记录'!$C$5:$C$304,MATCH(A495,'交易记录'!$A$5:$A$304,0))),"编号没找到"))</f>
        <v/>
      </c>
      <c r="O495" s="31" t="n"/>
    </row>
    <row r="496">
      <c r="A496" s="29" t="n"/>
      <c r="B496" s="30" t="n"/>
      <c r="C496" s="47" t="n"/>
      <c r="D496" s="32" t="n"/>
      <c r="E496" s="33" t="n"/>
      <c r="F496" s="36" t="n"/>
      <c r="G496" s="33" t="n"/>
      <c r="H496" s="20" t="str">
        <f>IF(AND(ISNUMBER(E496),ISNUMBER(F496)),E496*F496,"")</f>
        <v/>
      </c>
      <c r="I496" s="43" t="str">
        <f>IF(ISNUMBER(H496),ROUND(MAX(F496*'参数'!$C$11,'参数'!$C$12)+'参数'!$C$13,2),"")</f>
        <v/>
      </c>
      <c r="J496" s="43" t="str">
        <f>IF(ISNUMBER(H496),IF(D496="卖",ROUND(H496*N('参数'!$C$14)+F496*N('参数'!$C$15),2),0),"")</f>
        <v/>
      </c>
      <c r="K496" s="23" t="n"/>
      <c r="L496" s="20" t="str">
        <f>IF(ISNUMBER(K496),K496,IF(ISNUMBER(H496),I496+J496,""))</f>
        <v/>
      </c>
      <c r="M496" s="48" t="str">
        <f>IF(AND(ISNUMBER(E496),ISNUMBER(G496),ISNUMBER(F496)),(E496-G496)*IF(D496="卖",-1,1)*F496,"")</f>
        <v/>
      </c>
      <c r="N496" s="49" t="str">
        <f>IF(A496="","",IFERROR(T(INDEX('交易记录'!$C$5:$C$304,MATCH(A496,'交易记录'!$A$5:$A$304,0))),"编号没找到"))</f>
        <v/>
      </c>
      <c r="O496" s="31" t="n"/>
    </row>
    <row r="497">
      <c r="A497" s="29" t="n"/>
      <c r="B497" s="30" t="n"/>
      <c r="C497" s="47" t="n"/>
      <c r="D497" s="32" t="n"/>
      <c r="E497" s="33" t="n"/>
      <c r="F497" s="36" t="n"/>
      <c r="G497" s="33" t="n"/>
      <c r="H497" s="20" t="str">
        <f>IF(AND(ISNUMBER(E497),ISNUMBER(F497)),E497*F497,"")</f>
        <v/>
      </c>
      <c r="I497" s="43" t="str">
        <f>IF(ISNUMBER(H497),ROUND(MAX(F497*'参数'!$C$11,'参数'!$C$12)+'参数'!$C$13,2),"")</f>
        <v/>
      </c>
      <c r="J497" s="43" t="str">
        <f>IF(ISNUMBER(H497),IF(D497="卖",ROUND(H497*N('参数'!$C$14)+F497*N('参数'!$C$15),2),0),"")</f>
        <v/>
      </c>
      <c r="K497" s="23" t="n"/>
      <c r="L497" s="20" t="str">
        <f>IF(ISNUMBER(K497),K497,IF(ISNUMBER(H497),I497+J497,""))</f>
        <v/>
      </c>
      <c r="M497" s="48" t="str">
        <f>IF(AND(ISNUMBER(E497),ISNUMBER(G497),ISNUMBER(F497)),(E497-G497)*IF(D497="卖",-1,1)*F497,"")</f>
        <v/>
      </c>
      <c r="N497" s="49" t="str">
        <f>IF(A497="","",IFERROR(T(INDEX('交易记录'!$C$5:$C$304,MATCH(A497,'交易记录'!$A$5:$A$304,0))),"编号没找到"))</f>
        <v/>
      </c>
      <c r="O497" s="31" t="n"/>
    </row>
    <row r="498">
      <c r="A498" s="29" t="n"/>
      <c r="B498" s="30" t="n"/>
      <c r="C498" s="47" t="n"/>
      <c r="D498" s="32" t="n"/>
      <c r="E498" s="33" t="n"/>
      <c r="F498" s="36" t="n"/>
      <c r="G498" s="33" t="n"/>
      <c r="H498" s="20" t="str">
        <f>IF(AND(ISNUMBER(E498),ISNUMBER(F498)),E498*F498,"")</f>
        <v/>
      </c>
      <c r="I498" s="43" t="str">
        <f>IF(ISNUMBER(H498),ROUND(MAX(F498*'参数'!$C$11,'参数'!$C$12)+'参数'!$C$13,2),"")</f>
        <v/>
      </c>
      <c r="J498" s="43" t="str">
        <f>IF(ISNUMBER(H498),IF(D498="卖",ROUND(H498*N('参数'!$C$14)+F498*N('参数'!$C$15),2),0),"")</f>
        <v/>
      </c>
      <c r="K498" s="23" t="n"/>
      <c r="L498" s="20" t="str">
        <f>IF(ISNUMBER(K498),K498,IF(ISNUMBER(H498),I498+J498,""))</f>
        <v/>
      </c>
      <c r="M498" s="48" t="str">
        <f>IF(AND(ISNUMBER(E498),ISNUMBER(G498),ISNUMBER(F498)),(E498-G498)*IF(D498="卖",-1,1)*F498,"")</f>
        <v/>
      </c>
      <c r="N498" s="49" t="str">
        <f>IF(A498="","",IFERROR(T(INDEX('交易记录'!$C$5:$C$304,MATCH(A498,'交易记录'!$A$5:$A$304,0))),"编号没找到"))</f>
        <v/>
      </c>
      <c r="O498" s="31" t="n"/>
    </row>
    <row r="499">
      <c r="A499" s="29" t="n"/>
      <c r="B499" s="30" t="n"/>
      <c r="C499" s="47" t="n"/>
      <c r="D499" s="32" t="n"/>
      <c r="E499" s="33" t="n"/>
      <c r="F499" s="36" t="n"/>
      <c r="G499" s="33" t="n"/>
      <c r="H499" s="20" t="str">
        <f>IF(AND(ISNUMBER(E499),ISNUMBER(F499)),E499*F499,"")</f>
        <v/>
      </c>
      <c r="I499" s="43" t="str">
        <f>IF(ISNUMBER(H499),ROUND(MAX(F499*'参数'!$C$11,'参数'!$C$12)+'参数'!$C$13,2),"")</f>
        <v/>
      </c>
      <c r="J499" s="43" t="str">
        <f>IF(ISNUMBER(H499),IF(D499="卖",ROUND(H499*N('参数'!$C$14)+F499*N('参数'!$C$15),2),0),"")</f>
        <v/>
      </c>
      <c r="K499" s="23" t="n"/>
      <c r="L499" s="20" t="str">
        <f>IF(ISNUMBER(K499),K499,IF(ISNUMBER(H499),I499+J499,""))</f>
        <v/>
      </c>
      <c r="M499" s="48" t="str">
        <f>IF(AND(ISNUMBER(E499),ISNUMBER(G499),ISNUMBER(F499)),(E499-G499)*IF(D499="卖",-1,1)*F499,"")</f>
        <v/>
      </c>
      <c r="N499" s="49" t="str">
        <f>IF(A499="","",IFERROR(T(INDEX('交易记录'!$C$5:$C$304,MATCH(A499,'交易记录'!$A$5:$A$304,0))),"编号没找到"))</f>
        <v/>
      </c>
      <c r="O499" s="31" t="n"/>
    </row>
    <row r="500">
      <c r="A500" s="29" t="n"/>
      <c r="B500" s="30" t="n"/>
      <c r="C500" s="47" t="n"/>
      <c r="D500" s="32" t="n"/>
      <c r="E500" s="33" t="n"/>
      <c r="F500" s="36" t="n"/>
      <c r="G500" s="33" t="n"/>
      <c r="H500" s="20" t="str">
        <f>IF(AND(ISNUMBER(E500),ISNUMBER(F500)),E500*F500,"")</f>
        <v/>
      </c>
      <c r="I500" s="43" t="str">
        <f>IF(ISNUMBER(H500),ROUND(MAX(F500*'参数'!$C$11,'参数'!$C$12)+'参数'!$C$13,2),"")</f>
        <v/>
      </c>
      <c r="J500" s="43" t="str">
        <f>IF(ISNUMBER(H500),IF(D500="卖",ROUND(H500*N('参数'!$C$14)+F500*N('参数'!$C$15),2),0),"")</f>
        <v/>
      </c>
      <c r="K500" s="23" t="n"/>
      <c r="L500" s="20" t="str">
        <f>IF(ISNUMBER(K500),K500,IF(ISNUMBER(H500),I500+J500,""))</f>
        <v/>
      </c>
      <c r="M500" s="48" t="str">
        <f>IF(AND(ISNUMBER(E500),ISNUMBER(G500),ISNUMBER(F500)),(E500-G500)*IF(D500="卖",-1,1)*F500,"")</f>
        <v/>
      </c>
      <c r="N500" s="49" t="str">
        <f>IF(A500="","",IFERROR(T(INDEX('交易记录'!$C$5:$C$304,MATCH(A500,'交易记录'!$A$5:$A$304,0))),"编号没找到"))</f>
        <v/>
      </c>
      <c r="O500" s="31" t="n"/>
    </row>
    <row r="501">
      <c r="A501" s="29" t="n"/>
      <c r="B501" s="30" t="n"/>
      <c r="C501" s="47" t="n"/>
      <c r="D501" s="32" t="n"/>
      <c r="E501" s="33" t="n"/>
      <c r="F501" s="36" t="n"/>
      <c r="G501" s="33" t="n"/>
      <c r="H501" s="20" t="str">
        <f>IF(AND(ISNUMBER(E501),ISNUMBER(F501)),E501*F501,"")</f>
        <v/>
      </c>
      <c r="I501" s="43" t="str">
        <f>IF(ISNUMBER(H501),ROUND(MAX(F501*'参数'!$C$11,'参数'!$C$12)+'参数'!$C$13,2),"")</f>
        <v/>
      </c>
      <c r="J501" s="43" t="str">
        <f>IF(ISNUMBER(H501),IF(D501="卖",ROUND(H501*N('参数'!$C$14)+F501*N('参数'!$C$15),2),0),"")</f>
        <v/>
      </c>
      <c r="K501" s="23" t="n"/>
      <c r="L501" s="20" t="str">
        <f>IF(ISNUMBER(K501),K501,IF(ISNUMBER(H501),I501+J501,""))</f>
        <v/>
      </c>
      <c r="M501" s="48" t="str">
        <f>IF(AND(ISNUMBER(E501),ISNUMBER(G501),ISNUMBER(F501)),(E501-G501)*IF(D501="卖",-1,1)*F501,"")</f>
        <v/>
      </c>
      <c r="N501" s="49" t="str">
        <f>IF(A501="","",IFERROR(T(INDEX('交易记录'!$C$5:$C$304,MATCH(A501,'交易记录'!$A$5:$A$304,0))),"编号没找到"))</f>
        <v/>
      </c>
      <c r="O501" s="31" t="n"/>
    </row>
    <row r="502">
      <c r="A502" s="29" t="n"/>
      <c r="B502" s="30" t="n"/>
      <c r="C502" s="47" t="n"/>
      <c r="D502" s="32" t="n"/>
      <c r="E502" s="33" t="n"/>
      <c r="F502" s="36" t="n"/>
      <c r="G502" s="33" t="n"/>
      <c r="H502" s="20" t="str">
        <f>IF(AND(ISNUMBER(E502),ISNUMBER(F502)),E502*F502,"")</f>
        <v/>
      </c>
      <c r="I502" s="43" t="str">
        <f>IF(ISNUMBER(H502),ROUND(MAX(F502*'参数'!$C$11,'参数'!$C$12)+'参数'!$C$13,2),"")</f>
        <v/>
      </c>
      <c r="J502" s="43" t="str">
        <f>IF(ISNUMBER(H502),IF(D502="卖",ROUND(H502*N('参数'!$C$14)+F502*N('参数'!$C$15),2),0),"")</f>
        <v/>
      </c>
      <c r="K502" s="23" t="n"/>
      <c r="L502" s="20" t="str">
        <f>IF(ISNUMBER(K502),K502,IF(ISNUMBER(H502),I502+J502,""))</f>
        <v/>
      </c>
      <c r="M502" s="48" t="str">
        <f>IF(AND(ISNUMBER(E502),ISNUMBER(G502),ISNUMBER(F502)),(E502-G502)*IF(D502="卖",-1,1)*F502,"")</f>
        <v/>
      </c>
      <c r="N502" s="49" t="str">
        <f>IF(A502="","",IFERROR(T(INDEX('交易记录'!$C$5:$C$304,MATCH(A502,'交易记录'!$A$5:$A$304,0))),"编号没找到"))</f>
        <v/>
      </c>
      <c r="O502" s="31" t="n"/>
    </row>
    <row r="503">
      <c r="A503" s="29" t="n"/>
      <c r="B503" s="30" t="n"/>
      <c r="C503" s="47" t="n"/>
      <c r="D503" s="32" t="n"/>
      <c r="E503" s="33" t="n"/>
      <c r="F503" s="36" t="n"/>
      <c r="G503" s="33" t="n"/>
      <c r="H503" s="20" t="str">
        <f>IF(AND(ISNUMBER(E503),ISNUMBER(F503)),E503*F503,"")</f>
        <v/>
      </c>
      <c r="I503" s="43" t="str">
        <f>IF(ISNUMBER(H503),ROUND(MAX(F503*'参数'!$C$11,'参数'!$C$12)+'参数'!$C$13,2),"")</f>
        <v/>
      </c>
      <c r="J503" s="43" t="str">
        <f>IF(ISNUMBER(H503),IF(D503="卖",ROUND(H503*N('参数'!$C$14)+F503*N('参数'!$C$15),2),0),"")</f>
        <v/>
      </c>
      <c r="K503" s="23" t="n"/>
      <c r="L503" s="20" t="str">
        <f>IF(ISNUMBER(K503),K503,IF(ISNUMBER(H503),I503+J503,""))</f>
        <v/>
      </c>
      <c r="M503" s="48" t="str">
        <f>IF(AND(ISNUMBER(E503),ISNUMBER(G503),ISNUMBER(F503)),(E503-G503)*IF(D503="卖",-1,1)*F503,"")</f>
        <v/>
      </c>
      <c r="N503" s="49" t="str">
        <f>IF(A503="","",IFERROR(T(INDEX('交易记录'!$C$5:$C$304,MATCH(A503,'交易记录'!$A$5:$A$304,0))),"编号没找到"))</f>
        <v/>
      </c>
      <c r="O503" s="31" t="n"/>
    </row>
    <row r="504">
      <c r="A504" s="29" t="n"/>
      <c r="B504" s="30" t="n"/>
      <c r="C504" s="47" t="n"/>
      <c r="D504" s="32" t="n"/>
      <c r="E504" s="33" t="n"/>
      <c r="F504" s="36" t="n"/>
      <c r="G504" s="33" t="n"/>
      <c r="H504" s="20" t="str">
        <f>IF(AND(ISNUMBER(E504),ISNUMBER(F504)),E504*F504,"")</f>
        <v/>
      </c>
      <c r="I504" s="43" t="str">
        <f>IF(ISNUMBER(H504),ROUND(MAX(F504*'参数'!$C$11,'参数'!$C$12)+'参数'!$C$13,2),"")</f>
        <v/>
      </c>
      <c r="J504" s="43" t="str">
        <f>IF(ISNUMBER(H504),IF(D504="卖",ROUND(H504*N('参数'!$C$14)+F504*N('参数'!$C$15),2),0),"")</f>
        <v/>
      </c>
      <c r="K504" s="23" t="n"/>
      <c r="L504" s="20" t="str">
        <f>IF(ISNUMBER(K504),K504,IF(ISNUMBER(H504),I504+J504,""))</f>
        <v/>
      </c>
      <c r="M504" s="48" t="str">
        <f>IF(AND(ISNUMBER(E504),ISNUMBER(G504),ISNUMBER(F504)),(E504-G504)*IF(D504="卖",-1,1)*F504,"")</f>
        <v/>
      </c>
      <c r="N504" s="49" t="str">
        <f>IF(A504="","",IFERROR(T(INDEX('交易记录'!$C$5:$C$304,MATCH(A504,'交易记录'!$A$5:$A$304,0))),"编号没找到"))</f>
        <v/>
      </c>
      <c r="O504" s="31" t="n"/>
    </row>
    <row r="505">
      <c r="A505" s="29" t="n"/>
      <c r="B505" s="30" t="n"/>
      <c r="C505" s="47" t="n"/>
      <c r="D505" s="32" t="n"/>
      <c r="E505" s="33" t="n"/>
      <c r="F505" s="36" t="n"/>
      <c r="G505" s="33" t="n"/>
      <c r="H505" s="20" t="str">
        <f>IF(AND(ISNUMBER(E505),ISNUMBER(F505)),E505*F505,"")</f>
        <v/>
      </c>
      <c r="I505" s="43" t="str">
        <f>IF(ISNUMBER(H505),ROUND(MAX(F505*'参数'!$C$11,'参数'!$C$12)+'参数'!$C$13,2),"")</f>
        <v/>
      </c>
      <c r="J505" s="43" t="str">
        <f>IF(ISNUMBER(H505),IF(D505="卖",ROUND(H505*N('参数'!$C$14)+F505*N('参数'!$C$15),2),0),"")</f>
        <v/>
      </c>
      <c r="K505" s="23" t="n"/>
      <c r="L505" s="20" t="str">
        <f>IF(ISNUMBER(K505),K505,IF(ISNUMBER(H505),I505+J505,""))</f>
        <v/>
      </c>
      <c r="M505" s="48" t="str">
        <f>IF(AND(ISNUMBER(E505),ISNUMBER(G505),ISNUMBER(F505)),(E505-G505)*IF(D505="卖",-1,1)*F505,"")</f>
        <v/>
      </c>
      <c r="N505" s="49" t="str">
        <f>IF(A505="","",IFERROR(T(INDEX('交易记录'!$C$5:$C$304,MATCH(A505,'交易记录'!$A$5:$A$304,0))),"编号没找到"))</f>
        <v/>
      </c>
      <c r="O505" s="31" t="n"/>
    </row>
    <row r="506">
      <c r="A506" s="29" t="n"/>
      <c r="B506" s="30" t="n"/>
      <c r="C506" s="47" t="n"/>
      <c r="D506" s="32" t="n"/>
      <c r="E506" s="33" t="n"/>
      <c r="F506" s="36" t="n"/>
      <c r="G506" s="33" t="n"/>
      <c r="H506" s="20" t="str">
        <f>IF(AND(ISNUMBER(E506),ISNUMBER(F506)),E506*F506,"")</f>
        <v/>
      </c>
      <c r="I506" s="43" t="str">
        <f>IF(ISNUMBER(H506),ROUND(MAX(F506*'参数'!$C$11,'参数'!$C$12)+'参数'!$C$13,2),"")</f>
        <v/>
      </c>
      <c r="J506" s="43" t="str">
        <f>IF(ISNUMBER(H506),IF(D506="卖",ROUND(H506*N('参数'!$C$14)+F506*N('参数'!$C$15),2),0),"")</f>
        <v/>
      </c>
      <c r="K506" s="23" t="n"/>
      <c r="L506" s="20" t="str">
        <f>IF(ISNUMBER(K506),K506,IF(ISNUMBER(H506),I506+J506,""))</f>
        <v/>
      </c>
      <c r="M506" s="48" t="str">
        <f>IF(AND(ISNUMBER(E506),ISNUMBER(G506),ISNUMBER(F506)),(E506-G506)*IF(D506="卖",-1,1)*F506,"")</f>
        <v/>
      </c>
      <c r="N506" s="49" t="str">
        <f>IF(A506="","",IFERROR(T(INDEX('交易记录'!$C$5:$C$304,MATCH(A506,'交易记录'!$A$5:$A$304,0))),"编号没找到"))</f>
        <v/>
      </c>
      <c r="O506" s="31" t="n"/>
    </row>
    <row r="507">
      <c r="A507" s="29" t="n"/>
      <c r="B507" s="30" t="n"/>
      <c r="C507" s="47" t="n"/>
      <c r="D507" s="32" t="n"/>
      <c r="E507" s="33" t="n"/>
      <c r="F507" s="36" t="n"/>
      <c r="G507" s="33" t="n"/>
      <c r="H507" s="20" t="str">
        <f>IF(AND(ISNUMBER(E507),ISNUMBER(F507)),E507*F507,"")</f>
        <v/>
      </c>
      <c r="I507" s="43" t="str">
        <f>IF(ISNUMBER(H507),ROUND(MAX(F507*'参数'!$C$11,'参数'!$C$12)+'参数'!$C$13,2),"")</f>
        <v/>
      </c>
      <c r="J507" s="43" t="str">
        <f>IF(ISNUMBER(H507),IF(D507="卖",ROUND(H507*N('参数'!$C$14)+F507*N('参数'!$C$15),2),0),"")</f>
        <v/>
      </c>
      <c r="K507" s="23" t="n"/>
      <c r="L507" s="20" t="str">
        <f>IF(ISNUMBER(K507),K507,IF(ISNUMBER(H507),I507+J507,""))</f>
        <v/>
      </c>
      <c r="M507" s="48" t="str">
        <f>IF(AND(ISNUMBER(E507),ISNUMBER(G507),ISNUMBER(F507)),(E507-G507)*IF(D507="卖",-1,1)*F507,"")</f>
        <v/>
      </c>
      <c r="N507" s="49" t="str">
        <f>IF(A507="","",IFERROR(T(INDEX('交易记录'!$C$5:$C$304,MATCH(A507,'交易记录'!$A$5:$A$304,0))),"编号没找到"))</f>
        <v/>
      </c>
      <c r="O507" s="31" t="n"/>
    </row>
    <row r="508">
      <c r="A508" s="29" t="n"/>
      <c r="B508" s="30" t="n"/>
      <c r="C508" s="47" t="n"/>
      <c r="D508" s="32" t="n"/>
      <c r="E508" s="33" t="n"/>
      <c r="F508" s="36" t="n"/>
      <c r="G508" s="33" t="n"/>
      <c r="H508" s="20" t="str">
        <f>IF(AND(ISNUMBER(E508),ISNUMBER(F508)),E508*F508,"")</f>
        <v/>
      </c>
      <c r="I508" s="43" t="str">
        <f>IF(ISNUMBER(H508),ROUND(MAX(F508*'参数'!$C$11,'参数'!$C$12)+'参数'!$C$13,2),"")</f>
        <v/>
      </c>
      <c r="J508" s="43" t="str">
        <f>IF(ISNUMBER(H508),IF(D508="卖",ROUND(H508*N('参数'!$C$14)+F508*N('参数'!$C$15),2),0),"")</f>
        <v/>
      </c>
      <c r="K508" s="23" t="n"/>
      <c r="L508" s="20" t="str">
        <f>IF(ISNUMBER(K508),K508,IF(ISNUMBER(H508),I508+J508,""))</f>
        <v/>
      </c>
      <c r="M508" s="48" t="str">
        <f>IF(AND(ISNUMBER(E508),ISNUMBER(G508),ISNUMBER(F508)),(E508-G508)*IF(D508="卖",-1,1)*F508,"")</f>
        <v/>
      </c>
      <c r="N508" s="49" t="str">
        <f>IF(A508="","",IFERROR(T(INDEX('交易记录'!$C$5:$C$304,MATCH(A508,'交易记录'!$A$5:$A$304,0))),"编号没找到"))</f>
        <v/>
      </c>
      <c r="O508" s="31" t="n"/>
    </row>
    <row r="509">
      <c r="A509" s="29" t="n"/>
      <c r="B509" s="30" t="n"/>
      <c r="C509" s="47" t="n"/>
      <c r="D509" s="32" t="n"/>
      <c r="E509" s="33" t="n"/>
      <c r="F509" s="36" t="n"/>
      <c r="G509" s="33" t="n"/>
      <c r="H509" s="20" t="str">
        <f>IF(AND(ISNUMBER(E509),ISNUMBER(F509)),E509*F509,"")</f>
        <v/>
      </c>
      <c r="I509" s="43" t="str">
        <f>IF(ISNUMBER(H509),ROUND(MAX(F509*'参数'!$C$11,'参数'!$C$12)+'参数'!$C$13,2),"")</f>
        <v/>
      </c>
      <c r="J509" s="43" t="str">
        <f>IF(ISNUMBER(H509),IF(D509="卖",ROUND(H509*N('参数'!$C$14)+F509*N('参数'!$C$15),2),0),"")</f>
        <v/>
      </c>
      <c r="K509" s="23" t="n"/>
      <c r="L509" s="20" t="str">
        <f>IF(ISNUMBER(K509),K509,IF(ISNUMBER(H509),I509+J509,""))</f>
        <v/>
      </c>
      <c r="M509" s="48" t="str">
        <f>IF(AND(ISNUMBER(E509),ISNUMBER(G509),ISNUMBER(F509)),(E509-G509)*IF(D509="卖",-1,1)*F509,"")</f>
        <v/>
      </c>
      <c r="N509" s="49" t="str">
        <f>IF(A509="","",IFERROR(T(INDEX('交易记录'!$C$5:$C$304,MATCH(A509,'交易记录'!$A$5:$A$304,0))),"编号没找到"))</f>
        <v/>
      </c>
      <c r="O509" s="31" t="n"/>
    </row>
    <row r="510">
      <c r="A510" s="29" t="n"/>
      <c r="B510" s="30" t="n"/>
      <c r="C510" s="47" t="n"/>
      <c r="D510" s="32" t="n"/>
      <c r="E510" s="33" t="n"/>
      <c r="F510" s="36" t="n"/>
      <c r="G510" s="33" t="n"/>
      <c r="H510" s="20" t="str">
        <f>IF(AND(ISNUMBER(E510),ISNUMBER(F510)),E510*F510,"")</f>
        <v/>
      </c>
      <c r="I510" s="43" t="str">
        <f>IF(ISNUMBER(H510),ROUND(MAX(F510*'参数'!$C$11,'参数'!$C$12)+'参数'!$C$13,2),"")</f>
        <v/>
      </c>
      <c r="J510" s="43" t="str">
        <f>IF(ISNUMBER(H510),IF(D510="卖",ROUND(H510*N('参数'!$C$14)+F510*N('参数'!$C$15),2),0),"")</f>
        <v/>
      </c>
      <c r="K510" s="23" t="n"/>
      <c r="L510" s="20" t="str">
        <f>IF(ISNUMBER(K510),K510,IF(ISNUMBER(H510),I510+J510,""))</f>
        <v/>
      </c>
      <c r="M510" s="48" t="str">
        <f>IF(AND(ISNUMBER(E510),ISNUMBER(G510),ISNUMBER(F510)),(E510-G510)*IF(D510="卖",-1,1)*F510,"")</f>
        <v/>
      </c>
      <c r="N510" s="49" t="str">
        <f>IF(A510="","",IFERROR(T(INDEX('交易记录'!$C$5:$C$304,MATCH(A510,'交易记录'!$A$5:$A$304,0))),"编号没找到"))</f>
        <v/>
      </c>
      <c r="O510" s="31" t="n"/>
    </row>
    <row r="511">
      <c r="A511" s="29" t="n"/>
      <c r="B511" s="30" t="n"/>
      <c r="C511" s="47" t="n"/>
      <c r="D511" s="32" t="n"/>
      <c r="E511" s="33" t="n"/>
      <c r="F511" s="36" t="n"/>
      <c r="G511" s="33" t="n"/>
      <c r="H511" s="20" t="str">
        <f>IF(AND(ISNUMBER(E511),ISNUMBER(F511)),E511*F511,"")</f>
        <v/>
      </c>
      <c r="I511" s="43" t="str">
        <f>IF(ISNUMBER(H511),ROUND(MAX(F511*'参数'!$C$11,'参数'!$C$12)+'参数'!$C$13,2),"")</f>
        <v/>
      </c>
      <c r="J511" s="43" t="str">
        <f>IF(ISNUMBER(H511),IF(D511="卖",ROUND(H511*N('参数'!$C$14)+F511*N('参数'!$C$15),2),0),"")</f>
        <v/>
      </c>
      <c r="K511" s="23" t="n"/>
      <c r="L511" s="20" t="str">
        <f>IF(ISNUMBER(K511),K511,IF(ISNUMBER(H511),I511+J511,""))</f>
        <v/>
      </c>
      <c r="M511" s="48" t="str">
        <f>IF(AND(ISNUMBER(E511),ISNUMBER(G511),ISNUMBER(F511)),(E511-G511)*IF(D511="卖",-1,1)*F511,"")</f>
        <v/>
      </c>
      <c r="N511" s="49" t="str">
        <f>IF(A511="","",IFERROR(T(INDEX('交易记录'!$C$5:$C$304,MATCH(A511,'交易记录'!$A$5:$A$304,0))),"编号没找到"))</f>
        <v/>
      </c>
      <c r="O511" s="31" t="n"/>
    </row>
    <row r="512">
      <c r="A512" s="29" t="n"/>
      <c r="B512" s="30" t="n"/>
      <c r="C512" s="47" t="n"/>
      <c r="D512" s="32" t="n"/>
      <c r="E512" s="33" t="n"/>
      <c r="F512" s="36" t="n"/>
      <c r="G512" s="33" t="n"/>
      <c r="H512" s="20" t="str">
        <f>IF(AND(ISNUMBER(E512),ISNUMBER(F512)),E512*F512,"")</f>
        <v/>
      </c>
      <c r="I512" s="43" t="str">
        <f>IF(ISNUMBER(H512),ROUND(MAX(F512*'参数'!$C$11,'参数'!$C$12)+'参数'!$C$13,2),"")</f>
        <v/>
      </c>
      <c r="J512" s="43" t="str">
        <f>IF(ISNUMBER(H512),IF(D512="卖",ROUND(H512*N('参数'!$C$14)+F512*N('参数'!$C$15),2),0),"")</f>
        <v/>
      </c>
      <c r="K512" s="23" t="n"/>
      <c r="L512" s="20" t="str">
        <f>IF(ISNUMBER(K512),K512,IF(ISNUMBER(H512),I512+J512,""))</f>
        <v/>
      </c>
      <c r="M512" s="48" t="str">
        <f>IF(AND(ISNUMBER(E512),ISNUMBER(G512),ISNUMBER(F512)),(E512-G512)*IF(D512="卖",-1,1)*F512,"")</f>
        <v/>
      </c>
      <c r="N512" s="49" t="str">
        <f>IF(A512="","",IFERROR(T(INDEX('交易记录'!$C$5:$C$304,MATCH(A512,'交易记录'!$A$5:$A$304,0))),"编号没找到"))</f>
        <v/>
      </c>
      <c r="O512" s="31" t="n"/>
    </row>
    <row r="513">
      <c r="A513" s="29" t="n"/>
      <c r="B513" s="30" t="n"/>
      <c r="C513" s="47" t="n"/>
      <c r="D513" s="32" t="n"/>
      <c r="E513" s="33" t="n"/>
      <c r="F513" s="36" t="n"/>
      <c r="G513" s="33" t="n"/>
      <c r="H513" s="20" t="str">
        <f>IF(AND(ISNUMBER(E513),ISNUMBER(F513)),E513*F513,"")</f>
        <v/>
      </c>
      <c r="I513" s="43" t="str">
        <f>IF(ISNUMBER(H513),ROUND(MAX(F513*'参数'!$C$11,'参数'!$C$12)+'参数'!$C$13,2),"")</f>
        <v/>
      </c>
      <c r="J513" s="43" t="str">
        <f>IF(ISNUMBER(H513),IF(D513="卖",ROUND(H513*N('参数'!$C$14)+F513*N('参数'!$C$15),2),0),"")</f>
        <v/>
      </c>
      <c r="K513" s="23" t="n"/>
      <c r="L513" s="20" t="str">
        <f>IF(ISNUMBER(K513),K513,IF(ISNUMBER(H513),I513+J513,""))</f>
        <v/>
      </c>
      <c r="M513" s="48" t="str">
        <f>IF(AND(ISNUMBER(E513),ISNUMBER(G513),ISNUMBER(F513)),(E513-G513)*IF(D513="卖",-1,1)*F513,"")</f>
        <v/>
      </c>
      <c r="N513" s="49" t="str">
        <f>IF(A513="","",IFERROR(T(INDEX('交易记录'!$C$5:$C$304,MATCH(A513,'交易记录'!$A$5:$A$304,0))),"编号没找到"))</f>
        <v/>
      </c>
      <c r="O513" s="31" t="n"/>
    </row>
    <row r="514">
      <c r="A514" s="29" t="n"/>
      <c r="B514" s="30" t="n"/>
      <c r="C514" s="47" t="n"/>
      <c r="D514" s="32" t="n"/>
      <c r="E514" s="33" t="n"/>
      <c r="F514" s="36" t="n"/>
      <c r="G514" s="33" t="n"/>
      <c r="H514" s="20" t="str">
        <f>IF(AND(ISNUMBER(E514),ISNUMBER(F514)),E514*F514,"")</f>
        <v/>
      </c>
      <c r="I514" s="43" t="str">
        <f>IF(ISNUMBER(H514),ROUND(MAX(F514*'参数'!$C$11,'参数'!$C$12)+'参数'!$C$13,2),"")</f>
        <v/>
      </c>
      <c r="J514" s="43" t="str">
        <f>IF(ISNUMBER(H514),IF(D514="卖",ROUND(H514*N('参数'!$C$14)+F514*N('参数'!$C$15),2),0),"")</f>
        <v/>
      </c>
      <c r="K514" s="23" t="n"/>
      <c r="L514" s="20" t="str">
        <f>IF(ISNUMBER(K514),K514,IF(ISNUMBER(H514),I514+J514,""))</f>
        <v/>
      </c>
      <c r="M514" s="48" t="str">
        <f>IF(AND(ISNUMBER(E514),ISNUMBER(G514),ISNUMBER(F514)),(E514-G514)*IF(D514="卖",-1,1)*F514,"")</f>
        <v/>
      </c>
      <c r="N514" s="49" t="str">
        <f>IF(A514="","",IFERROR(T(INDEX('交易记录'!$C$5:$C$304,MATCH(A514,'交易记录'!$A$5:$A$304,0))),"编号没找到"))</f>
        <v/>
      </c>
      <c r="O514" s="31" t="n"/>
    </row>
    <row r="515">
      <c r="A515" s="29" t="n"/>
      <c r="B515" s="30" t="n"/>
      <c r="C515" s="47" t="n"/>
      <c r="D515" s="32" t="n"/>
      <c r="E515" s="33" t="n"/>
      <c r="F515" s="36" t="n"/>
      <c r="G515" s="33" t="n"/>
      <c r="H515" s="20" t="str">
        <f>IF(AND(ISNUMBER(E515),ISNUMBER(F515)),E515*F515,"")</f>
        <v/>
      </c>
      <c r="I515" s="43" t="str">
        <f>IF(ISNUMBER(H515),ROUND(MAX(F515*'参数'!$C$11,'参数'!$C$12)+'参数'!$C$13,2),"")</f>
        <v/>
      </c>
      <c r="J515" s="43" t="str">
        <f>IF(ISNUMBER(H515),IF(D515="卖",ROUND(H515*N('参数'!$C$14)+F515*N('参数'!$C$15),2),0),"")</f>
        <v/>
      </c>
      <c r="K515" s="23" t="n"/>
      <c r="L515" s="20" t="str">
        <f>IF(ISNUMBER(K515),K515,IF(ISNUMBER(H515),I515+J515,""))</f>
        <v/>
      </c>
      <c r="M515" s="48" t="str">
        <f>IF(AND(ISNUMBER(E515),ISNUMBER(G515),ISNUMBER(F515)),(E515-G515)*IF(D515="卖",-1,1)*F515,"")</f>
        <v/>
      </c>
      <c r="N515" s="49" t="str">
        <f>IF(A515="","",IFERROR(T(INDEX('交易记录'!$C$5:$C$304,MATCH(A515,'交易记录'!$A$5:$A$304,0))),"编号没找到"))</f>
        <v/>
      </c>
      <c r="O515" s="31" t="n"/>
    </row>
    <row r="516">
      <c r="A516" s="29" t="n"/>
      <c r="B516" s="30" t="n"/>
      <c r="C516" s="47" t="n"/>
      <c r="D516" s="32" t="n"/>
      <c r="E516" s="33" t="n"/>
      <c r="F516" s="36" t="n"/>
      <c r="G516" s="33" t="n"/>
      <c r="H516" s="20" t="str">
        <f>IF(AND(ISNUMBER(E516),ISNUMBER(F516)),E516*F516,"")</f>
        <v/>
      </c>
      <c r="I516" s="43" t="str">
        <f>IF(ISNUMBER(H516),ROUND(MAX(F516*'参数'!$C$11,'参数'!$C$12)+'参数'!$C$13,2),"")</f>
        <v/>
      </c>
      <c r="J516" s="43" t="str">
        <f>IF(ISNUMBER(H516),IF(D516="卖",ROUND(H516*N('参数'!$C$14)+F516*N('参数'!$C$15),2),0),"")</f>
        <v/>
      </c>
      <c r="K516" s="23" t="n"/>
      <c r="L516" s="20" t="str">
        <f>IF(ISNUMBER(K516),K516,IF(ISNUMBER(H516),I516+J516,""))</f>
        <v/>
      </c>
      <c r="M516" s="48" t="str">
        <f>IF(AND(ISNUMBER(E516),ISNUMBER(G516),ISNUMBER(F516)),(E516-G516)*IF(D516="卖",-1,1)*F516,"")</f>
        <v/>
      </c>
      <c r="N516" s="49" t="str">
        <f>IF(A516="","",IFERROR(T(INDEX('交易记录'!$C$5:$C$304,MATCH(A516,'交易记录'!$A$5:$A$304,0))),"编号没找到"))</f>
        <v/>
      </c>
      <c r="O516" s="31" t="n"/>
    </row>
    <row r="517">
      <c r="A517" s="29" t="n"/>
      <c r="B517" s="30" t="n"/>
      <c r="C517" s="47" t="n"/>
      <c r="D517" s="32" t="n"/>
      <c r="E517" s="33" t="n"/>
      <c r="F517" s="36" t="n"/>
      <c r="G517" s="33" t="n"/>
      <c r="H517" s="20" t="str">
        <f>IF(AND(ISNUMBER(E517),ISNUMBER(F517)),E517*F517,"")</f>
        <v/>
      </c>
      <c r="I517" s="43" t="str">
        <f>IF(ISNUMBER(H517),ROUND(MAX(F517*'参数'!$C$11,'参数'!$C$12)+'参数'!$C$13,2),"")</f>
        <v/>
      </c>
      <c r="J517" s="43" t="str">
        <f>IF(ISNUMBER(H517),IF(D517="卖",ROUND(H517*N('参数'!$C$14)+F517*N('参数'!$C$15),2),0),"")</f>
        <v/>
      </c>
      <c r="K517" s="23" t="n"/>
      <c r="L517" s="20" t="str">
        <f>IF(ISNUMBER(K517),K517,IF(ISNUMBER(H517),I517+J517,""))</f>
        <v/>
      </c>
      <c r="M517" s="48" t="str">
        <f>IF(AND(ISNUMBER(E517),ISNUMBER(G517),ISNUMBER(F517)),(E517-G517)*IF(D517="卖",-1,1)*F517,"")</f>
        <v/>
      </c>
      <c r="N517" s="49" t="str">
        <f>IF(A517="","",IFERROR(T(INDEX('交易记录'!$C$5:$C$304,MATCH(A517,'交易记录'!$A$5:$A$304,0))),"编号没找到"))</f>
        <v/>
      </c>
      <c r="O517" s="31" t="n"/>
    </row>
    <row r="518">
      <c r="A518" s="29" t="n"/>
      <c r="B518" s="30" t="n"/>
      <c r="C518" s="47" t="n"/>
      <c r="D518" s="32" t="n"/>
      <c r="E518" s="33" t="n"/>
      <c r="F518" s="36" t="n"/>
      <c r="G518" s="33" t="n"/>
      <c r="H518" s="20" t="str">
        <f>IF(AND(ISNUMBER(E518),ISNUMBER(F518)),E518*F518,"")</f>
        <v/>
      </c>
      <c r="I518" s="43" t="str">
        <f>IF(ISNUMBER(H518),ROUND(MAX(F518*'参数'!$C$11,'参数'!$C$12)+'参数'!$C$13,2),"")</f>
        <v/>
      </c>
      <c r="J518" s="43" t="str">
        <f>IF(ISNUMBER(H518),IF(D518="卖",ROUND(H518*N('参数'!$C$14)+F518*N('参数'!$C$15),2),0),"")</f>
        <v/>
      </c>
      <c r="K518" s="23" t="n"/>
      <c r="L518" s="20" t="str">
        <f>IF(ISNUMBER(K518),K518,IF(ISNUMBER(H518),I518+J518,""))</f>
        <v/>
      </c>
      <c r="M518" s="48" t="str">
        <f>IF(AND(ISNUMBER(E518),ISNUMBER(G518),ISNUMBER(F518)),(E518-G518)*IF(D518="卖",-1,1)*F518,"")</f>
        <v/>
      </c>
      <c r="N518" s="49" t="str">
        <f>IF(A518="","",IFERROR(T(INDEX('交易记录'!$C$5:$C$304,MATCH(A518,'交易记录'!$A$5:$A$304,0))),"编号没找到"))</f>
        <v/>
      </c>
      <c r="O518" s="31" t="n"/>
    </row>
    <row r="519">
      <c r="A519" s="29" t="n"/>
      <c r="B519" s="30" t="n"/>
      <c r="C519" s="47" t="n"/>
      <c r="D519" s="32" t="n"/>
      <c r="E519" s="33" t="n"/>
      <c r="F519" s="36" t="n"/>
      <c r="G519" s="33" t="n"/>
      <c r="H519" s="20" t="str">
        <f>IF(AND(ISNUMBER(E519),ISNUMBER(F519)),E519*F519,"")</f>
        <v/>
      </c>
      <c r="I519" s="43" t="str">
        <f>IF(ISNUMBER(H519),ROUND(MAX(F519*'参数'!$C$11,'参数'!$C$12)+'参数'!$C$13,2),"")</f>
        <v/>
      </c>
      <c r="J519" s="43" t="str">
        <f>IF(ISNUMBER(H519),IF(D519="卖",ROUND(H519*N('参数'!$C$14)+F519*N('参数'!$C$15),2),0),"")</f>
        <v/>
      </c>
      <c r="K519" s="23" t="n"/>
      <c r="L519" s="20" t="str">
        <f>IF(ISNUMBER(K519),K519,IF(ISNUMBER(H519),I519+J519,""))</f>
        <v/>
      </c>
      <c r="M519" s="48" t="str">
        <f>IF(AND(ISNUMBER(E519),ISNUMBER(G519),ISNUMBER(F519)),(E519-G519)*IF(D519="卖",-1,1)*F519,"")</f>
        <v/>
      </c>
      <c r="N519" s="49" t="str">
        <f>IF(A519="","",IFERROR(T(INDEX('交易记录'!$C$5:$C$304,MATCH(A519,'交易记录'!$A$5:$A$304,0))),"编号没找到"))</f>
        <v/>
      </c>
      <c r="O519" s="31" t="n"/>
    </row>
    <row r="520">
      <c r="A520" s="29" t="n"/>
      <c r="B520" s="30" t="n"/>
      <c r="C520" s="47" t="n"/>
      <c r="D520" s="32" t="n"/>
      <c r="E520" s="33" t="n"/>
      <c r="F520" s="36" t="n"/>
      <c r="G520" s="33" t="n"/>
      <c r="H520" s="20" t="str">
        <f>IF(AND(ISNUMBER(E520),ISNUMBER(F520)),E520*F520,"")</f>
        <v/>
      </c>
      <c r="I520" s="43" t="str">
        <f>IF(ISNUMBER(H520),ROUND(MAX(F520*'参数'!$C$11,'参数'!$C$12)+'参数'!$C$13,2),"")</f>
        <v/>
      </c>
      <c r="J520" s="43" t="str">
        <f>IF(ISNUMBER(H520),IF(D520="卖",ROUND(H520*N('参数'!$C$14)+F520*N('参数'!$C$15),2),0),"")</f>
        <v/>
      </c>
      <c r="K520" s="23" t="n"/>
      <c r="L520" s="20" t="str">
        <f>IF(ISNUMBER(K520),K520,IF(ISNUMBER(H520),I520+J520,""))</f>
        <v/>
      </c>
      <c r="M520" s="48" t="str">
        <f>IF(AND(ISNUMBER(E520),ISNUMBER(G520),ISNUMBER(F520)),(E520-G520)*IF(D520="卖",-1,1)*F520,"")</f>
        <v/>
      </c>
      <c r="N520" s="49" t="str">
        <f>IF(A520="","",IFERROR(T(INDEX('交易记录'!$C$5:$C$304,MATCH(A520,'交易记录'!$A$5:$A$304,0))),"编号没找到"))</f>
        <v/>
      </c>
      <c r="O520" s="31" t="n"/>
    </row>
    <row r="521">
      <c r="A521" s="29" t="n"/>
      <c r="B521" s="30" t="n"/>
      <c r="C521" s="47" t="n"/>
      <c r="D521" s="32" t="n"/>
      <c r="E521" s="33" t="n"/>
      <c r="F521" s="36" t="n"/>
      <c r="G521" s="33" t="n"/>
      <c r="H521" s="20" t="str">
        <f>IF(AND(ISNUMBER(E521),ISNUMBER(F521)),E521*F521,"")</f>
        <v/>
      </c>
      <c r="I521" s="43" t="str">
        <f>IF(ISNUMBER(H521),ROUND(MAX(F521*'参数'!$C$11,'参数'!$C$12)+'参数'!$C$13,2),"")</f>
        <v/>
      </c>
      <c r="J521" s="43" t="str">
        <f>IF(ISNUMBER(H521),IF(D521="卖",ROUND(H521*N('参数'!$C$14)+F521*N('参数'!$C$15),2),0),"")</f>
        <v/>
      </c>
      <c r="K521" s="23" t="n"/>
      <c r="L521" s="20" t="str">
        <f>IF(ISNUMBER(K521),K521,IF(ISNUMBER(H521),I521+J521,""))</f>
        <v/>
      </c>
      <c r="M521" s="48" t="str">
        <f>IF(AND(ISNUMBER(E521),ISNUMBER(G521),ISNUMBER(F521)),(E521-G521)*IF(D521="卖",-1,1)*F521,"")</f>
        <v/>
      </c>
      <c r="N521" s="49" t="str">
        <f>IF(A521="","",IFERROR(T(INDEX('交易记录'!$C$5:$C$304,MATCH(A521,'交易记录'!$A$5:$A$304,0))),"编号没找到"))</f>
        <v/>
      </c>
      <c r="O521" s="31" t="n"/>
    </row>
    <row r="522">
      <c r="A522" s="29" t="n"/>
      <c r="B522" s="30" t="n"/>
      <c r="C522" s="47" t="n"/>
      <c r="D522" s="32" t="n"/>
      <c r="E522" s="33" t="n"/>
      <c r="F522" s="36" t="n"/>
      <c r="G522" s="33" t="n"/>
      <c r="H522" s="20" t="str">
        <f>IF(AND(ISNUMBER(E522),ISNUMBER(F522)),E522*F522,"")</f>
        <v/>
      </c>
      <c r="I522" s="43" t="str">
        <f>IF(ISNUMBER(H522),ROUND(MAX(F522*'参数'!$C$11,'参数'!$C$12)+'参数'!$C$13,2),"")</f>
        <v/>
      </c>
      <c r="J522" s="43" t="str">
        <f>IF(ISNUMBER(H522),IF(D522="卖",ROUND(H522*N('参数'!$C$14)+F522*N('参数'!$C$15),2),0),"")</f>
        <v/>
      </c>
      <c r="K522" s="23" t="n"/>
      <c r="L522" s="20" t="str">
        <f>IF(ISNUMBER(K522),K522,IF(ISNUMBER(H522),I522+J522,""))</f>
        <v/>
      </c>
      <c r="M522" s="48" t="str">
        <f>IF(AND(ISNUMBER(E522),ISNUMBER(G522),ISNUMBER(F522)),(E522-G522)*IF(D522="卖",-1,1)*F522,"")</f>
        <v/>
      </c>
      <c r="N522" s="49" t="str">
        <f>IF(A522="","",IFERROR(T(INDEX('交易记录'!$C$5:$C$304,MATCH(A522,'交易记录'!$A$5:$A$304,0))),"编号没找到"))</f>
        <v/>
      </c>
      <c r="O522" s="31" t="n"/>
    </row>
    <row r="523">
      <c r="A523" s="29" t="n"/>
      <c r="B523" s="30" t="n"/>
      <c r="C523" s="47" t="n"/>
      <c r="D523" s="32" t="n"/>
      <c r="E523" s="33" t="n"/>
      <c r="F523" s="36" t="n"/>
      <c r="G523" s="33" t="n"/>
      <c r="H523" s="20" t="str">
        <f>IF(AND(ISNUMBER(E523),ISNUMBER(F523)),E523*F523,"")</f>
        <v/>
      </c>
      <c r="I523" s="43" t="str">
        <f>IF(ISNUMBER(H523),ROUND(MAX(F523*'参数'!$C$11,'参数'!$C$12)+'参数'!$C$13,2),"")</f>
        <v/>
      </c>
      <c r="J523" s="43" t="str">
        <f>IF(ISNUMBER(H523),IF(D523="卖",ROUND(H523*N('参数'!$C$14)+F523*N('参数'!$C$15),2),0),"")</f>
        <v/>
      </c>
      <c r="K523" s="23" t="n"/>
      <c r="L523" s="20" t="str">
        <f>IF(ISNUMBER(K523),K523,IF(ISNUMBER(H523),I523+J523,""))</f>
        <v/>
      </c>
      <c r="M523" s="48" t="str">
        <f>IF(AND(ISNUMBER(E523),ISNUMBER(G523),ISNUMBER(F523)),(E523-G523)*IF(D523="卖",-1,1)*F523,"")</f>
        <v/>
      </c>
      <c r="N523" s="49" t="str">
        <f>IF(A523="","",IFERROR(T(INDEX('交易记录'!$C$5:$C$304,MATCH(A523,'交易记录'!$A$5:$A$304,0))),"编号没找到"))</f>
        <v/>
      </c>
      <c r="O523" s="31" t="n"/>
    </row>
    <row r="524">
      <c r="A524" s="29" t="n"/>
      <c r="B524" s="30" t="n"/>
      <c r="C524" s="47" t="n"/>
      <c r="D524" s="32" t="n"/>
      <c r="E524" s="33" t="n"/>
      <c r="F524" s="36" t="n"/>
      <c r="G524" s="33" t="n"/>
      <c r="H524" s="20" t="str">
        <f>IF(AND(ISNUMBER(E524),ISNUMBER(F524)),E524*F524,"")</f>
        <v/>
      </c>
      <c r="I524" s="43" t="str">
        <f>IF(ISNUMBER(H524),ROUND(MAX(F524*'参数'!$C$11,'参数'!$C$12)+'参数'!$C$13,2),"")</f>
        <v/>
      </c>
      <c r="J524" s="43" t="str">
        <f>IF(ISNUMBER(H524),IF(D524="卖",ROUND(H524*N('参数'!$C$14)+F524*N('参数'!$C$15),2),0),"")</f>
        <v/>
      </c>
      <c r="K524" s="23" t="n"/>
      <c r="L524" s="20" t="str">
        <f>IF(ISNUMBER(K524),K524,IF(ISNUMBER(H524),I524+J524,""))</f>
        <v/>
      </c>
      <c r="M524" s="48" t="str">
        <f>IF(AND(ISNUMBER(E524),ISNUMBER(G524),ISNUMBER(F524)),(E524-G524)*IF(D524="卖",-1,1)*F524,"")</f>
        <v/>
      </c>
      <c r="N524" s="49" t="str">
        <f>IF(A524="","",IFERROR(T(INDEX('交易记录'!$C$5:$C$304,MATCH(A524,'交易记录'!$A$5:$A$304,0))),"编号没找到"))</f>
        <v/>
      </c>
      <c r="O524" s="31" t="n"/>
    </row>
    <row r="525">
      <c r="A525" s="29" t="n"/>
      <c r="B525" s="30" t="n"/>
      <c r="C525" s="47" t="n"/>
      <c r="D525" s="32" t="n"/>
      <c r="E525" s="33" t="n"/>
      <c r="F525" s="36" t="n"/>
      <c r="G525" s="33" t="n"/>
      <c r="H525" s="20" t="str">
        <f>IF(AND(ISNUMBER(E525),ISNUMBER(F525)),E525*F525,"")</f>
        <v/>
      </c>
      <c r="I525" s="43" t="str">
        <f>IF(ISNUMBER(H525),ROUND(MAX(F525*'参数'!$C$11,'参数'!$C$12)+'参数'!$C$13,2),"")</f>
        <v/>
      </c>
      <c r="J525" s="43" t="str">
        <f>IF(ISNUMBER(H525),IF(D525="卖",ROUND(H525*N('参数'!$C$14)+F525*N('参数'!$C$15),2),0),"")</f>
        <v/>
      </c>
      <c r="K525" s="23" t="n"/>
      <c r="L525" s="20" t="str">
        <f>IF(ISNUMBER(K525),K525,IF(ISNUMBER(H525),I525+J525,""))</f>
        <v/>
      </c>
      <c r="M525" s="48" t="str">
        <f>IF(AND(ISNUMBER(E525),ISNUMBER(G525),ISNUMBER(F525)),(E525-G525)*IF(D525="卖",-1,1)*F525,"")</f>
        <v/>
      </c>
      <c r="N525" s="49" t="str">
        <f>IF(A525="","",IFERROR(T(INDEX('交易记录'!$C$5:$C$304,MATCH(A525,'交易记录'!$A$5:$A$304,0))),"编号没找到"))</f>
        <v/>
      </c>
      <c r="O525" s="31" t="n"/>
    </row>
    <row r="526">
      <c r="A526" s="29" t="n"/>
      <c r="B526" s="30" t="n"/>
      <c r="C526" s="47" t="n"/>
      <c r="D526" s="32" t="n"/>
      <c r="E526" s="33" t="n"/>
      <c r="F526" s="36" t="n"/>
      <c r="G526" s="33" t="n"/>
      <c r="H526" s="20" t="str">
        <f>IF(AND(ISNUMBER(E526),ISNUMBER(F526)),E526*F526,"")</f>
        <v/>
      </c>
      <c r="I526" s="43" t="str">
        <f>IF(ISNUMBER(H526),ROUND(MAX(F526*'参数'!$C$11,'参数'!$C$12)+'参数'!$C$13,2),"")</f>
        <v/>
      </c>
      <c r="J526" s="43" t="str">
        <f>IF(ISNUMBER(H526),IF(D526="卖",ROUND(H526*N('参数'!$C$14)+F526*N('参数'!$C$15),2),0),"")</f>
        <v/>
      </c>
      <c r="K526" s="23" t="n"/>
      <c r="L526" s="20" t="str">
        <f>IF(ISNUMBER(K526),K526,IF(ISNUMBER(H526),I526+J526,""))</f>
        <v/>
      </c>
      <c r="M526" s="48" t="str">
        <f>IF(AND(ISNUMBER(E526),ISNUMBER(G526),ISNUMBER(F526)),(E526-G526)*IF(D526="卖",-1,1)*F526,"")</f>
        <v/>
      </c>
      <c r="N526" s="49" t="str">
        <f>IF(A526="","",IFERROR(T(INDEX('交易记录'!$C$5:$C$304,MATCH(A526,'交易记录'!$A$5:$A$304,0))),"编号没找到"))</f>
        <v/>
      </c>
      <c r="O526" s="31" t="n"/>
    </row>
    <row r="527">
      <c r="A527" s="29" t="n"/>
      <c r="B527" s="30" t="n"/>
      <c r="C527" s="47" t="n"/>
      <c r="D527" s="32" t="n"/>
      <c r="E527" s="33" t="n"/>
      <c r="F527" s="36" t="n"/>
      <c r="G527" s="33" t="n"/>
      <c r="H527" s="20" t="str">
        <f>IF(AND(ISNUMBER(E527),ISNUMBER(F527)),E527*F527,"")</f>
        <v/>
      </c>
      <c r="I527" s="43" t="str">
        <f>IF(ISNUMBER(H527),ROUND(MAX(F527*'参数'!$C$11,'参数'!$C$12)+'参数'!$C$13,2),"")</f>
        <v/>
      </c>
      <c r="J527" s="43" t="str">
        <f>IF(ISNUMBER(H527),IF(D527="卖",ROUND(H527*N('参数'!$C$14)+F527*N('参数'!$C$15),2),0),"")</f>
        <v/>
      </c>
      <c r="K527" s="23" t="n"/>
      <c r="L527" s="20" t="str">
        <f>IF(ISNUMBER(K527),K527,IF(ISNUMBER(H527),I527+J527,""))</f>
        <v/>
      </c>
      <c r="M527" s="48" t="str">
        <f>IF(AND(ISNUMBER(E527),ISNUMBER(G527),ISNUMBER(F527)),(E527-G527)*IF(D527="卖",-1,1)*F527,"")</f>
        <v/>
      </c>
      <c r="N527" s="49" t="str">
        <f>IF(A527="","",IFERROR(T(INDEX('交易记录'!$C$5:$C$304,MATCH(A527,'交易记录'!$A$5:$A$304,0))),"编号没找到"))</f>
        <v/>
      </c>
      <c r="O527" s="31" t="n"/>
    </row>
    <row r="528">
      <c r="A528" s="29" t="n"/>
      <c r="B528" s="30" t="n"/>
      <c r="C528" s="47" t="n"/>
      <c r="D528" s="32" t="n"/>
      <c r="E528" s="33" t="n"/>
      <c r="F528" s="36" t="n"/>
      <c r="G528" s="33" t="n"/>
      <c r="H528" s="20" t="str">
        <f>IF(AND(ISNUMBER(E528),ISNUMBER(F528)),E528*F528,"")</f>
        <v/>
      </c>
      <c r="I528" s="43" t="str">
        <f>IF(ISNUMBER(H528),ROUND(MAX(F528*'参数'!$C$11,'参数'!$C$12)+'参数'!$C$13,2),"")</f>
        <v/>
      </c>
      <c r="J528" s="43" t="str">
        <f>IF(ISNUMBER(H528),IF(D528="卖",ROUND(H528*N('参数'!$C$14)+F528*N('参数'!$C$15),2),0),"")</f>
        <v/>
      </c>
      <c r="K528" s="23" t="n"/>
      <c r="L528" s="20" t="str">
        <f>IF(ISNUMBER(K528),K528,IF(ISNUMBER(H528),I528+J528,""))</f>
        <v/>
      </c>
      <c r="M528" s="48" t="str">
        <f>IF(AND(ISNUMBER(E528),ISNUMBER(G528),ISNUMBER(F528)),(E528-G528)*IF(D528="卖",-1,1)*F528,"")</f>
        <v/>
      </c>
      <c r="N528" s="49" t="str">
        <f>IF(A528="","",IFERROR(T(INDEX('交易记录'!$C$5:$C$304,MATCH(A528,'交易记录'!$A$5:$A$304,0))),"编号没找到"))</f>
        <v/>
      </c>
      <c r="O528" s="31" t="n"/>
    </row>
    <row r="529">
      <c r="A529" s="29" t="n"/>
      <c r="B529" s="30" t="n"/>
      <c r="C529" s="47" t="n"/>
      <c r="D529" s="32" t="n"/>
      <c r="E529" s="33" t="n"/>
      <c r="F529" s="36" t="n"/>
      <c r="G529" s="33" t="n"/>
      <c r="H529" s="20" t="str">
        <f>IF(AND(ISNUMBER(E529),ISNUMBER(F529)),E529*F529,"")</f>
        <v/>
      </c>
      <c r="I529" s="43" t="str">
        <f>IF(ISNUMBER(H529),ROUND(MAX(F529*'参数'!$C$11,'参数'!$C$12)+'参数'!$C$13,2),"")</f>
        <v/>
      </c>
      <c r="J529" s="43" t="str">
        <f>IF(ISNUMBER(H529),IF(D529="卖",ROUND(H529*N('参数'!$C$14)+F529*N('参数'!$C$15),2),0),"")</f>
        <v/>
      </c>
      <c r="K529" s="23" t="n"/>
      <c r="L529" s="20" t="str">
        <f>IF(ISNUMBER(K529),K529,IF(ISNUMBER(H529),I529+J529,""))</f>
        <v/>
      </c>
      <c r="M529" s="48" t="str">
        <f>IF(AND(ISNUMBER(E529),ISNUMBER(G529),ISNUMBER(F529)),(E529-G529)*IF(D529="卖",-1,1)*F529,"")</f>
        <v/>
      </c>
      <c r="N529" s="49" t="str">
        <f>IF(A529="","",IFERROR(T(INDEX('交易记录'!$C$5:$C$304,MATCH(A529,'交易记录'!$A$5:$A$304,0))),"编号没找到"))</f>
        <v/>
      </c>
      <c r="O529" s="31" t="n"/>
    </row>
    <row r="530">
      <c r="A530" s="29" t="n"/>
      <c r="B530" s="30" t="n"/>
      <c r="C530" s="47" t="n"/>
      <c r="D530" s="32" t="n"/>
      <c r="E530" s="33" t="n"/>
      <c r="F530" s="36" t="n"/>
      <c r="G530" s="33" t="n"/>
      <c r="H530" s="20" t="str">
        <f>IF(AND(ISNUMBER(E530),ISNUMBER(F530)),E530*F530,"")</f>
        <v/>
      </c>
      <c r="I530" s="43" t="str">
        <f>IF(ISNUMBER(H530),ROUND(MAX(F530*'参数'!$C$11,'参数'!$C$12)+'参数'!$C$13,2),"")</f>
        <v/>
      </c>
      <c r="J530" s="43" t="str">
        <f>IF(ISNUMBER(H530),IF(D530="卖",ROUND(H530*N('参数'!$C$14)+F530*N('参数'!$C$15),2),0),"")</f>
        <v/>
      </c>
      <c r="K530" s="23" t="n"/>
      <c r="L530" s="20" t="str">
        <f>IF(ISNUMBER(K530),K530,IF(ISNUMBER(H530),I530+J530,""))</f>
        <v/>
      </c>
      <c r="M530" s="48" t="str">
        <f>IF(AND(ISNUMBER(E530),ISNUMBER(G530),ISNUMBER(F530)),(E530-G530)*IF(D530="卖",-1,1)*F530,"")</f>
        <v/>
      </c>
      <c r="N530" s="49" t="str">
        <f>IF(A530="","",IFERROR(T(INDEX('交易记录'!$C$5:$C$304,MATCH(A530,'交易记录'!$A$5:$A$304,0))),"编号没找到"))</f>
        <v/>
      </c>
      <c r="O530" s="31" t="n"/>
    </row>
    <row r="531">
      <c r="A531" s="29" t="n"/>
      <c r="B531" s="30" t="n"/>
      <c r="C531" s="47" t="n"/>
      <c r="D531" s="32" t="n"/>
      <c r="E531" s="33" t="n"/>
      <c r="F531" s="36" t="n"/>
      <c r="G531" s="33" t="n"/>
      <c r="H531" s="20" t="str">
        <f>IF(AND(ISNUMBER(E531),ISNUMBER(F531)),E531*F531,"")</f>
        <v/>
      </c>
      <c r="I531" s="43" t="str">
        <f>IF(ISNUMBER(H531),ROUND(MAX(F531*'参数'!$C$11,'参数'!$C$12)+'参数'!$C$13,2),"")</f>
        <v/>
      </c>
      <c r="J531" s="43" t="str">
        <f>IF(ISNUMBER(H531),IF(D531="卖",ROUND(H531*N('参数'!$C$14)+F531*N('参数'!$C$15),2),0),"")</f>
        <v/>
      </c>
      <c r="K531" s="23" t="n"/>
      <c r="L531" s="20" t="str">
        <f>IF(ISNUMBER(K531),K531,IF(ISNUMBER(H531),I531+J531,""))</f>
        <v/>
      </c>
      <c r="M531" s="48" t="str">
        <f>IF(AND(ISNUMBER(E531),ISNUMBER(G531),ISNUMBER(F531)),(E531-G531)*IF(D531="卖",-1,1)*F531,"")</f>
        <v/>
      </c>
      <c r="N531" s="49" t="str">
        <f>IF(A531="","",IFERROR(T(INDEX('交易记录'!$C$5:$C$304,MATCH(A531,'交易记录'!$A$5:$A$304,0))),"编号没找到"))</f>
        <v/>
      </c>
      <c r="O531" s="31" t="n"/>
    </row>
    <row r="532">
      <c r="A532" s="29" t="n"/>
      <c r="B532" s="30" t="n"/>
      <c r="C532" s="47" t="n"/>
      <c r="D532" s="32" t="n"/>
      <c r="E532" s="33" t="n"/>
      <c r="F532" s="36" t="n"/>
      <c r="G532" s="33" t="n"/>
      <c r="H532" s="20" t="str">
        <f>IF(AND(ISNUMBER(E532),ISNUMBER(F532)),E532*F532,"")</f>
        <v/>
      </c>
      <c r="I532" s="43" t="str">
        <f>IF(ISNUMBER(H532),ROUND(MAX(F532*'参数'!$C$11,'参数'!$C$12)+'参数'!$C$13,2),"")</f>
        <v/>
      </c>
      <c r="J532" s="43" t="str">
        <f>IF(ISNUMBER(H532),IF(D532="卖",ROUND(H532*N('参数'!$C$14)+F532*N('参数'!$C$15),2),0),"")</f>
        <v/>
      </c>
      <c r="K532" s="23" t="n"/>
      <c r="L532" s="20" t="str">
        <f>IF(ISNUMBER(K532),K532,IF(ISNUMBER(H532),I532+J532,""))</f>
        <v/>
      </c>
      <c r="M532" s="48" t="str">
        <f>IF(AND(ISNUMBER(E532),ISNUMBER(G532),ISNUMBER(F532)),(E532-G532)*IF(D532="卖",-1,1)*F532,"")</f>
        <v/>
      </c>
      <c r="N532" s="49" t="str">
        <f>IF(A532="","",IFERROR(T(INDEX('交易记录'!$C$5:$C$304,MATCH(A532,'交易记录'!$A$5:$A$304,0))),"编号没找到"))</f>
        <v/>
      </c>
      <c r="O532" s="31" t="n"/>
    </row>
    <row r="533">
      <c r="A533" s="29" t="n"/>
      <c r="B533" s="30" t="n"/>
      <c r="C533" s="47" t="n"/>
      <c r="D533" s="32" t="n"/>
      <c r="E533" s="33" t="n"/>
      <c r="F533" s="36" t="n"/>
      <c r="G533" s="33" t="n"/>
      <c r="H533" s="20" t="str">
        <f>IF(AND(ISNUMBER(E533),ISNUMBER(F533)),E533*F533,"")</f>
        <v/>
      </c>
      <c r="I533" s="43" t="str">
        <f>IF(ISNUMBER(H533),ROUND(MAX(F533*'参数'!$C$11,'参数'!$C$12)+'参数'!$C$13,2),"")</f>
        <v/>
      </c>
      <c r="J533" s="43" t="str">
        <f>IF(ISNUMBER(H533),IF(D533="卖",ROUND(H533*N('参数'!$C$14)+F533*N('参数'!$C$15),2),0),"")</f>
        <v/>
      </c>
      <c r="K533" s="23" t="n"/>
      <c r="L533" s="20" t="str">
        <f>IF(ISNUMBER(K533),K533,IF(ISNUMBER(H533),I533+J533,""))</f>
        <v/>
      </c>
      <c r="M533" s="48" t="str">
        <f>IF(AND(ISNUMBER(E533),ISNUMBER(G533),ISNUMBER(F533)),(E533-G533)*IF(D533="卖",-1,1)*F533,"")</f>
        <v/>
      </c>
      <c r="N533" s="49" t="str">
        <f>IF(A533="","",IFERROR(T(INDEX('交易记录'!$C$5:$C$304,MATCH(A533,'交易记录'!$A$5:$A$304,0))),"编号没找到"))</f>
        <v/>
      </c>
      <c r="O533" s="31" t="n"/>
    </row>
    <row r="534">
      <c r="A534" s="29" t="n"/>
      <c r="B534" s="30" t="n"/>
      <c r="C534" s="47" t="n"/>
      <c r="D534" s="32" t="n"/>
      <c r="E534" s="33" t="n"/>
      <c r="F534" s="36" t="n"/>
      <c r="G534" s="33" t="n"/>
      <c r="H534" s="20" t="str">
        <f>IF(AND(ISNUMBER(E534),ISNUMBER(F534)),E534*F534,"")</f>
        <v/>
      </c>
      <c r="I534" s="43" t="str">
        <f>IF(ISNUMBER(H534),ROUND(MAX(F534*'参数'!$C$11,'参数'!$C$12)+'参数'!$C$13,2),"")</f>
        <v/>
      </c>
      <c r="J534" s="43" t="str">
        <f>IF(ISNUMBER(H534),IF(D534="卖",ROUND(H534*N('参数'!$C$14)+F534*N('参数'!$C$15),2),0),"")</f>
        <v/>
      </c>
      <c r="K534" s="23" t="n"/>
      <c r="L534" s="20" t="str">
        <f>IF(ISNUMBER(K534),K534,IF(ISNUMBER(H534),I534+J534,""))</f>
        <v/>
      </c>
      <c r="M534" s="48" t="str">
        <f>IF(AND(ISNUMBER(E534),ISNUMBER(G534),ISNUMBER(F534)),(E534-G534)*IF(D534="卖",-1,1)*F534,"")</f>
        <v/>
      </c>
      <c r="N534" s="49" t="str">
        <f>IF(A534="","",IFERROR(T(INDEX('交易记录'!$C$5:$C$304,MATCH(A534,'交易记录'!$A$5:$A$304,0))),"编号没找到"))</f>
        <v/>
      </c>
      <c r="O534" s="31" t="n"/>
    </row>
    <row r="535">
      <c r="A535" s="29" t="n"/>
      <c r="B535" s="30" t="n"/>
      <c r="C535" s="47" t="n"/>
      <c r="D535" s="32" t="n"/>
      <c r="E535" s="33" t="n"/>
      <c r="F535" s="36" t="n"/>
      <c r="G535" s="33" t="n"/>
      <c r="H535" s="20" t="str">
        <f>IF(AND(ISNUMBER(E535),ISNUMBER(F535)),E535*F535,"")</f>
        <v/>
      </c>
      <c r="I535" s="43" t="str">
        <f>IF(ISNUMBER(H535),ROUND(MAX(F535*'参数'!$C$11,'参数'!$C$12)+'参数'!$C$13,2),"")</f>
        <v/>
      </c>
      <c r="J535" s="43" t="str">
        <f>IF(ISNUMBER(H535),IF(D535="卖",ROUND(H535*N('参数'!$C$14)+F535*N('参数'!$C$15),2),0),"")</f>
        <v/>
      </c>
      <c r="K535" s="23" t="n"/>
      <c r="L535" s="20" t="str">
        <f>IF(ISNUMBER(K535),K535,IF(ISNUMBER(H535),I535+J535,""))</f>
        <v/>
      </c>
      <c r="M535" s="48" t="str">
        <f>IF(AND(ISNUMBER(E535),ISNUMBER(G535),ISNUMBER(F535)),(E535-G535)*IF(D535="卖",-1,1)*F535,"")</f>
        <v/>
      </c>
      <c r="N535" s="49" t="str">
        <f>IF(A535="","",IFERROR(T(INDEX('交易记录'!$C$5:$C$304,MATCH(A535,'交易记录'!$A$5:$A$304,0))),"编号没找到"))</f>
        <v/>
      </c>
      <c r="O535" s="31" t="n"/>
    </row>
    <row r="536">
      <c r="A536" s="29" t="n"/>
      <c r="B536" s="30" t="n"/>
      <c r="C536" s="47" t="n"/>
      <c r="D536" s="32" t="n"/>
      <c r="E536" s="33" t="n"/>
      <c r="F536" s="36" t="n"/>
      <c r="G536" s="33" t="n"/>
      <c r="H536" s="20" t="str">
        <f>IF(AND(ISNUMBER(E536),ISNUMBER(F536)),E536*F536,"")</f>
        <v/>
      </c>
      <c r="I536" s="43" t="str">
        <f>IF(ISNUMBER(H536),ROUND(MAX(F536*'参数'!$C$11,'参数'!$C$12)+'参数'!$C$13,2),"")</f>
        <v/>
      </c>
      <c r="J536" s="43" t="str">
        <f>IF(ISNUMBER(H536),IF(D536="卖",ROUND(H536*N('参数'!$C$14)+F536*N('参数'!$C$15),2),0),"")</f>
        <v/>
      </c>
      <c r="K536" s="23" t="n"/>
      <c r="L536" s="20" t="str">
        <f>IF(ISNUMBER(K536),K536,IF(ISNUMBER(H536),I536+J536,""))</f>
        <v/>
      </c>
      <c r="M536" s="48" t="str">
        <f>IF(AND(ISNUMBER(E536),ISNUMBER(G536),ISNUMBER(F536)),(E536-G536)*IF(D536="卖",-1,1)*F536,"")</f>
        <v/>
      </c>
      <c r="N536" s="49" t="str">
        <f>IF(A536="","",IFERROR(T(INDEX('交易记录'!$C$5:$C$304,MATCH(A536,'交易记录'!$A$5:$A$304,0))),"编号没找到"))</f>
        <v/>
      </c>
      <c r="O536" s="31" t="n"/>
    </row>
    <row r="537">
      <c r="A537" s="29" t="n"/>
      <c r="B537" s="30" t="n"/>
      <c r="C537" s="47" t="n"/>
      <c r="D537" s="32" t="n"/>
      <c r="E537" s="33" t="n"/>
      <c r="F537" s="36" t="n"/>
      <c r="G537" s="33" t="n"/>
      <c r="H537" s="20" t="str">
        <f>IF(AND(ISNUMBER(E537),ISNUMBER(F537)),E537*F537,"")</f>
        <v/>
      </c>
      <c r="I537" s="43" t="str">
        <f>IF(ISNUMBER(H537),ROUND(MAX(F537*'参数'!$C$11,'参数'!$C$12)+'参数'!$C$13,2),"")</f>
        <v/>
      </c>
      <c r="J537" s="43" t="str">
        <f>IF(ISNUMBER(H537),IF(D537="卖",ROUND(H537*N('参数'!$C$14)+F537*N('参数'!$C$15),2),0),"")</f>
        <v/>
      </c>
      <c r="K537" s="23" t="n"/>
      <c r="L537" s="20" t="str">
        <f>IF(ISNUMBER(K537),K537,IF(ISNUMBER(H537),I537+J537,""))</f>
        <v/>
      </c>
      <c r="M537" s="48" t="str">
        <f>IF(AND(ISNUMBER(E537),ISNUMBER(G537),ISNUMBER(F537)),(E537-G537)*IF(D537="卖",-1,1)*F537,"")</f>
        <v/>
      </c>
      <c r="N537" s="49" t="str">
        <f>IF(A537="","",IFERROR(T(INDEX('交易记录'!$C$5:$C$304,MATCH(A537,'交易记录'!$A$5:$A$304,0))),"编号没找到"))</f>
        <v/>
      </c>
      <c r="O537" s="31" t="n"/>
    </row>
    <row r="538">
      <c r="A538" s="29" t="n"/>
      <c r="B538" s="30" t="n"/>
      <c r="C538" s="47" t="n"/>
      <c r="D538" s="32" t="n"/>
      <c r="E538" s="33" t="n"/>
      <c r="F538" s="36" t="n"/>
      <c r="G538" s="33" t="n"/>
      <c r="H538" s="20" t="str">
        <f>IF(AND(ISNUMBER(E538),ISNUMBER(F538)),E538*F538,"")</f>
        <v/>
      </c>
      <c r="I538" s="43" t="str">
        <f>IF(ISNUMBER(H538),ROUND(MAX(F538*'参数'!$C$11,'参数'!$C$12)+'参数'!$C$13,2),"")</f>
        <v/>
      </c>
      <c r="J538" s="43" t="str">
        <f>IF(ISNUMBER(H538),IF(D538="卖",ROUND(H538*N('参数'!$C$14)+F538*N('参数'!$C$15),2),0),"")</f>
        <v/>
      </c>
      <c r="K538" s="23" t="n"/>
      <c r="L538" s="20" t="str">
        <f>IF(ISNUMBER(K538),K538,IF(ISNUMBER(H538),I538+J538,""))</f>
        <v/>
      </c>
      <c r="M538" s="48" t="str">
        <f>IF(AND(ISNUMBER(E538),ISNUMBER(G538),ISNUMBER(F538)),(E538-G538)*IF(D538="卖",-1,1)*F538,"")</f>
        <v/>
      </c>
      <c r="N538" s="49" t="str">
        <f>IF(A538="","",IFERROR(T(INDEX('交易记录'!$C$5:$C$304,MATCH(A538,'交易记录'!$A$5:$A$304,0))),"编号没找到"))</f>
        <v/>
      </c>
      <c r="O538" s="31" t="n"/>
    </row>
    <row r="539">
      <c r="A539" s="29" t="n"/>
      <c r="B539" s="30" t="n"/>
      <c r="C539" s="47" t="n"/>
      <c r="D539" s="32" t="n"/>
      <c r="E539" s="33" t="n"/>
      <c r="F539" s="36" t="n"/>
      <c r="G539" s="33" t="n"/>
      <c r="H539" s="20" t="str">
        <f>IF(AND(ISNUMBER(E539),ISNUMBER(F539)),E539*F539,"")</f>
        <v/>
      </c>
      <c r="I539" s="43" t="str">
        <f>IF(ISNUMBER(H539),ROUND(MAX(F539*'参数'!$C$11,'参数'!$C$12)+'参数'!$C$13,2),"")</f>
        <v/>
      </c>
      <c r="J539" s="43" t="str">
        <f>IF(ISNUMBER(H539),IF(D539="卖",ROUND(H539*N('参数'!$C$14)+F539*N('参数'!$C$15),2),0),"")</f>
        <v/>
      </c>
      <c r="K539" s="23" t="n"/>
      <c r="L539" s="20" t="str">
        <f>IF(ISNUMBER(K539),K539,IF(ISNUMBER(H539),I539+J539,""))</f>
        <v/>
      </c>
      <c r="M539" s="48" t="str">
        <f>IF(AND(ISNUMBER(E539),ISNUMBER(G539),ISNUMBER(F539)),(E539-G539)*IF(D539="卖",-1,1)*F539,"")</f>
        <v/>
      </c>
      <c r="N539" s="49" t="str">
        <f>IF(A539="","",IFERROR(T(INDEX('交易记录'!$C$5:$C$304,MATCH(A539,'交易记录'!$A$5:$A$304,0))),"编号没找到"))</f>
        <v/>
      </c>
      <c r="O539" s="31" t="n"/>
    </row>
    <row r="540">
      <c r="A540" s="29" t="n"/>
      <c r="B540" s="30" t="n"/>
      <c r="C540" s="47" t="n"/>
      <c r="D540" s="32" t="n"/>
      <c r="E540" s="33" t="n"/>
      <c r="F540" s="36" t="n"/>
      <c r="G540" s="33" t="n"/>
      <c r="H540" s="20" t="str">
        <f>IF(AND(ISNUMBER(E540),ISNUMBER(F540)),E540*F540,"")</f>
        <v/>
      </c>
      <c r="I540" s="43" t="str">
        <f>IF(ISNUMBER(H540),ROUND(MAX(F540*'参数'!$C$11,'参数'!$C$12)+'参数'!$C$13,2),"")</f>
        <v/>
      </c>
      <c r="J540" s="43" t="str">
        <f>IF(ISNUMBER(H540),IF(D540="卖",ROUND(H540*N('参数'!$C$14)+F540*N('参数'!$C$15),2),0),"")</f>
        <v/>
      </c>
      <c r="K540" s="23" t="n"/>
      <c r="L540" s="20" t="str">
        <f>IF(ISNUMBER(K540),K540,IF(ISNUMBER(H540),I540+J540,""))</f>
        <v/>
      </c>
      <c r="M540" s="48" t="str">
        <f>IF(AND(ISNUMBER(E540),ISNUMBER(G540),ISNUMBER(F540)),(E540-G540)*IF(D540="卖",-1,1)*F540,"")</f>
        <v/>
      </c>
      <c r="N540" s="49" t="str">
        <f>IF(A540="","",IFERROR(T(INDEX('交易记录'!$C$5:$C$304,MATCH(A540,'交易记录'!$A$5:$A$304,0))),"编号没找到"))</f>
        <v/>
      </c>
      <c r="O540" s="31" t="n"/>
    </row>
    <row r="541">
      <c r="A541" s="29" t="n"/>
      <c r="B541" s="30" t="n"/>
      <c r="C541" s="47" t="n"/>
      <c r="D541" s="32" t="n"/>
      <c r="E541" s="33" t="n"/>
      <c r="F541" s="36" t="n"/>
      <c r="G541" s="33" t="n"/>
      <c r="H541" s="20" t="str">
        <f>IF(AND(ISNUMBER(E541),ISNUMBER(F541)),E541*F541,"")</f>
        <v/>
      </c>
      <c r="I541" s="43" t="str">
        <f>IF(ISNUMBER(H541),ROUND(MAX(F541*'参数'!$C$11,'参数'!$C$12)+'参数'!$C$13,2),"")</f>
        <v/>
      </c>
      <c r="J541" s="43" t="str">
        <f>IF(ISNUMBER(H541),IF(D541="卖",ROUND(H541*N('参数'!$C$14)+F541*N('参数'!$C$15),2),0),"")</f>
        <v/>
      </c>
      <c r="K541" s="23" t="n"/>
      <c r="L541" s="20" t="str">
        <f>IF(ISNUMBER(K541),K541,IF(ISNUMBER(H541),I541+J541,""))</f>
        <v/>
      </c>
      <c r="M541" s="48" t="str">
        <f>IF(AND(ISNUMBER(E541),ISNUMBER(G541),ISNUMBER(F541)),(E541-G541)*IF(D541="卖",-1,1)*F541,"")</f>
        <v/>
      </c>
      <c r="N541" s="49" t="str">
        <f>IF(A541="","",IFERROR(T(INDEX('交易记录'!$C$5:$C$304,MATCH(A541,'交易记录'!$A$5:$A$304,0))),"编号没找到"))</f>
        <v/>
      </c>
      <c r="O541" s="31" t="n"/>
    </row>
    <row r="542">
      <c r="A542" s="29" t="n"/>
      <c r="B542" s="30" t="n"/>
      <c r="C542" s="47" t="n"/>
      <c r="D542" s="32" t="n"/>
      <c r="E542" s="33" t="n"/>
      <c r="F542" s="36" t="n"/>
      <c r="G542" s="33" t="n"/>
      <c r="H542" s="20" t="str">
        <f>IF(AND(ISNUMBER(E542),ISNUMBER(F542)),E542*F542,"")</f>
        <v/>
      </c>
      <c r="I542" s="43" t="str">
        <f>IF(ISNUMBER(H542),ROUND(MAX(F542*'参数'!$C$11,'参数'!$C$12)+'参数'!$C$13,2),"")</f>
        <v/>
      </c>
      <c r="J542" s="43" t="str">
        <f>IF(ISNUMBER(H542),IF(D542="卖",ROUND(H542*N('参数'!$C$14)+F542*N('参数'!$C$15),2),0),"")</f>
        <v/>
      </c>
      <c r="K542" s="23" t="n"/>
      <c r="L542" s="20" t="str">
        <f>IF(ISNUMBER(K542),K542,IF(ISNUMBER(H542),I542+J542,""))</f>
        <v/>
      </c>
      <c r="M542" s="48" t="str">
        <f>IF(AND(ISNUMBER(E542),ISNUMBER(G542),ISNUMBER(F542)),(E542-G542)*IF(D542="卖",-1,1)*F542,"")</f>
        <v/>
      </c>
      <c r="N542" s="49" t="str">
        <f>IF(A542="","",IFERROR(T(INDEX('交易记录'!$C$5:$C$304,MATCH(A542,'交易记录'!$A$5:$A$304,0))),"编号没找到"))</f>
        <v/>
      </c>
      <c r="O542" s="31" t="n"/>
    </row>
    <row r="543">
      <c r="A543" s="29" t="n"/>
      <c r="B543" s="30" t="n"/>
      <c r="C543" s="47" t="n"/>
      <c r="D543" s="32" t="n"/>
      <c r="E543" s="33" t="n"/>
      <c r="F543" s="36" t="n"/>
      <c r="G543" s="33" t="n"/>
      <c r="H543" s="20" t="str">
        <f>IF(AND(ISNUMBER(E543),ISNUMBER(F543)),E543*F543,"")</f>
        <v/>
      </c>
      <c r="I543" s="43" t="str">
        <f>IF(ISNUMBER(H543),ROUND(MAX(F543*'参数'!$C$11,'参数'!$C$12)+'参数'!$C$13,2),"")</f>
        <v/>
      </c>
      <c r="J543" s="43" t="str">
        <f>IF(ISNUMBER(H543),IF(D543="卖",ROUND(H543*N('参数'!$C$14)+F543*N('参数'!$C$15),2),0),"")</f>
        <v/>
      </c>
      <c r="K543" s="23" t="n"/>
      <c r="L543" s="20" t="str">
        <f>IF(ISNUMBER(K543),K543,IF(ISNUMBER(H543),I543+J543,""))</f>
        <v/>
      </c>
      <c r="M543" s="48" t="str">
        <f>IF(AND(ISNUMBER(E543),ISNUMBER(G543),ISNUMBER(F543)),(E543-G543)*IF(D543="卖",-1,1)*F543,"")</f>
        <v/>
      </c>
      <c r="N543" s="49" t="str">
        <f>IF(A543="","",IFERROR(T(INDEX('交易记录'!$C$5:$C$304,MATCH(A543,'交易记录'!$A$5:$A$304,0))),"编号没找到"))</f>
        <v/>
      </c>
      <c r="O543" s="31" t="n"/>
    </row>
    <row r="544">
      <c r="A544" s="29" t="n"/>
      <c r="B544" s="30" t="n"/>
      <c r="C544" s="47" t="n"/>
      <c r="D544" s="32" t="n"/>
      <c r="E544" s="33" t="n"/>
      <c r="F544" s="36" t="n"/>
      <c r="G544" s="33" t="n"/>
      <c r="H544" s="20" t="str">
        <f>IF(AND(ISNUMBER(E544),ISNUMBER(F544)),E544*F544,"")</f>
        <v/>
      </c>
      <c r="I544" s="43" t="str">
        <f>IF(ISNUMBER(H544),ROUND(MAX(F544*'参数'!$C$11,'参数'!$C$12)+'参数'!$C$13,2),"")</f>
        <v/>
      </c>
      <c r="J544" s="43" t="str">
        <f>IF(ISNUMBER(H544),IF(D544="卖",ROUND(H544*N('参数'!$C$14)+F544*N('参数'!$C$15),2),0),"")</f>
        <v/>
      </c>
      <c r="K544" s="23" t="n"/>
      <c r="L544" s="20" t="str">
        <f>IF(ISNUMBER(K544),K544,IF(ISNUMBER(H544),I544+J544,""))</f>
        <v/>
      </c>
      <c r="M544" s="48" t="str">
        <f>IF(AND(ISNUMBER(E544),ISNUMBER(G544),ISNUMBER(F544)),(E544-G544)*IF(D544="卖",-1,1)*F544,"")</f>
        <v/>
      </c>
      <c r="N544" s="49" t="str">
        <f>IF(A544="","",IFERROR(T(INDEX('交易记录'!$C$5:$C$304,MATCH(A544,'交易记录'!$A$5:$A$304,0))),"编号没找到"))</f>
        <v/>
      </c>
      <c r="O544" s="31" t="n"/>
    </row>
    <row r="545">
      <c r="A545" s="29" t="n"/>
      <c r="B545" s="30" t="n"/>
      <c r="C545" s="47" t="n"/>
      <c r="D545" s="32" t="n"/>
      <c r="E545" s="33" t="n"/>
      <c r="F545" s="36" t="n"/>
      <c r="G545" s="33" t="n"/>
      <c r="H545" s="20" t="str">
        <f>IF(AND(ISNUMBER(E545),ISNUMBER(F545)),E545*F545,"")</f>
        <v/>
      </c>
      <c r="I545" s="43" t="str">
        <f>IF(ISNUMBER(H545),ROUND(MAX(F545*'参数'!$C$11,'参数'!$C$12)+'参数'!$C$13,2),"")</f>
        <v/>
      </c>
      <c r="J545" s="43" t="str">
        <f>IF(ISNUMBER(H545),IF(D545="卖",ROUND(H545*N('参数'!$C$14)+F545*N('参数'!$C$15),2),0),"")</f>
        <v/>
      </c>
      <c r="K545" s="23" t="n"/>
      <c r="L545" s="20" t="str">
        <f>IF(ISNUMBER(K545),K545,IF(ISNUMBER(H545),I545+J545,""))</f>
        <v/>
      </c>
      <c r="M545" s="48" t="str">
        <f>IF(AND(ISNUMBER(E545),ISNUMBER(G545),ISNUMBER(F545)),(E545-G545)*IF(D545="卖",-1,1)*F545,"")</f>
        <v/>
      </c>
      <c r="N545" s="49" t="str">
        <f>IF(A545="","",IFERROR(T(INDEX('交易记录'!$C$5:$C$304,MATCH(A545,'交易记录'!$A$5:$A$304,0))),"编号没找到"))</f>
        <v/>
      </c>
      <c r="O545" s="31" t="n"/>
    </row>
    <row r="546">
      <c r="A546" s="29" t="n"/>
      <c r="B546" s="30" t="n"/>
      <c r="C546" s="47" t="n"/>
      <c r="D546" s="32" t="n"/>
      <c r="E546" s="33" t="n"/>
      <c r="F546" s="36" t="n"/>
      <c r="G546" s="33" t="n"/>
      <c r="H546" s="20" t="str">
        <f>IF(AND(ISNUMBER(E546),ISNUMBER(F546)),E546*F546,"")</f>
        <v/>
      </c>
      <c r="I546" s="43" t="str">
        <f>IF(ISNUMBER(H546),ROUND(MAX(F546*'参数'!$C$11,'参数'!$C$12)+'参数'!$C$13,2),"")</f>
        <v/>
      </c>
      <c r="J546" s="43" t="str">
        <f>IF(ISNUMBER(H546),IF(D546="卖",ROUND(H546*N('参数'!$C$14)+F546*N('参数'!$C$15),2),0),"")</f>
        <v/>
      </c>
      <c r="K546" s="23" t="n"/>
      <c r="L546" s="20" t="str">
        <f>IF(ISNUMBER(K546),K546,IF(ISNUMBER(H546),I546+J546,""))</f>
        <v/>
      </c>
      <c r="M546" s="48" t="str">
        <f>IF(AND(ISNUMBER(E546),ISNUMBER(G546),ISNUMBER(F546)),(E546-G546)*IF(D546="卖",-1,1)*F546,"")</f>
        <v/>
      </c>
      <c r="N546" s="49" t="str">
        <f>IF(A546="","",IFERROR(T(INDEX('交易记录'!$C$5:$C$304,MATCH(A546,'交易记录'!$A$5:$A$304,0))),"编号没找到"))</f>
        <v/>
      </c>
      <c r="O546" s="31" t="n"/>
    </row>
    <row r="547">
      <c r="A547" s="29" t="n"/>
      <c r="B547" s="30" t="n"/>
      <c r="C547" s="47" t="n"/>
      <c r="D547" s="32" t="n"/>
      <c r="E547" s="33" t="n"/>
      <c r="F547" s="36" t="n"/>
      <c r="G547" s="33" t="n"/>
      <c r="H547" s="20" t="str">
        <f>IF(AND(ISNUMBER(E547),ISNUMBER(F547)),E547*F547,"")</f>
        <v/>
      </c>
      <c r="I547" s="43" t="str">
        <f>IF(ISNUMBER(H547),ROUND(MAX(F547*'参数'!$C$11,'参数'!$C$12)+'参数'!$C$13,2),"")</f>
        <v/>
      </c>
      <c r="J547" s="43" t="str">
        <f>IF(ISNUMBER(H547),IF(D547="卖",ROUND(H547*N('参数'!$C$14)+F547*N('参数'!$C$15),2),0),"")</f>
        <v/>
      </c>
      <c r="K547" s="23" t="n"/>
      <c r="L547" s="20" t="str">
        <f>IF(ISNUMBER(K547),K547,IF(ISNUMBER(H547),I547+J547,""))</f>
        <v/>
      </c>
      <c r="M547" s="48" t="str">
        <f>IF(AND(ISNUMBER(E547),ISNUMBER(G547),ISNUMBER(F547)),(E547-G547)*IF(D547="卖",-1,1)*F547,"")</f>
        <v/>
      </c>
      <c r="N547" s="49" t="str">
        <f>IF(A547="","",IFERROR(T(INDEX('交易记录'!$C$5:$C$304,MATCH(A547,'交易记录'!$A$5:$A$304,0))),"编号没找到"))</f>
        <v/>
      </c>
      <c r="O547" s="31" t="n"/>
    </row>
    <row r="548">
      <c r="A548" s="29" t="n"/>
      <c r="B548" s="30" t="n"/>
      <c r="C548" s="47" t="n"/>
      <c r="D548" s="32" t="n"/>
      <c r="E548" s="33" t="n"/>
      <c r="F548" s="36" t="n"/>
      <c r="G548" s="33" t="n"/>
      <c r="H548" s="20" t="str">
        <f>IF(AND(ISNUMBER(E548),ISNUMBER(F548)),E548*F548,"")</f>
        <v/>
      </c>
      <c r="I548" s="43" t="str">
        <f>IF(ISNUMBER(H548),ROUND(MAX(F548*'参数'!$C$11,'参数'!$C$12)+'参数'!$C$13,2),"")</f>
        <v/>
      </c>
      <c r="J548" s="43" t="str">
        <f>IF(ISNUMBER(H548),IF(D548="卖",ROUND(H548*N('参数'!$C$14)+F548*N('参数'!$C$15),2),0),"")</f>
        <v/>
      </c>
      <c r="K548" s="23" t="n"/>
      <c r="L548" s="20" t="str">
        <f>IF(ISNUMBER(K548),K548,IF(ISNUMBER(H548),I548+J548,""))</f>
        <v/>
      </c>
      <c r="M548" s="48" t="str">
        <f>IF(AND(ISNUMBER(E548),ISNUMBER(G548),ISNUMBER(F548)),(E548-G548)*IF(D548="卖",-1,1)*F548,"")</f>
        <v/>
      </c>
      <c r="N548" s="49" t="str">
        <f>IF(A548="","",IFERROR(T(INDEX('交易记录'!$C$5:$C$304,MATCH(A548,'交易记录'!$A$5:$A$304,0))),"编号没找到"))</f>
        <v/>
      </c>
      <c r="O548" s="31" t="n"/>
    </row>
    <row r="549">
      <c r="A549" s="29" t="n"/>
      <c r="B549" s="30" t="n"/>
      <c r="C549" s="47" t="n"/>
      <c r="D549" s="32" t="n"/>
      <c r="E549" s="33" t="n"/>
      <c r="F549" s="36" t="n"/>
      <c r="G549" s="33" t="n"/>
      <c r="H549" s="20" t="str">
        <f>IF(AND(ISNUMBER(E549),ISNUMBER(F549)),E549*F549,"")</f>
        <v/>
      </c>
      <c r="I549" s="43" t="str">
        <f>IF(ISNUMBER(H549),ROUND(MAX(F549*'参数'!$C$11,'参数'!$C$12)+'参数'!$C$13,2),"")</f>
        <v/>
      </c>
      <c r="J549" s="43" t="str">
        <f>IF(ISNUMBER(H549),IF(D549="卖",ROUND(H549*N('参数'!$C$14)+F549*N('参数'!$C$15),2),0),"")</f>
        <v/>
      </c>
      <c r="K549" s="23" t="n"/>
      <c r="L549" s="20" t="str">
        <f>IF(ISNUMBER(K549),K549,IF(ISNUMBER(H549),I549+J549,""))</f>
        <v/>
      </c>
      <c r="M549" s="48" t="str">
        <f>IF(AND(ISNUMBER(E549),ISNUMBER(G549),ISNUMBER(F549)),(E549-G549)*IF(D549="卖",-1,1)*F549,"")</f>
        <v/>
      </c>
      <c r="N549" s="49" t="str">
        <f>IF(A549="","",IFERROR(T(INDEX('交易记录'!$C$5:$C$304,MATCH(A549,'交易记录'!$A$5:$A$304,0))),"编号没找到"))</f>
        <v/>
      </c>
      <c r="O549" s="31" t="n"/>
    </row>
    <row r="550">
      <c r="A550" s="29" t="n"/>
      <c r="B550" s="30" t="n"/>
      <c r="C550" s="47" t="n"/>
      <c r="D550" s="32" t="n"/>
      <c r="E550" s="33" t="n"/>
      <c r="F550" s="36" t="n"/>
      <c r="G550" s="33" t="n"/>
      <c r="H550" s="20" t="str">
        <f>IF(AND(ISNUMBER(E550),ISNUMBER(F550)),E550*F550,"")</f>
        <v/>
      </c>
      <c r="I550" s="43" t="str">
        <f>IF(ISNUMBER(H550),ROUND(MAX(F550*'参数'!$C$11,'参数'!$C$12)+'参数'!$C$13,2),"")</f>
        <v/>
      </c>
      <c r="J550" s="43" t="str">
        <f>IF(ISNUMBER(H550),IF(D550="卖",ROUND(H550*N('参数'!$C$14)+F550*N('参数'!$C$15),2),0),"")</f>
        <v/>
      </c>
      <c r="K550" s="23" t="n"/>
      <c r="L550" s="20" t="str">
        <f>IF(ISNUMBER(K550),K550,IF(ISNUMBER(H550),I550+J550,""))</f>
        <v/>
      </c>
      <c r="M550" s="48" t="str">
        <f>IF(AND(ISNUMBER(E550),ISNUMBER(G550),ISNUMBER(F550)),(E550-G550)*IF(D550="卖",-1,1)*F550,"")</f>
        <v/>
      </c>
      <c r="N550" s="49" t="str">
        <f>IF(A550="","",IFERROR(T(INDEX('交易记录'!$C$5:$C$304,MATCH(A550,'交易记录'!$A$5:$A$304,0))),"编号没找到"))</f>
        <v/>
      </c>
      <c r="O550" s="31" t="n"/>
    </row>
    <row r="551">
      <c r="A551" s="29" t="n"/>
      <c r="B551" s="30" t="n"/>
      <c r="C551" s="47" t="n"/>
      <c r="D551" s="32" t="n"/>
      <c r="E551" s="33" t="n"/>
      <c r="F551" s="36" t="n"/>
      <c r="G551" s="33" t="n"/>
      <c r="H551" s="20" t="str">
        <f>IF(AND(ISNUMBER(E551),ISNUMBER(F551)),E551*F551,"")</f>
        <v/>
      </c>
      <c r="I551" s="43" t="str">
        <f>IF(ISNUMBER(H551),ROUND(MAX(F551*'参数'!$C$11,'参数'!$C$12)+'参数'!$C$13,2),"")</f>
        <v/>
      </c>
      <c r="J551" s="43" t="str">
        <f>IF(ISNUMBER(H551),IF(D551="卖",ROUND(H551*N('参数'!$C$14)+F551*N('参数'!$C$15),2),0),"")</f>
        <v/>
      </c>
      <c r="K551" s="23" t="n"/>
      <c r="L551" s="20" t="str">
        <f>IF(ISNUMBER(K551),K551,IF(ISNUMBER(H551),I551+J551,""))</f>
        <v/>
      </c>
      <c r="M551" s="48" t="str">
        <f>IF(AND(ISNUMBER(E551),ISNUMBER(G551),ISNUMBER(F551)),(E551-G551)*IF(D551="卖",-1,1)*F551,"")</f>
        <v/>
      </c>
      <c r="N551" s="49" t="str">
        <f>IF(A551="","",IFERROR(T(INDEX('交易记录'!$C$5:$C$304,MATCH(A551,'交易记录'!$A$5:$A$304,0))),"编号没找到"))</f>
        <v/>
      </c>
      <c r="O551" s="31" t="n"/>
    </row>
    <row r="552">
      <c r="A552" s="29" t="n"/>
      <c r="B552" s="30" t="n"/>
      <c r="C552" s="47" t="n"/>
      <c r="D552" s="32" t="n"/>
      <c r="E552" s="33" t="n"/>
      <c r="F552" s="36" t="n"/>
      <c r="G552" s="33" t="n"/>
      <c r="H552" s="20" t="str">
        <f>IF(AND(ISNUMBER(E552),ISNUMBER(F552)),E552*F552,"")</f>
        <v/>
      </c>
      <c r="I552" s="43" t="str">
        <f>IF(ISNUMBER(H552),ROUND(MAX(F552*'参数'!$C$11,'参数'!$C$12)+'参数'!$C$13,2),"")</f>
        <v/>
      </c>
      <c r="J552" s="43" t="str">
        <f>IF(ISNUMBER(H552),IF(D552="卖",ROUND(H552*N('参数'!$C$14)+F552*N('参数'!$C$15),2),0),"")</f>
        <v/>
      </c>
      <c r="K552" s="23" t="n"/>
      <c r="L552" s="20" t="str">
        <f>IF(ISNUMBER(K552),K552,IF(ISNUMBER(H552),I552+J552,""))</f>
        <v/>
      </c>
      <c r="M552" s="48" t="str">
        <f>IF(AND(ISNUMBER(E552),ISNUMBER(G552),ISNUMBER(F552)),(E552-G552)*IF(D552="卖",-1,1)*F552,"")</f>
        <v/>
      </c>
      <c r="N552" s="49" t="str">
        <f>IF(A552="","",IFERROR(T(INDEX('交易记录'!$C$5:$C$304,MATCH(A552,'交易记录'!$A$5:$A$304,0))),"编号没找到"))</f>
        <v/>
      </c>
      <c r="O552" s="31" t="n"/>
    </row>
    <row r="553">
      <c r="A553" s="29" t="n"/>
      <c r="B553" s="30" t="n"/>
      <c r="C553" s="47" t="n"/>
      <c r="D553" s="32" t="n"/>
      <c r="E553" s="33" t="n"/>
      <c r="F553" s="36" t="n"/>
      <c r="G553" s="33" t="n"/>
      <c r="H553" s="20" t="str">
        <f>IF(AND(ISNUMBER(E553),ISNUMBER(F553)),E553*F553,"")</f>
        <v/>
      </c>
      <c r="I553" s="43" t="str">
        <f>IF(ISNUMBER(H553),ROUND(MAX(F553*'参数'!$C$11,'参数'!$C$12)+'参数'!$C$13,2),"")</f>
        <v/>
      </c>
      <c r="J553" s="43" t="str">
        <f>IF(ISNUMBER(H553),IF(D553="卖",ROUND(H553*N('参数'!$C$14)+F553*N('参数'!$C$15),2),0),"")</f>
        <v/>
      </c>
      <c r="K553" s="23" t="n"/>
      <c r="L553" s="20" t="str">
        <f>IF(ISNUMBER(K553),K553,IF(ISNUMBER(H553),I553+J553,""))</f>
        <v/>
      </c>
      <c r="M553" s="48" t="str">
        <f>IF(AND(ISNUMBER(E553),ISNUMBER(G553),ISNUMBER(F553)),(E553-G553)*IF(D553="卖",-1,1)*F553,"")</f>
        <v/>
      </c>
      <c r="N553" s="49" t="str">
        <f>IF(A553="","",IFERROR(T(INDEX('交易记录'!$C$5:$C$304,MATCH(A553,'交易记录'!$A$5:$A$304,0))),"编号没找到"))</f>
        <v/>
      </c>
      <c r="O553" s="31" t="n"/>
    </row>
    <row r="554">
      <c r="A554" s="29" t="n"/>
      <c r="B554" s="30" t="n"/>
      <c r="C554" s="47" t="n"/>
      <c r="D554" s="32" t="n"/>
      <c r="E554" s="33" t="n"/>
      <c r="F554" s="36" t="n"/>
      <c r="G554" s="33" t="n"/>
      <c r="H554" s="20" t="str">
        <f>IF(AND(ISNUMBER(E554),ISNUMBER(F554)),E554*F554,"")</f>
        <v/>
      </c>
      <c r="I554" s="43" t="str">
        <f>IF(ISNUMBER(H554),ROUND(MAX(F554*'参数'!$C$11,'参数'!$C$12)+'参数'!$C$13,2),"")</f>
        <v/>
      </c>
      <c r="J554" s="43" t="str">
        <f>IF(ISNUMBER(H554),IF(D554="卖",ROUND(H554*N('参数'!$C$14)+F554*N('参数'!$C$15),2),0),"")</f>
        <v/>
      </c>
      <c r="K554" s="23" t="n"/>
      <c r="L554" s="20" t="str">
        <f>IF(ISNUMBER(K554),K554,IF(ISNUMBER(H554),I554+J554,""))</f>
        <v/>
      </c>
      <c r="M554" s="48" t="str">
        <f>IF(AND(ISNUMBER(E554),ISNUMBER(G554),ISNUMBER(F554)),(E554-G554)*IF(D554="卖",-1,1)*F554,"")</f>
        <v/>
      </c>
      <c r="N554" s="49" t="str">
        <f>IF(A554="","",IFERROR(T(INDEX('交易记录'!$C$5:$C$304,MATCH(A554,'交易记录'!$A$5:$A$304,0))),"编号没找到"))</f>
        <v/>
      </c>
      <c r="O554" s="31" t="n"/>
    </row>
    <row r="555">
      <c r="A555" s="29" t="n"/>
      <c r="B555" s="30" t="n"/>
      <c r="C555" s="47" t="n"/>
      <c r="D555" s="32" t="n"/>
      <c r="E555" s="33" t="n"/>
      <c r="F555" s="36" t="n"/>
      <c r="G555" s="33" t="n"/>
      <c r="H555" s="20" t="str">
        <f>IF(AND(ISNUMBER(E555),ISNUMBER(F555)),E555*F555,"")</f>
        <v/>
      </c>
      <c r="I555" s="43" t="str">
        <f>IF(ISNUMBER(H555),ROUND(MAX(F555*'参数'!$C$11,'参数'!$C$12)+'参数'!$C$13,2),"")</f>
        <v/>
      </c>
      <c r="J555" s="43" t="str">
        <f>IF(ISNUMBER(H555),IF(D555="卖",ROUND(H555*N('参数'!$C$14)+F555*N('参数'!$C$15),2),0),"")</f>
        <v/>
      </c>
      <c r="K555" s="23" t="n"/>
      <c r="L555" s="20" t="str">
        <f>IF(ISNUMBER(K555),K555,IF(ISNUMBER(H555),I555+J555,""))</f>
        <v/>
      </c>
      <c r="M555" s="48" t="str">
        <f>IF(AND(ISNUMBER(E555),ISNUMBER(G555),ISNUMBER(F555)),(E555-G555)*IF(D555="卖",-1,1)*F555,"")</f>
        <v/>
      </c>
      <c r="N555" s="49" t="str">
        <f>IF(A555="","",IFERROR(T(INDEX('交易记录'!$C$5:$C$304,MATCH(A555,'交易记录'!$A$5:$A$304,0))),"编号没找到"))</f>
        <v/>
      </c>
      <c r="O555" s="31" t="n"/>
    </row>
    <row r="556">
      <c r="A556" s="29" t="n"/>
      <c r="B556" s="30" t="n"/>
      <c r="C556" s="47" t="n"/>
      <c r="D556" s="32" t="n"/>
      <c r="E556" s="33" t="n"/>
      <c r="F556" s="36" t="n"/>
      <c r="G556" s="33" t="n"/>
      <c r="H556" s="20" t="str">
        <f>IF(AND(ISNUMBER(E556),ISNUMBER(F556)),E556*F556,"")</f>
        <v/>
      </c>
      <c r="I556" s="43" t="str">
        <f>IF(ISNUMBER(H556),ROUND(MAX(F556*'参数'!$C$11,'参数'!$C$12)+'参数'!$C$13,2),"")</f>
        <v/>
      </c>
      <c r="J556" s="43" t="str">
        <f>IF(ISNUMBER(H556),IF(D556="卖",ROUND(H556*N('参数'!$C$14)+F556*N('参数'!$C$15),2),0),"")</f>
        <v/>
      </c>
      <c r="K556" s="23" t="n"/>
      <c r="L556" s="20" t="str">
        <f>IF(ISNUMBER(K556),K556,IF(ISNUMBER(H556),I556+J556,""))</f>
        <v/>
      </c>
      <c r="M556" s="48" t="str">
        <f>IF(AND(ISNUMBER(E556),ISNUMBER(G556),ISNUMBER(F556)),(E556-G556)*IF(D556="卖",-1,1)*F556,"")</f>
        <v/>
      </c>
      <c r="N556" s="49" t="str">
        <f>IF(A556="","",IFERROR(T(INDEX('交易记录'!$C$5:$C$304,MATCH(A556,'交易记录'!$A$5:$A$304,0))),"编号没找到"))</f>
        <v/>
      </c>
      <c r="O556" s="31" t="n"/>
    </row>
    <row r="557">
      <c r="A557" s="29" t="n"/>
      <c r="B557" s="30" t="n"/>
      <c r="C557" s="47" t="n"/>
      <c r="D557" s="32" t="n"/>
      <c r="E557" s="33" t="n"/>
      <c r="F557" s="36" t="n"/>
      <c r="G557" s="33" t="n"/>
      <c r="H557" s="20" t="str">
        <f>IF(AND(ISNUMBER(E557),ISNUMBER(F557)),E557*F557,"")</f>
        <v/>
      </c>
      <c r="I557" s="43" t="str">
        <f>IF(ISNUMBER(H557),ROUND(MAX(F557*'参数'!$C$11,'参数'!$C$12)+'参数'!$C$13,2),"")</f>
        <v/>
      </c>
      <c r="J557" s="43" t="str">
        <f>IF(ISNUMBER(H557),IF(D557="卖",ROUND(H557*N('参数'!$C$14)+F557*N('参数'!$C$15),2),0),"")</f>
        <v/>
      </c>
      <c r="K557" s="23" t="n"/>
      <c r="L557" s="20" t="str">
        <f>IF(ISNUMBER(K557),K557,IF(ISNUMBER(H557),I557+J557,""))</f>
        <v/>
      </c>
      <c r="M557" s="48" t="str">
        <f>IF(AND(ISNUMBER(E557),ISNUMBER(G557),ISNUMBER(F557)),(E557-G557)*IF(D557="卖",-1,1)*F557,"")</f>
        <v/>
      </c>
      <c r="N557" s="49" t="str">
        <f>IF(A557="","",IFERROR(T(INDEX('交易记录'!$C$5:$C$304,MATCH(A557,'交易记录'!$A$5:$A$304,0))),"编号没找到"))</f>
        <v/>
      </c>
      <c r="O557" s="31" t="n"/>
    </row>
    <row r="558">
      <c r="A558" s="29" t="n"/>
      <c r="B558" s="30" t="n"/>
      <c r="C558" s="47" t="n"/>
      <c r="D558" s="32" t="n"/>
      <c r="E558" s="33" t="n"/>
      <c r="F558" s="36" t="n"/>
      <c r="G558" s="33" t="n"/>
      <c r="H558" s="20" t="str">
        <f>IF(AND(ISNUMBER(E558),ISNUMBER(F558)),E558*F558,"")</f>
        <v/>
      </c>
      <c r="I558" s="43" t="str">
        <f>IF(ISNUMBER(H558),ROUND(MAX(F558*'参数'!$C$11,'参数'!$C$12)+'参数'!$C$13,2),"")</f>
        <v/>
      </c>
      <c r="J558" s="43" t="str">
        <f>IF(ISNUMBER(H558),IF(D558="卖",ROUND(H558*N('参数'!$C$14)+F558*N('参数'!$C$15),2),0),"")</f>
        <v/>
      </c>
      <c r="K558" s="23" t="n"/>
      <c r="L558" s="20" t="str">
        <f>IF(ISNUMBER(K558),K558,IF(ISNUMBER(H558),I558+J558,""))</f>
        <v/>
      </c>
      <c r="M558" s="48" t="str">
        <f>IF(AND(ISNUMBER(E558),ISNUMBER(G558),ISNUMBER(F558)),(E558-G558)*IF(D558="卖",-1,1)*F558,"")</f>
        <v/>
      </c>
      <c r="N558" s="49" t="str">
        <f>IF(A558="","",IFERROR(T(INDEX('交易记录'!$C$5:$C$304,MATCH(A558,'交易记录'!$A$5:$A$304,0))),"编号没找到"))</f>
        <v/>
      </c>
      <c r="O558" s="31" t="n"/>
    </row>
    <row r="559">
      <c r="A559" s="29" t="n"/>
      <c r="B559" s="30" t="n"/>
      <c r="C559" s="47" t="n"/>
      <c r="D559" s="32" t="n"/>
      <c r="E559" s="33" t="n"/>
      <c r="F559" s="36" t="n"/>
      <c r="G559" s="33" t="n"/>
      <c r="H559" s="20" t="str">
        <f>IF(AND(ISNUMBER(E559),ISNUMBER(F559)),E559*F559,"")</f>
        <v/>
      </c>
      <c r="I559" s="43" t="str">
        <f>IF(ISNUMBER(H559),ROUND(MAX(F559*'参数'!$C$11,'参数'!$C$12)+'参数'!$C$13,2),"")</f>
        <v/>
      </c>
      <c r="J559" s="43" t="str">
        <f>IF(ISNUMBER(H559),IF(D559="卖",ROUND(H559*N('参数'!$C$14)+F559*N('参数'!$C$15),2),0),"")</f>
        <v/>
      </c>
      <c r="K559" s="23" t="n"/>
      <c r="L559" s="20" t="str">
        <f>IF(ISNUMBER(K559),K559,IF(ISNUMBER(H559),I559+J559,""))</f>
        <v/>
      </c>
      <c r="M559" s="48" t="str">
        <f>IF(AND(ISNUMBER(E559),ISNUMBER(G559),ISNUMBER(F559)),(E559-G559)*IF(D559="卖",-1,1)*F559,"")</f>
        <v/>
      </c>
      <c r="N559" s="49" t="str">
        <f>IF(A559="","",IFERROR(T(INDEX('交易记录'!$C$5:$C$304,MATCH(A559,'交易记录'!$A$5:$A$304,0))),"编号没找到"))</f>
        <v/>
      </c>
      <c r="O559" s="31" t="n"/>
    </row>
    <row r="560">
      <c r="A560" s="29" t="n"/>
      <c r="B560" s="30" t="n"/>
      <c r="C560" s="47" t="n"/>
      <c r="D560" s="32" t="n"/>
      <c r="E560" s="33" t="n"/>
      <c r="F560" s="36" t="n"/>
      <c r="G560" s="33" t="n"/>
      <c r="H560" s="20" t="str">
        <f>IF(AND(ISNUMBER(E560),ISNUMBER(F560)),E560*F560,"")</f>
        <v/>
      </c>
      <c r="I560" s="43" t="str">
        <f>IF(ISNUMBER(H560),ROUND(MAX(F560*'参数'!$C$11,'参数'!$C$12)+'参数'!$C$13,2),"")</f>
        <v/>
      </c>
      <c r="J560" s="43" t="str">
        <f>IF(ISNUMBER(H560),IF(D560="卖",ROUND(H560*N('参数'!$C$14)+F560*N('参数'!$C$15),2),0),"")</f>
        <v/>
      </c>
      <c r="K560" s="23" t="n"/>
      <c r="L560" s="20" t="str">
        <f>IF(ISNUMBER(K560),K560,IF(ISNUMBER(H560),I560+J560,""))</f>
        <v/>
      </c>
      <c r="M560" s="48" t="str">
        <f>IF(AND(ISNUMBER(E560),ISNUMBER(G560),ISNUMBER(F560)),(E560-G560)*IF(D560="卖",-1,1)*F560,"")</f>
        <v/>
      </c>
      <c r="N560" s="49" t="str">
        <f>IF(A560="","",IFERROR(T(INDEX('交易记录'!$C$5:$C$304,MATCH(A560,'交易记录'!$A$5:$A$304,0))),"编号没找到"))</f>
        <v/>
      </c>
      <c r="O560" s="31" t="n"/>
    </row>
    <row r="561">
      <c r="A561" s="29" t="n"/>
      <c r="B561" s="30" t="n"/>
      <c r="C561" s="47" t="n"/>
      <c r="D561" s="32" t="n"/>
      <c r="E561" s="33" t="n"/>
      <c r="F561" s="36" t="n"/>
      <c r="G561" s="33" t="n"/>
      <c r="H561" s="20" t="str">
        <f>IF(AND(ISNUMBER(E561),ISNUMBER(F561)),E561*F561,"")</f>
        <v/>
      </c>
      <c r="I561" s="43" t="str">
        <f>IF(ISNUMBER(H561),ROUND(MAX(F561*'参数'!$C$11,'参数'!$C$12)+'参数'!$C$13,2),"")</f>
        <v/>
      </c>
      <c r="J561" s="43" t="str">
        <f>IF(ISNUMBER(H561),IF(D561="卖",ROUND(H561*N('参数'!$C$14)+F561*N('参数'!$C$15),2),0),"")</f>
        <v/>
      </c>
      <c r="K561" s="23" t="n"/>
      <c r="L561" s="20" t="str">
        <f>IF(ISNUMBER(K561),K561,IF(ISNUMBER(H561),I561+J561,""))</f>
        <v/>
      </c>
      <c r="M561" s="48" t="str">
        <f>IF(AND(ISNUMBER(E561),ISNUMBER(G561),ISNUMBER(F561)),(E561-G561)*IF(D561="卖",-1,1)*F561,"")</f>
        <v/>
      </c>
      <c r="N561" s="49" t="str">
        <f>IF(A561="","",IFERROR(T(INDEX('交易记录'!$C$5:$C$304,MATCH(A561,'交易记录'!$A$5:$A$304,0))),"编号没找到"))</f>
        <v/>
      </c>
      <c r="O561" s="31" t="n"/>
    </row>
    <row r="562">
      <c r="A562" s="29" t="n"/>
      <c r="B562" s="30" t="n"/>
      <c r="C562" s="47" t="n"/>
      <c r="D562" s="32" t="n"/>
      <c r="E562" s="33" t="n"/>
      <c r="F562" s="36" t="n"/>
      <c r="G562" s="33" t="n"/>
      <c r="H562" s="20" t="str">
        <f>IF(AND(ISNUMBER(E562),ISNUMBER(F562)),E562*F562,"")</f>
        <v/>
      </c>
      <c r="I562" s="43" t="str">
        <f>IF(ISNUMBER(H562),ROUND(MAX(F562*'参数'!$C$11,'参数'!$C$12)+'参数'!$C$13,2),"")</f>
        <v/>
      </c>
      <c r="J562" s="43" t="str">
        <f>IF(ISNUMBER(H562),IF(D562="卖",ROUND(H562*N('参数'!$C$14)+F562*N('参数'!$C$15),2),0),"")</f>
        <v/>
      </c>
      <c r="K562" s="23" t="n"/>
      <c r="L562" s="20" t="str">
        <f>IF(ISNUMBER(K562),K562,IF(ISNUMBER(H562),I562+J562,""))</f>
        <v/>
      </c>
      <c r="M562" s="48" t="str">
        <f>IF(AND(ISNUMBER(E562),ISNUMBER(G562),ISNUMBER(F562)),(E562-G562)*IF(D562="卖",-1,1)*F562,"")</f>
        <v/>
      </c>
      <c r="N562" s="49" t="str">
        <f>IF(A562="","",IFERROR(T(INDEX('交易记录'!$C$5:$C$304,MATCH(A562,'交易记录'!$A$5:$A$304,0))),"编号没找到"))</f>
        <v/>
      </c>
      <c r="O562" s="31" t="n"/>
    </row>
    <row r="563">
      <c r="A563" s="29" t="n"/>
      <c r="B563" s="30" t="n"/>
      <c r="C563" s="47" t="n"/>
      <c r="D563" s="32" t="n"/>
      <c r="E563" s="33" t="n"/>
      <c r="F563" s="36" t="n"/>
      <c r="G563" s="33" t="n"/>
      <c r="H563" s="20" t="str">
        <f>IF(AND(ISNUMBER(E563),ISNUMBER(F563)),E563*F563,"")</f>
        <v/>
      </c>
      <c r="I563" s="43" t="str">
        <f>IF(ISNUMBER(H563),ROUND(MAX(F563*'参数'!$C$11,'参数'!$C$12)+'参数'!$C$13,2),"")</f>
        <v/>
      </c>
      <c r="J563" s="43" t="str">
        <f>IF(ISNUMBER(H563),IF(D563="卖",ROUND(H563*N('参数'!$C$14)+F563*N('参数'!$C$15),2),0),"")</f>
        <v/>
      </c>
      <c r="K563" s="23" t="n"/>
      <c r="L563" s="20" t="str">
        <f>IF(ISNUMBER(K563),K563,IF(ISNUMBER(H563),I563+J563,""))</f>
        <v/>
      </c>
      <c r="M563" s="48" t="str">
        <f>IF(AND(ISNUMBER(E563),ISNUMBER(G563),ISNUMBER(F563)),(E563-G563)*IF(D563="卖",-1,1)*F563,"")</f>
        <v/>
      </c>
      <c r="N563" s="49" t="str">
        <f>IF(A563="","",IFERROR(T(INDEX('交易记录'!$C$5:$C$304,MATCH(A563,'交易记录'!$A$5:$A$304,0))),"编号没找到"))</f>
        <v/>
      </c>
      <c r="O563" s="31" t="n"/>
    </row>
    <row r="564">
      <c r="A564" s="29" t="n"/>
      <c r="B564" s="30" t="n"/>
      <c r="C564" s="47" t="n"/>
      <c r="D564" s="32" t="n"/>
      <c r="E564" s="33" t="n"/>
      <c r="F564" s="36" t="n"/>
      <c r="G564" s="33" t="n"/>
      <c r="H564" s="20" t="str">
        <f>IF(AND(ISNUMBER(E564),ISNUMBER(F564)),E564*F564,"")</f>
        <v/>
      </c>
      <c r="I564" s="43" t="str">
        <f>IF(ISNUMBER(H564),ROUND(MAX(F564*'参数'!$C$11,'参数'!$C$12)+'参数'!$C$13,2),"")</f>
        <v/>
      </c>
      <c r="J564" s="43" t="str">
        <f>IF(ISNUMBER(H564),IF(D564="卖",ROUND(H564*N('参数'!$C$14)+F564*N('参数'!$C$15),2),0),"")</f>
        <v/>
      </c>
      <c r="K564" s="23" t="n"/>
      <c r="L564" s="20" t="str">
        <f>IF(ISNUMBER(K564),K564,IF(ISNUMBER(H564),I564+J564,""))</f>
        <v/>
      </c>
      <c r="M564" s="48" t="str">
        <f>IF(AND(ISNUMBER(E564),ISNUMBER(G564),ISNUMBER(F564)),(E564-G564)*IF(D564="卖",-1,1)*F564,"")</f>
        <v/>
      </c>
      <c r="N564" s="49" t="str">
        <f>IF(A564="","",IFERROR(T(INDEX('交易记录'!$C$5:$C$304,MATCH(A564,'交易记录'!$A$5:$A$304,0))),"编号没找到"))</f>
        <v/>
      </c>
      <c r="O564" s="31" t="n"/>
    </row>
    <row r="565">
      <c r="A565" s="29" t="n"/>
      <c r="B565" s="30" t="n"/>
      <c r="C565" s="47" t="n"/>
      <c r="D565" s="32" t="n"/>
      <c r="E565" s="33" t="n"/>
      <c r="F565" s="36" t="n"/>
      <c r="G565" s="33" t="n"/>
      <c r="H565" s="20" t="str">
        <f>IF(AND(ISNUMBER(E565),ISNUMBER(F565)),E565*F565,"")</f>
        <v/>
      </c>
      <c r="I565" s="43" t="str">
        <f>IF(ISNUMBER(H565),ROUND(MAX(F565*'参数'!$C$11,'参数'!$C$12)+'参数'!$C$13,2),"")</f>
        <v/>
      </c>
      <c r="J565" s="43" t="str">
        <f>IF(ISNUMBER(H565),IF(D565="卖",ROUND(H565*N('参数'!$C$14)+F565*N('参数'!$C$15),2),0),"")</f>
        <v/>
      </c>
      <c r="K565" s="23" t="n"/>
      <c r="L565" s="20" t="str">
        <f>IF(ISNUMBER(K565),K565,IF(ISNUMBER(H565),I565+J565,""))</f>
        <v/>
      </c>
      <c r="M565" s="48" t="str">
        <f>IF(AND(ISNUMBER(E565),ISNUMBER(G565),ISNUMBER(F565)),(E565-G565)*IF(D565="卖",-1,1)*F565,"")</f>
        <v/>
      </c>
      <c r="N565" s="49" t="str">
        <f>IF(A565="","",IFERROR(T(INDEX('交易记录'!$C$5:$C$304,MATCH(A565,'交易记录'!$A$5:$A$304,0))),"编号没找到"))</f>
        <v/>
      </c>
      <c r="O565" s="31" t="n"/>
    </row>
    <row r="566">
      <c r="A566" s="29" t="n"/>
      <c r="B566" s="30" t="n"/>
      <c r="C566" s="47" t="n"/>
      <c r="D566" s="32" t="n"/>
      <c r="E566" s="33" t="n"/>
      <c r="F566" s="36" t="n"/>
      <c r="G566" s="33" t="n"/>
      <c r="H566" s="20" t="str">
        <f>IF(AND(ISNUMBER(E566),ISNUMBER(F566)),E566*F566,"")</f>
        <v/>
      </c>
      <c r="I566" s="43" t="str">
        <f>IF(ISNUMBER(H566),ROUND(MAX(F566*'参数'!$C$11,'参数'!$C$12)+'参数'!$C$13,2),"")</f>
        <v/>
      </c>
      <c r="J566" s="43" t="str">
        <f>IF(ISNUMBER(H566),IF(D566="卖",ROUND(H566*N('参数'!$C$14)+F566*N('参数'!$C$15),2),0),"")</f>
        <v/>
      </c>
      <c r="K566" s="23" t="n"/>
      <c r="L566" s="20" t="str">
        <f>IF(ISNUMBER(K566),K566,IF(ISNUMBER(H566),I566+J566,""))</f>
        <v/>
      </c>
      <c r="M566" s="48" t="str">
        <f>IF(AND(ISNUMBER(E566),ISNUMBER(G566),ISNUMBER(F566)),(E566-G566)*IF(D566="卖",-1,1)*F566,"")</f>
        <v/>
      </c>
      <c r="N566" s="49" t="str">
        <f>IF(A566="","",IFERROR(T(INDEX('交易记录'!$C$5:$C$304,MATCH(A566,'交易记录'!$A$5:$A$304,0))),"编号没找到"))</f>
        <v/>
      </c>
      <c r="O566" s="31" t="n"/>
    </row>
    <row r="567">
      <c r="A567" s="29" t="n"/>
      <c r="B567" s="30" t="n"/>
      <c r="C567" s="47" t="n"/>
      <c r="D567" s="32" t="n"/>
      <c r="E567" s="33" t="n"/>
      <c r="F567" s="36" t="n"/>
      <c r="G567" s="33" t="n"/>
      <c r="H567" s="20" t="str">
        <f>IF(AND(ISNUMBER(E567),ISNUMBER(F567)),E567*F567,"")</f>
        <v/>
      </c>
      <c r="I567" s="43" t="str">
        <f>IF(ISNUMBER(H567),ROUND(MAX(F567*'参数'!$C$11,'参数'!$C$12)+'参数'!$C$13,2),"")</f>
        <v/>
      </c>
      <c r="J567" s="43" t="str">
        <f>IF(ISNUMBER(H567),IF(D567="卖",ROUND(H567*N('参数'!$C$14)+F567*N('参数'!$C$15),2),0),"")</f>
        <v/>
      </c>
      <c r="K567" s="23" t="n"/>
      <c r="L567" s="20" t="str">
        <f>IF(ISNUMBER(K567),K567,IF(ISNUMBER(H567),I567+J567,""))</f>
        <v/>
      </c>
      <c r="M567" s="48" t="str">
        <f>IF(AND(ISNUMBER(E567),ISNUMBER(G567),ISNUMBER(F567)),(E567-G567)*IF(D567="卖",-1,1)*F567,"")</f>
        <v/>
      </c>
      <c r="N567" s="49" t="str">
        <f>IF(A567="","",IFERROR(T(INDEX('交易记录'!$C$5:$C$304,MATCH(A567,'交易记录'!$A$5:$A$304,0))),"编号没找到"))</f>
        <v/>
      </c>
      <c r="O567" s="31" t="n"/>
    </row>
    <row r="568">
      <c r="A568" s="29" t="n"/>
      <c r="B568" s="30" t="n"/>
      <c r="C568" s="47" t="n"/>
      <c r="D568" s="32" t="n"/>
      <c r="E568" s="33" t="n"/>
      <c r="F568" s="36" t="n"/>
      <c r="G568" s="33" t="n"/>
      <c r="H568" s="20" t="str">
        <f>IF(AND(ISNUMBER(E568),ISNUMBER(F568)),E568*F568,"")</f>
        <v/>
      </c>
      <c r="I568" s="43" t="str">
        <f>IF(ISNUMBER(H568),ROUND(MAX(F568*'参数'!$C$11,'参数'!$C$12)+'参数'!$C$13,2),"")</f>
        <v/>
      </c>
      <c r="J568" s="43" t="str">
        <f>IF(ISNUMBER(H568),IF(D568="卖",ROUND(H568*N('参数'!$C$14)+F568*N('参数'!$C$15),2),0),"")</f>
        <v/>
      </c>
      <c r="K568" s="23" t="n"/>
      <c r="L568" s="20" t="str">
        <f>IF(ISNUMBER(K568),K568,IF(ISNUMBER(H568),I568+J568,""))</f>
        <v/>
      </c>
      <c r="M568" s="48" t="str">
        <f>IF(AND(ISNUMBER(E568),ISNUMBER(G568),ISNUMBER(F568)),(E568-G568)*IF(D568="卖",-1,1)*F568,"")</f>
        <v/>
      </c>
      <c r="N568" s="49" t="str">
        <f>IF(A568="","",IFERROR(T(INDEX('交易记录'!$C$5:$C$304,MATCH(A568,'交易记录'!$A$5:$A$304,0))),"编号没找到"))</f>
        <v/>
      </c>
      <c r="O568" s="31" t="n"/>
    </row>
    <row r="569">
      <c r="A569" s="29" t="n"/>
      <c r="B569" s="30" t="n"/>
      <c r="C569" s="47" t="n"/>
      <c r="D569" s="32" t="n"/>
      <c r="E569" s="33" t="n"/>
      <c r="F569" s="36" t="n"/>
      <c r="G569" s="33" t="n"/>
      <c r="H569" s="20" t="str">
        <f>IF(AND(ISNUMBER(E569),ISNUMBER(F569)),E569*F569,"")</f>
        <v/>
      </c>
      <c r="I569" s="43" t="str">
        <f>IF(ISNUMBER(H569),ROUND(MAX(F569*'参数'!$C$11,'参数'!$C$12)+'参数'!$C$13,2),"")</f>
        <v/>
      </c>
      <c r="J569" s="43" t="str">
        <f>IF(ISNUMBER(H569),IF(D569="卖",ROUND(H569*N('参数'!$C$14)+F569*N('参数'!$C$15),2),0),"")</f>
        <v/>
      </c>
      <c r="K569" s="23" t="n"/>
      <c r="L569" s="20" t="str">
        <f>IF(ISNUMBER(K569),K569,IF(ISNUMBER(H569),I569+J569,""))</f>
        <v/>
      </c>
      <c r="M569" s="48" t="str">
        <f>IF(AND(ISNUMBER(E569),ISNUMBER(G569),ISNUMBER(F569)),(E569-G569)*IF(D569="卖",-1,1)*F569,"")</f>
        <v/>
      </c>
      <c r="N569" s="49" t="str">
        <f>IF(A569="","",IFERROR(T(INDEX('交易记录'!$C$5:$C$304,MATCH(A569,'交易记录'!$A$5:$A$304,0))),"编号没找到"))</f>
        <v/>
      </c>
      <c r="O569" s="31" t="n"/>
    </row>
    <row r="570">
      <c r="A570" s="29" t="n"/>
      <c r="B570" s="30" t="n"/>
      <c r="C570" s="47" t="n"/>
      <c r="D570" s="32" t="n"/>
      <c r="E570" s="33" t="n"/>
      <c r="F570" s="36" t="n"/>
      <c r="G570" s="33" t="n"/>
      <c r="H570" s="20" t="str">
        <f>IF(AND(ISNUMBER(E570),ISNUMBER(F570)),E570*F570,"")</f>
        <v/>
      </c>
      <c r="I570" s="43" t="str">
        <f>IF(ISNUMBER(H570),ROUND(MAX(F570*'参数'!$C$11,'参数'!$C$12)+'参数'!$C$13,2),"")</f>
        <v/>
      </c>
      <c r="J570" s="43" t="str">
        <f>IF(ISNUMBER(H570),IF(D570="卖",ROUND(H570*N('参数'!$C$14)+F570*N('参数'!$C$15),2),0),"")</f>
        <v/>
      </c>
      <c r="K570" s="23" t="n"/>
      <c r="L570" s="20" t="str">
        <f>IF(ISNUMBER(K570),K570,IF(ISNUMBER(H570),I570+J570,""))</f>
        <v/>
      </c>
      <c r="M570" s="48" t="str">
        <f>IF(AND(ISNUMBER(E570),ISNUMBER(G570),ISNUMBER(F570)),(E570-G570)*IF(D570="卖",-1,1)*F570,"")</f>
        <v/>
      </c>
      <c r="N570" s="49" t="str">
        <f>IF(A570="","",IFERROR(T(INDEX('交易记录'!$C$5:$C$304,MATCH(A570,'交易记录'!$A$5:$A$304,0))),"编号没找到"))</f>
        <v/>
      </c>
      <c r="O570" s="31" t="n"/>
    </row>
    <row r="571">
      <c r="A571" s="29" t="n"/>
      <c r="B571" s="30" t="n"/>
      <c r="C571" s="47" t="n"/>
      <c r="D571" s="32" t="n"/>
      <c r="E571" s="33" t="n"/>
      <c r="F571" s="36" t="n"/>
      <c r="G571" s="33" t="n"/>
      <c r="H571" s="20" t="str">
        <f>IF(AND(ISNUMBER(E571),ISNUMBER(F571)),E571*F571,"")</f>
        <v/>
      </c>
      <c r="I571" s="43" t="str">
        <f>IF(ISNUMBER(H571),ROUND(MAX(F571*'参数'!$C$11,'参数'!$C$12)+'参数'!$C$13,2),"")</f>
        <v/>
      </c>
      <c r="J571" s="43" t="str">
        <f>IF(ISNUMBER(H571),IF(D571="卖",ROUND(H571*N('参数'!$C$14)+F571*N('参数'!$C$15),2),0),"")</f>
        <v/>
      </c>
      <c r="K571" s="23" t="n"/>
      <c r="L571" s="20" t="str">
        <f>IF(ISNUMBER(K571),K571,IF(ISNUMBER(H571),I571+J571,""))</f>
        <v/>
      </c>
      <c r="M571" s="48" t="str">
        <f>IF(AND(ISNUMBER(E571),ISNUMBER(G571),ISNUMBER(F571)),(E571-G571)*IF(D571="卖",-1,1)*F571,"")</f>
        <v/>
      </c>
      <c r="N571" s="49" t="str">
        <f>IF(A571="","",IFERROR(T(INDEX('交易记录'!$C$5:$C$304,MATCH(A571,'交易记录'!$A$5:$A$304,0))),"编号没找到"))</f>
        <v/>
      </c>
      <c r="O571" s="31" t="n"/>
    </row>
    <row r="572">
      <c r="A572" s="29" t="n"/>
      <c r="B572" s="30" t="n"/>
      <c r="C572" s="47" t="n"/>
      <c r="D572" s="32" t="n"/>
      <c r="E572" s="33" t="n"/>
      <c r="F572" s="36" t="n"/>
      <c r="G572" s="33" t="n"/>
      <c r="H572" s="20" t="str">
        <f>IF(AND(ISNUMBER(E572),ISNUMBER(F572)),E572*F572,"")</f>
        <v/>
      </c>
      <c r="I572" s="43" t="str">
        <f>IF(ISNUMBER(H572),ROUND(MAX(F572*'参数'!$C$11,'参数'!$C$12)+'参数'!$C$13,2),"")</f>
        <v/>
      </c>
      <c r="J572" s="43" t="str">
        <f>IF(ISNUMBER(H572),IF(D572="卖",ROUND(H572*N('参数'!$C$14)+F572*N('参数'!$C$15),2),0),"")</f>
        <v/>
      </c>
      <c r="K572" s="23" t="n"/>
      <c r="L572" s="20" t="str">
        <f>IF(ISNUMBER(K572),K572,IF(ISNUMBER(H572),I572+J572,""))</f>
        <v/>
      </c>
      <c r="M572" s="48" t="str">
        <f>IF(AND(ISNUMBER(E572),ISNUMBER(G572),ISNUMBER(F572)),(E572-G572)*IF(D572="卖",-1,1)*F572,"")</f>
        <v/>
      </c>
      <c r="N572" s="49" t="str">
        <f>IF(A572="","",IFERROR(T(INDEX('交易记录'!$C$5:$C$304,MATCH(A572,'交易记录'!$A$5:$A$304,0))),"编号没找到"))</f>
        <v/>
      </c>
      <c r="O572" s="31" t="n"/>
    </row>
    <row r="573">
      <c r="A573" s="29" t="n"/>
      <c r="B573" s="30" t="n"/>
      <c r="C573" s="47" t="n"/>
      <c r="D573" s="32" t="n"/>
      <c r="E573" s="33" t="n"/>
      <c r="F573" s="36" t="n"/>
      <c r="G573" s="33" t="n"/>
      <c r="H573" s="20" t="str">
        <f>IF(AND(ISNUMBER(E573),ISNUMBER(F573)),E573*F573,"")</f>
        <v/>
      </c>
      <c r="I573" s="43" t="str">
        <f>IF(ISNUMBER(H573),ROUND(MAX(F573*'参数'!$C$11,'参数'!$C$12)+'参数'!$C$13,2),"")</f>
        <v/>
      </c>
      <c r="J573" s="43" t="str">
        <f>IF(ISNUMBER(H573),IF(D573="卖",ROUND(H573*N('参数'!$C$14)+F573*N('参数'!$C$15),2),0),"")</f>
        <v/>
      </c>
      <c r="K573" s="23" t="n"/>
      <c r="L573" s="20" t="str">
        <f>IF(ISNUMBER(K573),K573,IF(ISNUMBER(H573),I573+J573,""))</f>
        <v/>
      </c>
      <c r="M573" s="48" t="str">
        <f>IF(AND(ISNUMBER(E573),ISNUMBER(G573),ISNUMBER(F573)),(E573-G573)*IF(D573="卖",-1,1)*F573,"")</f>
        <v/>
      </c>
      <c r="N573" s="49" t="str">
        <f>IF(A573="","",IFERROR(T(INDEX('交易记录'!$C$5:$C$304,MATCH(A573,'交易记录'!$A$5:$A$304,0))),"编号没找到"))</f>
        <v/>
      </c>
      <c r="O573" s="31" t="n"/>
    </row>
    <row r="574">
      <c r="A574" s="29" t="n"/>
      <c r="B574" s="30" t="n"/>
      <c r="C574" s="47" t="n"/>
      <c r="D574" s="32" t="n"/>
      <c r="E574" s="33" t="n"/>
      <c r="F574" s="36" t="n"/>
      <c r="G574" s="33" t="n"/>
      <c r="H574" s="20" t="str">
        <f>IF(AND(ISNUMBER(E574),ISNUMBER(F574)),E574*F574,"")</f>
        <v/>
      </c>
      <c r="I574" s="43" t="str">
        <f>IF(ISNUMBER(H574),ROUND(MAX(F574*'参数'!$C$11,'参数'!$C$12)+'参数'!$C$13,2),"")</f>
        <v/>
      </c>
      <c r="J574" s="43" t="str">
        <f>IF(ISNUMBER(H574),IF(D574="卖",ROUND(H574*N('参数'!$C$14)+F574*N('参数'!$C$15),2),0),"")</f>
        <v/>
      </c>
      <c r="K574" s="23" t="n"/>
      <c r="L574" s="20" t="str">
        <f>IF(ISNUMBER(K574),K574,IF(ISNUMBER(H574),I574+J574,""))</f>
        <v/>
      </c>
      <c r="M574" s="48" t="str">
        <f>IF(AND(ISNUMBER(E574),ISNUMBER(G574),ISNUMBER(F574)),(E574-G574)*IF(D574="卖",-1,1)*F574,"")</f>
        <v/>
      </c>
      <c r="N574" s="49" t="str">
        <f>IF(A574="","",IFERROR(T(INDEX('交易记录'!$C$5:$C$304,MATCH(A574,'交易记录'!$A$5:$A$304,0))),"编号没找到"))</f>
        <v/>
      </c>
      <c r="O574" s="31" t="n"/>
    </row>
    <row r="575">
      <c r="A575" s="29" t="n"/>
      <c r="B575" s="30" t="n"/>
      <c r="C575" s="47" t="n"/>
      <c r="D575" s="32" t="n"/>
      <c r="E575" s="33" t="n"/>
      <c r="F575" s="36" t="n"/>
      <c r="G575" s="33" t="n"/>
      <c r="H575" s="20" t="str">
        <f>IF(AND(ISNUMBER(E575),ISNUMBER(F575)),E575*F575,"")</f>
        <v/>
      </c>
      <c r="I575" s="43" t="str">
        <f>IF(ISNUMBER(H575),ROUND(MAX(F575*'参数'!$C$11,'参数'!$C$12)+'参数'!$C$13,2),"")</f>
        <v/>
      </c>
      <c r="J575" s="43" t="str">
        <f>IF(ISNUMBER(H575),IF(D575="卖",ROUND(H575*N('参数'!$C$14)+F575*N('参数'!$C$15),2),0),"")</f>
        <v/>
      </c>
      <c r="K575" s="23" t="n"/>
      <c r="L575" s="20" t="str">
        <f>IF(ISNUMBER(K575),K575,IF(ISNUMBER(H575),I575+J575,""))</f>
        <v/>
      </c>
      <c r="M575" s="48" t="str">
        <f>IF(AND(ISNUMBER(E575),ISNUMBER(G575),ISNUMBER(F575)),(E575-G575)*IF(D575="卖",-1,1)*F575,"")</f>
        <v/>
      </c>
      <c r="N575" s="49" t="str">
        <f>IF(A575="","",IFERROR(T(INDEX('交易记录'!$C$5:$C$304,MATCH(A575,'交易记录'!$A$5:$A$304,0))),"编号没找到"))</f>
        <v/>
      </c>
      <c r="O575" s="31" t="n"/>
    </row>
    <row r="576">
      <c r="A576" s="29" t="n"/>
      <c r="B576" s="30" t="n"/>
      <c r="C576" s="47" t="n"/>
      <c r="D576" s="32" t="n"/>
      <c r="E576" s="33" t="n"/>
      <c r="F576" s="36" t="n"/>
      <c r="G576" s="33" t="n"/>
      <c r="H576" s="20" t="str">
        <f>IF(AND(ISNUMBER(E576),ISNUMBER(F576)),E576*F576,"")</f>
        <v/>
      </c>
      <c r="I576" s="43" t="str">
        <f>IF(ISNUMBER(H576),ROUND(MAX(F576*'参数'!$C$11,'参数'!$C$12)+'参数'!$C$13,2),"")</f>
        <v/>
      </c>
      <c r="J576" s="43" t="str">
        <f>IF(ISNUMBER(H576),IF(D576="卖",ROUND(H576*N('参数'!$C$14)+F576*N('参数'!$C$15),2),0),"")</f>
        <v/>
      </c>
      <c r="K576" s="23" t="n"/>
      <c r="L576" s="20" t="str">
        <f>IF(ISNUMBER(K576),K576,IF(ISNUMBER(H576),I576+J576,""))</f>
        <v/>
      </c>
      <c r="M576" s="48" t="str">
        <f>IF(AND(ISNUMBER(E576),ISNUMBER(G576),ISNUMBER(F576)),(E576-G576)*IF(D576="卖",-1,1)*F576,"")</f>
        <v/>
      </c>
      <c r="N576" s="49" t="str">
        <f>IF(A576="","",IFERROR(T(INDEX('交易记录'!$C$5:$C$304,MATCH(A576,'交易记录'!$A$5:$A$304,0))),"编号没找到"))</f>
        <v/>
      </c>
      <c r="O576" s="31" t="n"/>
    </row>
    <row r="577">
      <c r="A577" s="29" t="n"/>
      <c r="B577" s="30" t="n"/>
      <c r="C577" s="47" t="n"/>
      <c r="D577" s="32" t="n"/>
      <c r="E577" s="33" t="n"/>
      <c r="F577" s="36" t="n"/>
      <c r="G577" s="33" t="n"/>
      <c r="H577" s="20" t="str">
        <f>IF(AND(ISNUMBER(E577),ISNUMBER(F577)),E577*F577,"")</f>
        <v/>
      </c>
      <c r="I577" s="43" t="str">
        <f>IF(ISNUMBER(H577),ROUND(MAX(F577*'参数'!$C$11,'参数'!$C$12)+'参数'!$C$13,2),"")</f>
        <v/>
      </c>
      <c r="J577" s="43" t="str">
        <f>IF(ISNUMBER(H577),IF(D577="卖",ROUND(H577*N('参数'!$C$14)+F577*N('参数'!$C$15),2),0),"")</f>
        <v/>
      </c>
      <c r="K577" s="23" t="n"/>
      <c r="L577" s="20" t="str">
        <f>IF(ISNUMBER(K577),K577,IF(ISNUMBER(H577),I577+J577,""))</f>
        <v/>
      </c>
      <c r="M577" s="48" t="str">
        <f>IF(AND(ISNUMBER(E577),ISNUMBER(G577),ISNUMBER(F577)),(E577-G577)*IF(D577="卖",-1,1)*F577,"")</f>
        <v/>
      </c>
      <c r="N577" s="49" t="str">
        <f>IF(A577="","",IFERROR(T(INDEX('交易记录'!$C$5:$C$304,MATCH(A577,'交易记录'!$A$5:$A$304,0))),"编号没找到"))</f>
        <v/>
      </c>
      <c r="O577" s="31" t="n"/>
    </row>
    <row r="578">
      <c r="A578" s="29" t="n"/>
      <c r="B578" s="30" t="n"/>
      <c r="C578" s="47" t="n"/>
      <c r="D578" s="32" t="n"/>
      <c r="E578" s="33" t="n"/>
      <c r="F578" s="36" t="n"/>
      <c r="G578" s="33" t="n"/>
      <c r="H578" s="20" t="str">
        <f>IF(AND(ISNUMBER(E578),ISNUMBER(F578)),E578*F578,"")</f>
        <v/>
      </c>
      <c r="I578" s="43" t="str">
        <f>IF(ISNUMBER(H578),ROUND(MAX(F578*'参数'!$C$11,'参数'!$C$12)+'参数'!$C$13,2),"")</f>
        <v/>
      </c>
      <c r="J578" s="43" t="str">
        <f>IF(ISNUMBER(H578),IF(D578="卖",ROUND(H578*N('参数'!$C$14)+F578*N('参数'!$C$15),2),0),"")</f>
        <v/>
      </c>
      <c r="K578" s="23" t="n"/>
      <c r="L578" s="20" t="str">
        <f>IF(ISNUMBER(K578),K578,IF(ISNUMBER(H578),I578+J578,""))</f>
        <v/>
      </c>
      <c r="M578" s="48" t="str">
        <f>IF(AND(ISNUMBER(E578),ISNUMBER(G578),ISNUMBER(F578)),(E578-G578)*IF(D578="卖",-1,1)*F578,"")</f>
        <v/>
      </c>
      <c r="N578" s="49" t="str">
        <f>IF(A578="","",IFERROR(T(INDEX('交易记录'!$C$5:$C$304,MATCH(A578,'交易记录'!$A$5:$A$304,0))),"编号没找到"))</f>
        <v/>
      </c>
      <c r="O578" s="31" t="n"/>
    </row>
    <row r="579">
      <c r="A579" s="29" t="n"/>
      <c r="B579" s="30" t="n"/>
      <c r="C579" s="47" t="n"/>
      <c r="D579" s="32" t="n"/>
      <c r="E579" s="33" t="n"/>
      <c r="F579" s="36" t="n"/>
      <c r="G579" s="33" t="n"/>
      <c r="H579" s="20" t="str">
        <f>IF(AND(ISNUMBER(E579),ISNUMBER(F579)),E579*F579,"")</f>
        <v/>
      </c>
      <c r="I579" s="43" t="str">
        <f>IF(ISNUMBER(H579),ROUND(MAX(F579*'参数'!$C$11,'参数'!$C$12)+'参数'!$C$13,2),"")</f>
        <v/>
      </c>
      <c r="J579" s="43" t="str">
        <f>IF(ISNUMBER(H579),IF(D579="卖",ROUND(H579*N('参数'!$C$14)+F579*N('参数'!$C$15),2),0),"")</f>
        <v/>
      </c>
      <c r="K579" s="23" t="n"/>
      <c r="L579" s="20" t="str">
        <f>IF(ISNUMBER(K579),K579,IF(ISNUMBER(H579),I579+J579,""))</f>
        <v/>
      </c>
      <c r="M579" s="48" t="str">
        <f>IF(AND(ISNUMBER(E579),ISNUMBER(G579),ISNUMBER(F579)),(E579-G579)*IF(D579="卖",-1,1)*F579,"")</f>
        <v/>
      </c>
      <c r="N579" s="49" t="str">
        <f>IF(A579="","",IFERROR(T(INDEX('交易记录'!$C$5:$C$304,MATCH(A579,'交易记录'!$A$5:$A$304,0))),"编号没找到"))</f>
        <v/>
      </c>
      <c r="O579" s="31" t="n"/>
    </row>
    <row r="580">
      <c r="A580" s="29" t="n"/>
      <c r="B580" s="30" t="n"/>
      <c r="C580" s="47" t="n"/>
      <c r="D580" s="32" t="n"/>
      <c r="E580" s="33" t="n"/>
      <c r="F580" s="36" t="n"/>
      <c r="G580" s="33" t="n"/>
      <c r="H580" s="20" t="str">
        <f>IF(AND(ISNUMBER(E580),ISNUMBER(F580)),E580*F580,"")</f>
        <v/>
      </c>
      <c r="I580" s="43" t="str">
        <f>IF(ISNUMBER(H580),ROUND(MAX(F580*'参数'!$C$11,'参数'!$C$12)+'参数'!$C$13,2),"")</f>
        <v/>
      </c>
      <c r="J580" s="43" t="str">
        <f>IF(ISNUMBER(H580),IF(D580="卖",ROUND(H580*N('参数'!$C$14)+F580*N('参数'!$C$15),2),0),"")</f>
        <v/>
      </c>
      <c r="K580" s="23" t="n"/>
      <c r="L580" s="20" t="str">
        <f>IF(ISNUMBER(K580),K580,IF(ISNUMBER(H580),I580+J580,""))</f>
        <v/>
      </c>
      <c r="M580" s="48" t="str">
        <f>IF(AND(ISNUMBER(E580),ISNUMBER(G580),ISNUMBER(F580)),(E580-G580)*IF(D580="卖",-1,1)*F580,"")</f>
        <v/>
      </c>
      <c r="N580" s="49" t="str">
        <f>IF(A580="","",IFERROR(T(INDEX('交易记录'!$C$5:$C$304,MATCH(A580,'交易记录'!$A$5:$A$304,0))),"编号没找到"))</f>
        <v/>
      </c>
      <c r="O580" s="31" t="n"/>
    </row>
    <row r="581">
      <c r="A581" s="29" t="n"/>
      <c r="B581" s="30" t="n"/>
      <c r="C581" s="47" t="n"/>
      <c r="D581" s="32" t="n"/>
      <c r="E581" s="33" t="n"/>
      <c r="F581" s="36" t="n"/>
      <c r="G581" s="33" t="n"/>
      <c r="H581" s="20" t="str">
        <f>IF(AND(ISNUMBER(E581),ISNUMBER(F581)),E581*F581,"")</f>
        <v/>
      </c>
      <c r="I581" s="43" t="str">
        <f>IF(ISNUMBER(H581),ROUND(MAX(F581*'参数'!$C$11,'参数'!$C$12)+'参数'!$C$13,2),"")</f>
        <v/>
      </c>
      <c r="J581" s="43" t="str">
        <f>IF(ISNUMBER(H581),IF(D581="卖",ROUND(H581*N('参数'!$C$14)+F581*N('参数'!$C$15),2),0),"")</f>
        <v/>
      </c>
      <c r="K581" s="23" t="n"/>
      <c r="L581" s="20" t="str">
        <f>IF(ISNUMBER(K581),K581,IF(ISNUMBER(H581),I581+J581,""))</f>
        <v/>
      </c>
      <c r="M581" s="48" t="str">
        <f>IF(AND(ISNUMBER(E581),ISNUMBER(G581),ISNUMBER(F581)),(E581-G581)*IF(D581="卖",-1,1)*F581,"")</f>
        <v/>
      </c>
      <c r="N581" s="49" t="str">
        <f>IF(A581="","",IFERROR(T(INDEX('交易记录'!$C$5:$C$304,MATCH(A581,'交易记录'!$A$5:$A$304,0))),"编号没找到"))</f>
        <v/>
      </c>
      <c r="O581" s="31" t="n"/>
    </row>
    <row r="582">
      <c r="A582" s="29" t="n"/>
      <c r="B582" s="30" t="n"/>
      <c r="C582" s="47" t="n"/>
      <c r="D582" s="32" t="n"/>
      <c r="E582" s="33" t="n"/>
      <c r="F582" s="36" t="n"/>
      <c r="G582" s="33" t="n"/>
      <c r="H582" s="20" t="str">
        <f>IF(AND(ISNUMBER(E582),ISNUMBER(F582)),E582*F582,"")</f>
        <v/>
      </c>
      <c r="I582" s="43" t="str">
        <f>IF(ISNUMBER(H582),ROUND(MAX(F582*'参数'!$C$11,'参数'!$C$12)+'参数'!$C$13,2),"")</f>
        <v/>
      </c>
      <c r="J582" s="43" t="str">
        <f>IF(ISNUMBER(H582),IF(D582="卖",ROUND(H582*N('参数'!$C$14)+F582*N('参数'!$C$15),2),0),"")</f>
        <v/>
      </c>
      <c r="K582" s="23" t="n"/>
      <c r="L582" s="20" t="str">
        <f>IF(ISNUMBER(K582),K582,IF(ISNUMBER(H582),I582+J582,""))</f>
        <v/>
      </c>
      <c r="M582" s="48" t="str">
        <f>IF(AND(ISNUMBER(E582),ISNUMBER(G582),ISNUMBER(F582)),(E582-G582)*IF(D582="卖",-1,1)*F582,"")</f>
        <v/>
      </c>
      <c r="N582" s="49" t="str">
        <f>IF(A582="","",IFERROR(T(INDEX('交易记录'!$C$5:$C$304,MATCH(A582,'交易记录'!$A$5:$A$304,0))),"编号没找到"))</f>
        <v/>
      </c>
      <c r="O582" s="31" t="n"/>
    </row>
    <row r="583">
      <c r="A583" s="29" t="n"/>
      <c r="B583" s="30" t="n"/>
      <c r="C583" s="47" t="n"/>
      <c r="D583" s="32" t="n"/>
      <c r="E583" s="33" t="n"/>
      <c r="F583" s="36" t="n"/>
      <c r="G583" s="33" t="n"/>
      <c r="H583" s="20" t="str">
        <f>IF(AND(ISNUMBER(E583),ISNUMBER(F583)),E583*F583,"")</f>
        <v/>
      </c>
      <c r="I583" s="43" t="str">
        <f>IF(ISNUMBER(H583),ROUND(MAX(F583*'参数'!$C$11,'参数'!$C$12)+'参数'!$C$13,2),"")</f>
        <v/>
      </c>
      <c r="J583" s="43" t="str">
        <f>IF(ISNUMBER(H583),IF(D583="卖",ROUND(H583*N('参数'!$C$14)+F583*N('参数'!$C$15),2),0),"")</f>
        <v/>
      </c>
      <c r="K583" s="23" t="n"/>
      <c r="L583" s="20" t="str">
        <f>IF(ISNUMBER(K583),K583,IF(ISNUMBER(H583),I583+J583,""))</f>
        <v/>
      </c>
      <c r="M583" s="48" t="str">
        <f>IF(AND(ISNUMBER(E583),ISNUMBER(G583),ISNUMBER(F583)),(E583-G583)*IF(D583="卖",-1,1)*F583,"")</f>
        <v/>
      </c>
      <c r="N583" s="49" t="str">
        <f>IF(A583="","",IFERROR(T(INDEX('交易记录'!$C$5:$C$304,MATCH(A583,'交易记录'!$A$5:$A$304,0))),"编号没找到"))</f>
        <v/>
      </c>
      <c r="O583" s="31" t="n"/>
    </row>
    <row r="584">
      <c r="A584" s="29" t="n"/>
      <c r="B584" s="30" t="n"/>
      <c r="C584" s="47" t="n"/>
      <c r="D584" s="32" t="n"/>
      <c r="E584" s="33" t="n"/>
      <c r="F584" s="36" t="n"/>
      <c r="G584" s="33" t="n"/>
      <c r="H584" s="20" t="str">
        <f>IF(AND(ISNUMBER(E584),ISNUMBER(F584)),E584*F584,"")</f>
        <v/>
      </c>
      <c r="I584" s="43" t="str">
        <f>IF(ISNUMBER(H584),ROUND(MAX(F584*'参数'!$C$11,'参数'!$C$12)+'参数'!$C$13,2),"")</f>
        <v/>
      </c>
      <c r="J584" s="43" t="str">
        <f>IF(ISNUMBER(H584),IF(D584="卖",ROUND(H584*N('参数'!$C$14)+F584*N('参数'!$C$15),2),0),"")</f>
        <v/>
      </c>
      <c r="K584" s="23" t="n"/>
      <c r="L584" s="20" t="str">
        <f>IF(ISNUMBER(K584),K584,IF(ISNUMBER(H584),I584+J584,""))</f>
        <v/>
      </c>
      <c r="M584" s="48" t="str">
        <f>IF(AND(ISNUMBER(E584),ISNUMBER(G584),ISNUMBER(F584)),(E584-G584)*IF(D584="卖",-1,1)*F584,"")</f>
        <v/>
      </c>
      <c r="N584" s="49" t="str">
        <f>IF(A584="","",IFERROR(T(INDEX('交易记录'!$C$5:$C$304,MATCH(A584,'交易记录'!$A$5:$A$304,0))),"编号没找到"))</f>
        <v/>
      </c>
      <c r="O584" s="31" t="n"/>
    </row>
    <row r="585">
      <c r="A585" s="29" t="n"/>
      <c r="B585" s="30" t="n"/>
      <c r="C585" s="47" t="n"/>
      <c r="D585" s="32" t="n"/>
      <c r="E585" s="33" t="n"/>
      <c r="F585" s="36" t="n"/>
      <c r="G585" s="33" t="n"/>
      <c r="H585" s="20" t="str">
        <f>IF(AND(ISNUMBER(E585),ISNUMBER(F585)),E585*F585,"")</f>
        <v/>
      </c>
      <c r="I585" s="43" t="str">
        <f>IF(ISNUMBER(H585),ROUND(MAX(F585*'参数'!$C$11,'参数'!$C$12)+'参数'!$C$13,2),"")</f>
        <v/>
      </c>
      <c r="J585" s="43" t="str">
        <f>IF(ISNUMBER(H585),IF(D585="卖",ROUND(H585*N('参数'!$C$14)+F585*N('参数'!$C$15),2),0),"")</f>
        <v/>
      </c>
      <c r="K585" s="23" t="n"/>
      <c r="L585" s="20" t="str">
        <f>IF(ISNUMBER(K585),K585,IF(ISNUMBER(H585),I585+J585,""))</f>
        <v/>
      </c>
      <c r="M585" s="48" t="str">
        <f>IF(AND(ISNUMBER(E585),ISNUMBER(G585),ISNUMBER(F585)),(E585-G585)*IF(D585="卖",-1,1)*F585,"")</f>
        <v/>
      </c>
      <c r="N585" s="49" t="str">
        <f>IF(A585="","",IFERROR(T(INDEX('交易记录'!$C$5:$C$304,MATCH(A585,'交易记录'!$A$5:$A$304,0))),"编号没找到"))</f>
        <v/>
      </c>
      <c r="O585" s="31" t="n"/>
    </row>
    <row r="586">
      <c r="A586" s="29" t="n"/>
      <c r="B586" s="30" t="n"/>
      <c r="C586" s="47" t="n"/>
      <c r="D586" s="32" t="n"/>
      <c r="E586" s="33" t="n"/>
      <c r="F586" s="36" t="n"/>
      <c r="G586" s="33" t="n"/>
      <c r="H586" s="20" t="str">
        <f>IF(AND(ISNUMBER(E586),ISNUMBER(F586)),E586*F586,"")</f>
        <v/>
      </c>
      <c r="I586" s="43" t="str">
        <f>IF(ISNUMBER(H586),ROUND(MAX(F586*'参数'!$C$11,'参数'!$C$12)+'参数'!$C$13,2),"")</f>
        <v/>
      </c>
      <c r="J586" s="43" t="str">
        <f>IF(ISNUMBER(H586),IF(D586="卖",ROUND(H586*N('参数'!$C$14)+F586*N('参数'!$C$15),2),0),"")</f>
        <v/>
      </c>
      <c r="K586" s="23" t="n"/>
      <c r="L586" s="20" t="str">
        <f>IF(ISNUMBER(K586),K586,IF(ISNUMBER(H586),I586+J586,""))</f>
        <v/>
      </c>
      <c r="M586" s="48" t="str">
        <f>IF(AND(ISNUMBER(E586),ISNUMBER(G586),ISNUMBER(F586)),(E586-G586)*IF(D586="卖",-1,1)*F586,"")</f>
        <v/>
      </c>
      <c r="N586" s="49" t="str">
        <f>IF(A586="","",IFERROR(T(INDEX('交易记录'!$C$5:$C$304,MATCH(A586,'交易记录'!$A$5:$A$304,0))),"编号没找到"))</f>
        <v/>
      </c>
      <c r="O586" s="31" t="n"/>
    </row>
    <row r="587">
      <c r="A587" s="29" t="n"/>
      <c r="B587" s="30" t="n"/>
      <c r="C587" s="47" t="n"/>
      <c r="D587" s="32" t="n"/>
      <c r="E587" s="33" t="n"/>
      <c r="F587" s="36" t="n"/>
      <c r="G587" s="33" t="n"/>
      <c r="H587" s="20" t="str">
        <f>IF(AND(ISNUMBER(E587),ISNUMBER(F587)),E587*F587,"")</f>
        <v/>
      </c>
      <c r="I587" s="43" t="str">
        <f>IF(ISNUMBER(H587),ROUND(MAX(F587*'参数'!$C$11,'参数'!$C$12)+'参数'!$C$13,2),"")</f>
        <v/>
      </c>
      <c r="J587" s="43" t="str">
        <f>IF(ISNUMBER(H587),IF(D587="卖",ROUND(H587*N('参数'!$C$14)+F587*N('参数'!$C$15),2),0),"")</f>
        <v/>
      </c>
      <c r="K587" s="23" t="n"/>
      <c r="L587" s="20" t="str">
        <f>IF(ISNUMBER(K587),K587,IF(ISNUMBER(H587),I587+J587,""))</f>
        <v/>
      </c>
      <c r="M587" s="48" t="str">
        <f>IF(AND(ISNUMBER(E587),ISNUMBER(G587),ISNUMBER(F587)),(E587-G587)*IF(D587="卖",-1,1)*F587,"")</f>
        <v/>
      </c>
      <c r="N587" s="49" t="str">
        <f>IF(A587="","",IFERROR(T(INDEX('交易记录'!$C$5:$C$304,MATCH(A587,'交易记录'!$A$5:$A$304,0))),"编号没找到"))</f>
        <v/>
      </c>
      <c r="O587" s="31" t="n"/>
    </row>
    <row r="588">
      <c r="A588" s="29" t="n"/>
      <c r="B588" s="30" t="n"/>
      <c r="C588" s="47" t="n"/>
      <c r="D588" s="32" t="n"/>
      <c r="E588" s="33" t="n"/>
      <c r="F588" s="36" t="n"/>
      <c r="G588" s="33" t="n"/>
      <c r="H588" s="20" t="str">
        <f>IF(AND(ISNUMBER(E588),ISNUMBER(F588)),E588*F588,"")</f>
        <v/>
      </c>
      <c r="I588" s="43" t="str">
        <f>IF(ISNUMBER(H588),ROUND(MAX(F588*'参数'!$C$11,'参数'!$C$12)+'参数'!$C$13,2),"")</f>
        <v/>
      </c>
      <c r="J588" s="43" t="str">
        <f>IF(ISNUMBER(H588),IF(D588="卖",ROUND(H588*N('参数'!$C$14)+F588*N('参数'!$C$15),2),0),"")</f>
        <v/>
      </c>
      <c r="K588" s="23" t="n"/>
      <c r="L588" s="20" t="str">
        <f>IF(ISNUMBER(K588),K588,IF(ISNUMBER(H588),I588+J588,""))</f>
        <v/>
      </c>
      <c r="M588" s="48" t="str">
        <f>IF(AND(ISNUMBER(E588),ISNUMBER(G588),ISNUMBER(F588)),(E588-G588)*IF(D588="卖",-1,1)*F588,"")</f>
        <v/>
      </c>
      <c r="N588" s="49" t="str">
        <f>IF(A588="","",IFERROR(T(INDEX('交易记录'!$C$5:$C$304,MATCH(A588,'交易记录'!$A$5:$A$304,0))),"编号没找到"))</f>
        <v/>
      </c>
      <c r="O588" s="31" t="n"/>
    </row>
    <row r="589">
      <c r="A589" s="29" t="n"/>
      <c r="B589" s="30" t="n"/>
      <c r="C589" s="47" t="n"/>
      <c r="D589" s="32" t="n"/>
      <c r="E589" s="33" t="n"/>
      <c r="F589" s="36" t="n"/>
      <c r="G589" s="33" t="n"/>
      <c r="H589" s="20" t="str">
        <f>IF(AND(ISNUMBER(E589),ISNUMBER(F589)),E589*F589,"")</f>
        <v/>
      </c>
      <c r="I589" s="43" t="str">
        <f>IF(ISNUMBER(H589),ROUND(MAX(F589*'参数'!$C$11,'参数'!$C$12)+'参数'!$C$13,2),"")</f>
        <v/>
      </c>
      <c r="J589" s="43" t="str">
        <f>IF(ISNUMBER(H589),IF(D589="卖",ROUND(H589*N('参数'!$C$14)+F589*N('参数'!$C$15),2),0),"")</f>
        <v/>
      </c>
      <c r="K589" s="23" t="n"/>
      <c r="L589" s="20" t="str">
        <f>IF(ISNUMBER(K589),K589,IF(ISNUMBER(H589),I589+J589,""))</f>
        <v/>
      </c>
      <c r="M589" s="48" t="str">
        <f>IF(AND(ISNUMBER(E589),ISNUMBER(G589),ISNUMBER(F589)),(E589-G589)*IF(D589="卖",-1,1)*F589,"")</f>
        <v/>
      </c>
      <c r="N589" s="49" t="str">
        <f>IF(A589="","",IFERROR(T(INDEX('交易记录'!$C$5:$C$304,MATCH(A589,'交易记录'!$A$5:$A$304,0))),"编号没找到"))</f>
        <v/>
      </c>
      <c r="O589" s="31" t="n"/>
    </row>
    <row r="590">
      <c r="A590" s="29" t="n"/>
      <c r="B590" s="30" t="n"/>
      <c r="C590" s="47" t="n"/>
      <c r="D590" s="32" t="n"/>
      <c r="E590" s="33" t="n"/>
      <c r="F590" s="36" t="n"/>
      <c r="G590" s="33" t="n"/>
      <c r="H590" s="20" t="str">
        <f>IF(AND(ISNUMBER(E590),ISNUMBER(F590)),E590*F590,"")</f>
        <v/>
      </c>
      <c r="I590" s="43" t="str">
        <f>IF(ISNUMBER(H590),ROUND(MAX(F590*'参数'!$C$11,'参数'!$C$12)+'参数'!$C$13,2),"")</f>
        <v/>
      </c>
      <c r="J590" s="43" t="str">
        <f>IF(ISNUMBER(H590),IF(D590="卖",ROUND(H590*N('参数'!$C$14)+F590*N('参数'!$C$15),2),0),"")</f>
        <v/>
      </c>
      <c r="K590" s="23" t="n"/>
      <c r="L590" s="20" t="str">
        <f>IF(ISNUMBER(K590),K590,IF(ISNUMBER(H590),I590+J590,""))</f>
        <v/>
      </c>
      <c r="M590" s="48" t="str">
        <f>IF(AND(ISNUMBER(E590),ISNUMBER(G590),ISNUMBER(F590)),(E590-G590)*IF(D590="卖",-1,1)*F590,"")</f>
        <v/>
      </c>
      <c r="N590" s="49" t="str">
        <f>IF(A590="","",IFERROR(T(INDEX('交易记录'!$C$5:$C$304,MATCH(A590,'交易记录'!$A$5:$A$304,0))),"编号没找到"))</f>
        <v/>
      </c>
      <c r="O590" s="31" t="n"/>
    </row>
    <row r="591">
      <c r="A591" s="29" t="n"/>
      <c r="B591" s="30" t="n"/>
      <c r="C591" s="47" t="n"/>
      <c r="D591" s="32" t="n"/>
      <c r="E591" s="33" t="n"/>
      <c r="F591" s="36" t="n"/>
      <c r="G591" s="33" t="n"/>
      <c r="H591" s="20" t="str">
        <f>IF(AND(ISNUMBER(E591),ISNUMBER(F591)),E591*F591,"")</f>
        <v/>
      </c>
      <c r="I591" s="43" t="str">
        <f>IF(ISNUMBER(H591),ROUND(MAX(F591*'参数'!$C$11,'参数'!$C$12)+'参数'!$C$13,2),"")</f>
        <v/>
      </c>
      <c r="J591" s="43" t="str">
        <f>IF(ISNUMBER(H591),IF(D591="卖",ROUND(H591*N('参数'!$C$14)+F591*N('参数'!$C$15),2),0),"")</f>
        <v/>
      </c>
      <c r="K591" s="23" t="n"/>
      <c r="L591" s="20" t="str">
        <f>IF(ISNUMBER(K591),K591,IF(ISNUMBER(H591),I591+J591,""))</f>
        <v/>
      </c>
      <c r="M591" s="48" t="str">
        <f>IF(AND(ISNUMBER(E591),ISNUMBER(G591),ISNUMBER(F591)),(E591-G591)*IF(D591="卖",-1,1)*F591,"")</f>
        <v/>
      </c>
      <c r="N591" s="49" t="str">
        <f>IF(A591="","",IFERROR(T(INDEX('交易记录'!$C$5:$C$304,MATCH(A591,'交易记录'!$A$5:$A$304,0))),"编号没找到"))</f>
        <v/>
      </c>
      <c r="O591" s="31" t="n"/>
    </row>
    <row r="592">
      <c r="A592" s="29" t="n"/>
      <c r="B592" s="30" t="n"/>
      <c r="C592" s="47" t="n"/>
      <c r="D592" s="32" t="n"/>
      <c r="E592" s="33" t="n"/>
      <c r="F592" s="36" t="n"/>
      <c r="G592" s="33" t="n"/>
      <c r="H592" s="20" t="str">
        <f>IF(AND(ISNUMBER(E592),ISNUMBER(F592)),E592*F592,"")</f>
        <v/>
      </c>
      <c r="I592" s="43" t="str">
        <f>IF(ISNUMBER(H592),ROUND(MAX(F592*'参数'!$C$11,'参数'!$C$12)+'参数'!$C$13,2),"")</f>
        <v/>
      </c>
      <c r="J592" s="43" t="str">
        <f>IF(ISNUMBER(H592),IF(D592="卖",ROUND(H592*N('参数'!$C$14)+F592*N('参数'!$C$15),2),0),"")</f>
        <v/>
      </c>
      <c r="K592" s="23" t="n"/>
      <c r="L592" s="20" t="str">
        <f>IF(ISNUMBER(K592),K592,IF(ISNUMBER(H592),I592+J592,""))</f>
        <v/>
      </c>
      <c r="M592" s="48" t="str">
        <f>IF(AND(ISNUMBER(E592),ISNUMBER(G592),ISNUMBER(F592)),(E592-G592)*IF(D592="卖",-1,1)*F592,"")</f>
        <v/>
      </c>
      <c r="N592" s="49" t="str">
        <f>IF(A592="","",IFERROR(T(INDEX('交易记录'!$C$5:$C$304,MATCH(A592,'交易记录'!$A$5:$A$304,0))),"编号没找到"))</f>
        <v/>
      </c>
      <c r="O592" s="31" t="n"/>
    </row>
    <row r="593">
      <c r="A593" s="29" t="n"/>
      <c r="B593" s="30" t="n"/>
      <c r="C593" s="47" t="n"/>
      <c r="D593" s="32" t="n"/>
      <c r="E593" s="33" t="n"/>
      <c r="F593" s="36" t="n"/>
      <c r="G593" s="33" t="n"/>
      <c r="H593" s="20" t="str">
        <f>IF(AND(ISNUMBER(E593),ISNUMBER(F593)),E593*F593,"")</f>
        <v/>
      </c>
      <c r="I593" s="43" t="str">
        <f>IF(ISNUMBER(H593),ROUND(MAX(F593*'参数'!$C$11,'参数'!$C$12)+'参数'!$C$13,2),"")</f>
        <v/>
      </c>
      <c r="J593" s="43" t="str">
        <f>IF(ISNUMBER(H593),IF(D593="卖",ROUND(H593*N('参数'!$C$14)+F593*N('参数'!$C$15),2),0),"")</f>
        <v/>
      </c>
      <c r="K593" s="23" t="n"/>
      <c r="L593" s="20" t="str">
        <f>IF(ISNUMBER(K593),K593,IF(ISNUMBER(H593),I593+J593,""))</f>
        <v/>
      </c>
      <c r="M593" s="48" t="str">
        <f>IF(AND(ISNUMBER(E593),ISNUMBER(G593),ISNUMBER(F593)),(E593-G593)*IF(D593="卖",-1,1)*F593,"")</f>
        <v/>
      </c>
      <c r="N593" s="49" t="str">
        <f>IF(A593="","",IFERROR(T(INDEX('交易记录'!$C$5:$C$304,MATCH(A593,'交易记录'!$A$5:$A$304,0))),"编号没找到"))</f>
        <v/>
      </c>
      <c r="O593" s="31" t="n"/>
    </row>
    <row r="594">
      <c r="A594" s="29" t="n"/>
      <c r="B594" s="30" t="n"/>
      <c r="C594" s="47" t="n"/>
      <c r="D594" s="32" t="n"/>
      <c r="E594" s="33" t="n"/>
      <c r="F594" s="36" t="n"/>
      <c r="G594" s="33" t="n"/>
      <c r="H594" s="20" t="str">
        <f>IF(AND(ISNUMBER(E594),ISNUMBER(F594)),E594*F594,"")</f>
        <v/>
      </c>
      <c r="I594" s="43" t="str">
        <f>IF(ISNUMBER(H594),ROUND(MAX(F594*'参数'!$C$11,'参数'!$C$12)+'参数'!$C$13,2),"")</f>
        <v/>
      </c>
      <c r="J594" s="43" t="str">
        <f>IF(ISNUMBER(H594),IF(D594="卖",ROUND(H594*N('参数'!$C$14)+F594*N('参数'!$C$15),2),0),"")</f>
        <v/>
      </c>
      <c r="K594" s="23" t="n"/>
      <c r="L594" s="20" t="str">
        <f>IF(ISNUMBER(K594),K594,IF(ISNUMBER(H594),I594+J594,""))</f>
        <v/>
      </c>
      <c r="M594" s="48" t="str">
        <f>IF(AND(ISNUMBER(E594),ISNUMBER(G594),ISNUMBER(F594)),(E594-G594)*IF(D594="卖",-1,1)*F594,"")</f>
        <v/>
      </c>
      <c r="N594" s="49" t="str">
        <f>IF(A594="","",IFERROR(T(INDEX('交易记录'!$C$5:$C$304,MATCH(A594,'交易记录'!$A$5:$A$304,0))),"编号没找到"))</f>
        <v/>
      </c>
      <c r="O594" s="31" t="n"/>
    </row>
    <row r="595">
      <c r="A595" s="29" t="n"/>
      <c r="B595" s="30" t="n"/>
      <c r="C595" s="47" t="n"/>
      <c r="D595" s="32" t="n"/>
      <c r="E595" s="33" t="n"/>
      <c r="F595" s="36" t="n"/>
      <c r="G595" s="33" t="n"/>
      <c r="H595" s="20" t="str">
        <f>IF(AND(ISNUMBER(E595),ISNUMBER(F595)),E595*F595,"")</f>
        <v/>
      </c>
      <c r="I595" s="43" t="str">
        <f>IF(ISNUMBER(H595),ROUND(MAX(F595*'参数'!$C$11,'参数'!$C$12)+'参数'!$C$13,2),"")</f>
        <v/>
      </c>
      <c r="J595" s="43" t="str">
        <f>IF(ISNUMBER(H595),IF(D595="卖",ROUND(H595*N('参数'!$C$14)+F595*N('参数'!$C$15),2),0),"")</f>
        <v/>
      </c>
      <c r="K595" s="23" t="n"/>
      <c r="L595" s="20" t="str">
        <f>IF(ISNUMBER(K595),K595,IF(ISNUMBER(H595),I595+J595,""))</f>
        <v/>
      </c>
      <c r="M595" s="48" t="str">
        <f>IF(AND(ISNUMBER(E595),ISNUMBER(G595),ISNUMBER(F595)),(E595-G595)*IF(D595="卖",-1,1)*F595,"")</f>
        <v/>
      </c>
      <c r="N595" s="49" t="str">
        <f>IF(A595="","",IFERROR(T(INDEX('交易记录'!$C$5:$C$304,MATCH(A595,'交易记录'!$A$5:$A$304,0))),"编号没找到"))</f>
        <v/>
      </c>
      <c r="O595" s="31" t="n"/>
    </row>
    <row r="596">
      <c r="A596" s="29" t="n"/>
      <c r="B596" s="30" t="n"/>
      <c r="C596" s="47" t="n"/>
      <c r="D596" s="32" t="n"/>
      <c r="E596" s="33" t="n"/>
      <c r="F596" s="36" t="n"/>
      <c r="G596" s="33" t="n"/>
      <c r="H596" s="20" t="str">
        <f>IF(AND(ISNUMBER(E596),ISNUMBER(F596)),E596*F596,"")</f>
        <v/>
      </c>
      <c r="I596" s="43" t="str">
        <f>IF(ISNUMBER(H596),ROUND(MAX(F596*'参数'!$C$11,'参数'!$C$12)+'参数'!$C$13,2),"")</f>
        <v/>
      </c>
      <c r="J596" s="43" t="str">
        <f>IF(ISNUMBER(H596),IF(D596="卖",ROUND(H596*N('参数'!$C$14)+F596*N('参数'!$C$15),2),0),"")</f>
        <v/>
      </c>
      <c r="K596" s="23" t="n"/>
      <c r="L596" s="20" t="str">
        <f>IF(ISNUMBER(K596),K596,IF(ISNUMBER(H596),I596+J596,""))</f>
        <v/>
      </c>
      <c r="M596" s="48" t="str">
        <f>IF(AND(ISNUMBER(E596),ISNUMBER(G596),ISNUMBER(F596)),(E596-G596)*IF(D596="卖",-1,1)*F596,"")</f>
        <v/>
      </c>
      <c r="N596" s="49" t="str">
        <f>IF(A596="","",IFERROR(T(INDEX('交易记录'!$C$5:$C$304,MATCH(A596,'交易记录'!$A$5:$A$304,0))),"编号没找到"))</f>
        <v/>
      </c>
      <c r="O596" s="31" t="n"/>
    </row>
    <row r="597">
      <c r="A597" s="29" t="n"/>
      <c r="B597" s="30" t="n"/>
      <c r="C597" s="47" t="n"/>
      <c r="D597" s="32" t="n"/>
      <c r="E597" s="33" t="n"/>
      <c r="F597" s="36" t="n"/>
      <c r="G597" s="33" t="n"/>
      <c r="H597" s="20" t="str">
        <f>IF(AND(ISNUMBER(E597),ISNUMBER(F597)),E597*F597,"")</f>
        <v/>
      </c>
      <c r="I597" s="43" t="str">
        <f>IF(ISNUMBER(H597),ROUND(MAX(F597*'参数'!$C$11,'参数'!$C$12)+'参数'!$C$13,2),"")</f>
        <v/>
      </c>
      <c r="J597" s="43" t="str">
        <f>IF(ISNUMBER(H597),IF(D597="卖",ROUND(H597*N('参数'!$C$14)+F597*N('参数'!$C$15),2),0),"")</f>
        <v/>
      </c>
      <c r="K597" s="23" t="n"/>
      <c r="L597" s="20" t="str">
        <f>IF(ISNUMBER(K597),K597,IF(ISNUMBER(H597),I597+J597,""))</f>
        <v/>
      </c>
      <c r="M597" s="48" t="str">
        <f>IF(AND(ISNUMBER(E597),ISNUMBER(G597),ISNUMBER(F597)),(E597-G597)*IF(D597="卖",-1,1)*F597,"")</f>
        <v/>
      </c>
      <c r="N597" s="49" t="str">
        <f>IF(A597="","",IFERROR(T(INDEX('交易记录'!$C$5:$C$304,MATCH(A597,'交易记录'!$A$5:$A$304,0))),"编号没找到"))</f>
        <v/>
      </c>
      <c r="O597" s="31" t="n"/>
    </row>
    <row r="598">
      <c r="A598" s="29" t="n"/>
      <c r="B598" s="30" t="n"/>
      <c r="C598" s="47" t="n"/>
      <c r="D598" s="32" t="n"/>
      <c r="E598" s="33" t="n"/>
      <c r="F598" s="36" t="n"/>
      <c r="G598" s="33" t="n"/>
      <c r="H598" s="20" t="str">
        <f>IF(AND(ISNUMBER(E598),ISNUMBER(F598)),E598*F598,"")</f>
        <v/>
      </c>
      <c r="I598" s="43" t="str">
        <f>IF(ISNUMBER(H598),ROUND(MAX(F598*'参数'!$C$11,'参数'!$C$12)+'参数'!$C$13,2),"")</f>
        <v/>
      </c>
      <c r="J598" s="43" t="str">
        <f>IF(ISNUMBER(H598),IF(D598="卖",ROUND(H598*N('参数'!$C$14)+F598*N('参数'!$C$15),2),0),"")</f>
        <v/>
      </c>
      <c r="K598" s="23" t="n"/>
      <c r="L598" s="20" t="str">
        <f>IF(ISNUMBER(K598),K598,IF(ISNUMBER(H598),I598+J598,""))</f>
        <v/>
      </c>
      <c r="M598" s="48" t="str">
        <f>IF(AND(ISNUMBER(E598),ISNUMBER(G598),ISNUMBER(F598)),(E598-G598)*IF(D598="卖",-1,1)*F598,"")</f>
        <v/>
      </c>
      <c r="N598" s="49" t="str">
        <f>IF(A598="","",IFERROR(T(INDEX('交易记录'!$C$5:$C$304,MATCH(A598,'交易记录'!$A$5:$A$304,0))),"编号没找到"))</f>
        <v/>
      </c>
      <c r="O598" s="31" t="n"/>
    </row>
    <row r="599">
      <c r="A599" s="29" t="n"/>
      <c r="B599" s="30" t="n"/>
      <c r="C599" s="47" t="n"/>
      <c r="D599" s="32" t="n"/>
      <c r="E599" s="33" t="n"/>
      <c r="F599" s="36" t="n"/>
      <c r="G599" s="33" t="n"/>
      <c r="H599" s="20" t="str">
        <f>IF(AND(ISNUMBER(E599),ISNUMBER(F599)),E599*F599,"")</f>
        <v/>
      </c>
      <c r="I599" s="43" t="str">
        <f>IF(ISNUMBER(H599),ROUND(MAX(F599*'参数'!$C$11,'参数'!$C$12)+'参数'!$C$13,2),"")</f>
        <v/>
      </c>
      <c r="J599" s="43" t="str">
        <f>IF(ISNUMBER(H599),IF(D599="卖",ROUND(H599*N('参数'!$C$14)+F599*N('参数'!$C$15),2),0),"")</f>
        <v/>
      </c>
      <c r="K599" s="23" t="n"/>
      <c r="L599" s="20" t="str">
        <f>IF(ISNUMBER(K599),K599,IF(ISNUMBER(H599),I599+J599,""))</f>
        <v/>
      </c>
      <c r="M599" s="48" t="str">
        <f>IF(AND(ISNUMBER(E599),ISNUMBER(G599),ISNUMBER(F599)),(E599-G599)*IF(D599="卖",-1,1)*F599,"")</f>
        <v/>
      </c>
      <c r="N599" s="49" t="str">
        <f>IF(A599="","",IFERROR(T(INDEX('交易记录'!$C$5:$C$304,MATCH(A599,'交易记录'!$A$5:$A$304,0))),"编号没找到"))</f>
        <v/>
      </c>
      <c r="O599" s="31" t="n"/>
    </row>
    <row r="600">
      <c r="A600" s="29" t="n"/>
      <c r="B600" s="30" t="n"/>
      <c r="C600" s="47" t="n"/>
      <c r="D600" s="32" t="n"/>
      <c r="E600" s="33" t="n"/>
      <c r="F600" s="36" t="n"/>
      <c r="G600" s="33" t="n"/>
      <c r="H600" s="20" t="str">
        <f>IF(AND(ISNUMBER(E600),ISNUMBER(F600)),E600*F600,"")</f>
        <v/>
      </c>
      <c r="I600" s="43" t="str">
        <f>IF(ISNUMBER(H600),ROUND(MAX(F600*'参数'!$C$11,'参数'!$C$12)+'参数'!$C$13,2),"")</f>
        <v/>
      </c>
      <c r="J600" s="43" t="str">
        <f>IF(ISNUMBER(H600),IF(D600="卖",ROUND(H600*N('参数'!$C$14)+F600*N('参数'!$C$15),2),0),"")</f>
        <v/>
      </c>
      <c r="K600" s="23" t="n"/>
      <c r="L600" s="20" t="str">
        <f>IF(ISNUMBER(K600),K600,IF(ISNUMBER(H600),I600+J600,""))</f>
        <v/>
      </c>
      <c r="M600" s="48" t="str">
        <f>IF(AND(ISNUMBER(E600),ISNUMBER(G600),ISNUMBER(F600)),(E600-G600)*IF(D600="卖",-1,1)*F600,"")</f>
        <v/>
      </c>
      <c r="N600" s="49" t="str">
        <f>IF(A600="","",IFERROR(T(INDEX('交易记录'!$C$5:$C$304,MATCH(A600,'交易记录'!$A$5:$A$304,0))),"编号没找到"))</f>
        <v/>
      </c>
      <c r="O600" s="31" t="n"/>
    </row>
    <row r="601">
      <c r="A601" s="29" t="n"/>
      <c r="B601" s="30" t="n"/>
      <c r="C601" s="47" t="n"/>
      <c r="D601" s="32" t="n"/>
      <c r="E601" s="33" t="n"/>
      <c r="F601" s="36" t="n"/>
      <c r="G601" s="33" t="n"/>
      <c r="H601" s="20" t="str">
        <f>IF(AND(ISNUMBER(E601),ISNUMBER(F601)),E601*F601,"")</f>
        <v/>
      </c>
      <c r="I601" s="43" t="str">
        <f>IF(ISNUMBER(H601),ROUND(MAX(F601*'参数'!$C$11,'参数'!$C$12)+'参数'!$C$13,2),"")</f>
        <v/>
      </c>
      <c r="J601" s="43" t="str">
        <f>IF(ISNUMBER(H601),IF(D601="卖",ROUND(H601*N('参数'!$C$14)+F601*N('参数'!$C$15),2),0),"")</f>
        <v/>
      </c>
      <c r="K601" s="23" t="n"/>
      <c r="L601" s="20" t="str">
        <f>IF(ISNUMBER(K601),K601,IF(ISNUMBER(H601),I601+J601,""))</f>
        <v/>
      </c>
      <c r="M601" s="48" t="str">
        <f>IF(AND(ISNUMBER(E601),ISNUMBER(G601),ISNUMBER(F601)),(E601-G601)*IF(D601="卖",-1,1)*F601,"")</f>
        <v/>
      </c>
      <c r="N601" s="49" t="str">
        <f>IF(A601="","",IFERROR(T(INDEX('交易记录'!$C$5:$C$304,MATCH(A601,'交易记录'!$A$5:$A$304,0))),"编号没找到"))</f>
        <v/>
      </c>
      <c r="O601" s="31" t="n"/>
    </row>
    <row r="602">
      <c r="A602" s="29" t="n"/>
      <c r="B602" s="30" t="n"/>
      <c r="C602" s="47" t="n"/>
      <c r="D602" s="32" t="n"/>
      <c r="E602" s="33" t="n"/>
      <c r="F602" s="36" t="n"/>
      <c r="G602" s="33" t="n"/>
      <c r="H602" s="20" t="str">
        <f>IF(AND(ISNUMBER(E602),ISNUMBER(F602)),E602*F602,"")</f>
        <v/>
      </c>
      <c r="I602" s="43" t="str">
        <f>IF(ISNUMBER(H602),ROUND(MAX(F602*'参数'!$C$11,'参数'!$C$12)+'参数'!$C$13,2),"")</f>
        <v/>
      </c>
      <c r="J602" s="43" t="str">
        <f>IF(ISNUMBER(H602),IF(D602="卖",ROUND(H602*N('参数'!$C$14)+F602*N('参数'!$C$15),2),0),"")</f>
        <v/>
      </c>
      <c r="K602" s="23" t="n"/>
      <c r="L602" s="20" t="str">
        <f>IF(ISNUMBER(K602),K602,IF(ISNUMBER(H602),I602+J602,""))</f>
        <v/>
      </c>
      <c r="M602" s="48" t="str">
        <f>IF(AND(ISNUMBER(E602),ISNUMBER(G602),ISNUMBER(F602)),(E602-G602)*IF(D602="卖",-1,1)*F602,"")</f>
        <v/>
      </c>
      <c r="N602" s="49" t="str">
        <f>IF(A602="","",IFERROR(T(INDEX('交易记录'!$C$5:$C$304,MATCH(A602,'交易记录'!$A$5:$A$304,0))),"编号没找到"))</f>
        <v/>
      </c>
      <c r="O602" s="31" t="n"/>
    </row>
    <row r="603">
      <c r="A603" s="29" t="n"/>
      <c r="B603" s="30" t="n"/>
      <c r="C603" s="47" t="n"/>
      <c r="D603" s="32" t="n"/>
      <c r="E603" s="33" t="n"/>
      <c r="F603" s="36" t="n"/>
      <c r="G603" s="33" t="n"/>
      <c r="H603" s="20" t="str">
        <f>IF(AND(ISNUMBER(E603),ISNUMBER(F603)),E603*F603,"")</f>
        <v/>
      </c>
      <c r="I603" s="43" t="str">
        <f>IF(ISNUMBER(H603),ROUND(MAX(F603*'参数'!$C$11,'参数'!$C$12)+'参数'!$C$13,2),"")</f>
        <v/>
      </c>
      <c r="J603" s="43" t="str">
        <f>IF(ISNUMBER(H603),IF(D603="卖",ROUND(H603*N('参数'!$C$14)+F603*N('参数'!$C$15),2),0),"")</f>
        <v/>
      </c>
      <c r="K603" s="23" t="n"/>
      <c r="L603" s="20" t="str">
        <f>IF(ISNUMBER(K603),K603,IF(ISNUMBER(H603),I603+J603,""))</f>
        <v/>
      </c>
      <c r="M603" s="48" t="str">
        <f>IF(AND(ISNUMBER(E603),ISNUMBER(G603),ISNUMBER(F603)),(E603-G603)*IF(D603="卖",-1,1)*F603,"")</f>
        <v/>
      </c>
      <c r="N603" s="49" t="str">
        <f>IF(A603="","",IFERROR(T(INDEX('交易记录'!$C$5:$C$304,MATCH(A603,'交易记录'!$A$5:$A$304,0))),"编号没找到"))</f>
        <v/>
      </c>
      <c r="O603" s="31" t="n"/>
    </row>
    <row r="604">
      <c r="A604" s="29" t="n"/>
      <c r="B604" s="30" t="n"/>
      <c r="C604" s="47" t="n"/>
      <c r="D604" s="32" t="n"/>
      <c r="E604" s="33" t="n"/>
      <c r="F604" s="36" t="n"/>
      <c r="G604" s="33" t="n"/>
      <c r="H604" s="20" t="str">
        <f>IF(AND(ISNUMBER(E604),ISNUMBER(F604)),E604*F604,"")</f>
        <v/>
      </c>
      <c r="I604" s="43" t="str">
        <f>IF(ISNUMBER(H604),ROUND(MAX(F604*'参数'!$C$11,'参数'!$C$12)+'参数'!$C$13,2),"")</f>
        <v/>
      </c>
      <c r="J604" s="43" t="str">
        <f>IF(ISNUMBER(H604),IF(D604="卖",ROUND(H604*N('参数'!$C$14)+F604*N('参数'!$C$15),2),0),"")</f>
        <v/>
      </c>
      <c r="K604" s="23" t="n"/>
      <c r="L604" s="20" t="str">
        <f>IF(ISNUMBER(K604),K604,IF(ISNUMBER(H604),I604+J604,""))</f>
        <v/>
      </c>
      <c r="M604" s="48" t="str">
        <f>IF(AND(ISNUMBER(E604),ISNUMBER(G604),ISNUMBER(F604)),(E604-G604)*IF(D604="卖",-1,1)*F604,"")</f>
        <v/>
      </c>
      <c r="N604" s="49" t="str">
        <f>IF(A604="","",IFERROR(T(INDEX('交易记录'!$C$5:$C$304,MATCH(A604,'交易记录'!$A$5:$A$304,0))),"编号没找到"))</f>
        <v/>
      </c>
      <c r="O604" s="31" t="n"/>
    </row>
    <row r="605">
      <c r="A605" s="29" t="n"/>
      <c r="B605" s="30" t="n"/>
      <c r="C605" s="47" t="n"/>
      <c r="D605" s="32" t="n"/>
      <c r="E605" s="33" t="n"/>
      <c r="F605" s="36" t="n"/>
      <c r="G605" s="33" t="n"/>
      <c r="H605" s="20" t="str">
        <f>IF(AND(ISNUMBER(E605),ISNUMBER(F605)),E605*F605,"")</f>
        <v/>
      </c>
      <c r="I605" s="43" t="str">
        <f>IF(ISNUMBER(H605),ROUND(MAX(F605*'参数'!$C$11,'参数'!$C$12)+'参数'!$C$13,2),"")</f>
        <v/>
      </c>
      <c r="J605" s="43" t="str">
        <f>IF(ISNUMBER(H605),IF(D605="卖",ROUND(H605*N('参数'!$C$14)+F605*N('参数'!$C$15),2),0),"")</f>
        <v/>
      </c>
      <c r="K605" s="23" t="n"/>
      <c r="L605" s="20" t="str">
        <f>IF(ISNUMBER(K605),K605,IF(ISNUMBER(H605),I605+J605,""))</f>
        <v/>
      </c>
      <c r="M605" s="48" t="str">
        <f>IF(AND(ISNUMBER(E605),ISNUMBER(G605),ISNUMBER(F605)),(E605-G605)*IF(D605="卖",-1,1)*F605,"")</f>
        <v/>
      </c>
      <c r="N605" s="49" t="str">
        <f>IF(A605="","",IFERROR(T(INDEX('交易记录'!$C$5:$C$304,MATCH(A605,'交易记录'!$A$5:$A$304,0))),"编号没找到"))</f>
        <v/>
      </c>
      <c r="O605" s="31" t="n"/>
    </row>
    <row r="606">
      <c r="A606" s="29" t="n"/>
      <c r="B606" s="30" t="n"/>
      <c r="C606" s="47" t="n"/>
      <c r="D606" s="32" t="n"/>
      <c r="E606" s="33" t="n"/>
      <c r="F606" s="36" t="n"/>
      <c r="G606" s="33" t="n"/>
      <c r="H606" s="20" t="str">
        <f>IF(AND(ISNUMBER(E606),ISNUMBER(F606)),E606*F606,"")</f>
        <v/>
      </c>
      <c r="I606" s="43" t="str">
        <f>IF(ISNUMBER(H606),ROUND(MAX(F606*'参数'!$C$11,'参数'!$C$12)+'参数'!$C$13,2),"")</f>
        <v/>
      </c>
      <c r="J606" s="43" t="str">
        <f>IF(ISNUMBER(H606),IF(D606="卖",ROUND(H606*N('参数'!$C$14)+F606*N('参数'!$C$15),2),0),"")</f>
        <v/>
      </c>
      <c r="K606" s="23" t="n"/>
      <c r="L606" s="20" t="str">
        <f>IF(ISNUMBER(K606),K606,IF(ISNUMBER(H606),I606+J606,""))</f>
        <v/>
      </c>
      <c r="M606" s="48" t="str">
        <f>IF(AND(ISNUMBER(E606),ISNUMBER(G606),ISNUMBER(F606)),(E606-G606)*IF(D606="卖",-1,1)*F606,"")</f>
        <v/>
      </c>
      <c r="N606" s="49" t="str">
        <f>IF(A606="","",IFERROR(T(INDEX('交易记录'!$C$5:$C$304,MATCH(A606,'交易记录'!$A$5:$A$304,0))),"编号没找到"))</f>
        <v/>
      </c>
      <c r="O606" s="31" t="n"/>
    </row>
    <row r="607">
      <c r="A607" s="29" t="n"/>
      <c r="B607" s="30" t="n"/>
      <c r="C607" s="47" t="n"/>
      <c r="D607" s="32" t="n"/>
      <c r="E607" s="33" t="n"/>
      <c r="F607" s="36" t="n"/>
      <c r="G607" s="33" t="n"/>
      <c r="H607" s="20" t="str">
        <f>IF(AND(ISNUMBER(E607),ISNUMBER(F607)),E607*F607,"")</f>
        <v/>
      </c>
      <c r="I607" s="43" t="str">
        <f>IF(ISNUMBER(H607),ROUND(MAX(F607*'参数'!$C$11,'参数'!$C$12)+'参数'!$C$13,2),"")</f>
        <v/>
      </c>
      <c r="J607" s="43" t="str">
        <f>IF(ISNUMBER(H607),IF(D607="卖",ROUND(H607*N('参数'!$C$14)+F607*N('参数'!$C$15),2),0),"")</f>
        <v/>
      </c>
      <c r="K607" s="23" t="n"/>
      <c r="L607" s="20" t="str">
        <f>IF(ISNUMBER(K607),K607,IF(ISNUMBER(H607),I607+J607,""))</f>
        <v/>
      </c>
      <c r="M607" s="48" t="str">
        <f>IF(AND(ISNUMBER(E607),ISNUMBER(G607),ISNUMBER(F607)),(E607-G607)*IF(D607="卖",-1,1)*F607,"")</f>
        <v/>
      </c>
      <c r="N607" s="49" t="str">
        <f>IF(A607="","",IFERROR(T(INDEX('交易记录'!$C$5:$C$304,MATCH(A607,'交易记录'!$A$5:$A$304,0))),"编号没找到"))</f>
        <v/>
      </c>
      <c r="O607" s="31" t="n"/>
    </row>
    <row r="608">
      <c r="A608" s="29" t="n"/>
      <c r="B608" s="30" t="n"/>
      <c r="C608" s="47" t="n"/>
      <c r="D608" s="32" t="n"/>
      <c r="E608" s="33" t="n"/>
      <c r="F608" s="36" t="n"/>
      <c r="G608" s="33" t="n"/>
      <c r="H608" s="20" t="str">
        <f>IF(AND(ISNUMBER(E608),ISNUMBER(F608)),E608*F608,"")</f>
        <v/>
      </c>
      <c r="I608" s="43" t="str">
        <f>IF(ISNUMBER(H608),ROUND(MAX(F608*'参数'!$C$11,'参数'!$C$12)+'参数'!$C$13,2),"")</f>
        <v/>
      </c>
      <c r="J608" s="43" t="str">
        <f>IF(ISNUMBER(H608),IF(D608="卖",ROUND(H608*N('参数'!$C$14)+F608*N('参数'!$C$15),2),0),"")</f>
        <v/>
      </c>
      <c r="K608" s="23" t="n"/>
      <c r="L608" s="20" t="str">
        <f>IF(ISNUMBER(K608),K608,IF(ISNUMBER(H608),I608+J608,""))</f>
        <v/>
      </c>
      <c r="M608" s="48" t="str">
        <f>IF(AND(ISNUMBER(E608),ISNUMBER(G608),ISNUMBER(F608)),(E608-G608)*IF(D608="卖",-1,1)*F608,"")</f>
        <v/>
      </c>
      <c r="N608" s="49" t="str">
        <f>IF(A608="","",IFERROR(T(INDEX('交易记录'!$C$5:$C$304,MATCH(A608,'交易记录'!$A$5:$A$304,0))),"编号没找到"))</f>
        <v/>
      </c>
      <c r="O608" s="31" t="n"/>
    </row>
    <row r="609">
      <c r="A609" s="29" t="n"/>
      <c r="B609" s="30" t="n"/>
      <c r="C609" s="47" t="n"/>
      <c r="D609" s="32" t="n"/>
      <c r="E609" s="33" t="n"/>
      <c r="F609" s="36" t="n"/>
      <c r="G609" s="33" t="n"/>
      <c r="H609" s="20" t="str">
        <f>IF(AND(ISNUMBER(E609),ISNUMBER(F609)),E609*F609,"")</f>
        <v/>
      </c>
      <c r="I609" s="43" t="str">
        <f>IF(ISNUMBER(H609),ROUND(MAX(F609*'参数'!$C$11,'参数'!$C$12)+'参数'!$C$13,2),"")</f>
        <v/>
      </c>
      <c r="J609" s="43" t="str">
        <f>IF(ISNUMBER(H609),IF(D609="卖",ROUND(H609*N('参数'!$C$14)+F609*N('参数'!$C$15),2),0),"")</f>
        <v/>
      </c>
      <c r="K609" s="23" t="n"/>
      <c r="L609" s="20" t="str">
        <f>IF(ISNUMBER(K609),K609,IF(ISNUMBER(H609),I609+J609,""))</f>
        <v/>
      </c>
      <c r="M609" s="48" t="str">
        <f>IF(AND(ISNUMBER(E609),ISNUMBER(G609),ISNUMBER(F609)),(E609-G609)*IF(D609="卖",-1,1)*F609,"")</f>
        <v/>
      </c>
      <c r="N609" s="49" t="str">
        <f>IF(A609="","",IFERROR(T(INDEX('交易记录'!$C$5:$C$304,MATCH(A609,'交易记录'!$A$5:$A$304,0))),"编号没找到"))</f>
        <v/>
      </c>
      <c r="O609" s="31" t="n"/>
    </row>
    <row r="610">
      <c r="A610" s="29" t="n"/>
      <c r="B610" s="30" t="n"/>
      <c r="C610" s="47" t="n"/>
      <c r="D610" s="32" t="n"/>
      <c r="E610" s="33" t="n"/>
      <c r="F610" s="36" t="n"/>
      <c r="G610" s="33" t="n"/>
      <c r="H610" s="20" t="str">
        <f>IF(AND(ISNUMBER(E610),ISNUMBER(F610)),E610*F610,"")</f>
        <v/>
      </c>
      <c r="I610" s="43" t="str">
        <f>IF(ISNUMBER(H610),ROUND(MAX(F610*'参数'!$C$11,'参数'!$C$12)+'参数'!$C$13,2),"")</f>
        <v/>
      </c>
      <c r="J610" s="43" t="str">
        <f>IF(ISNUMBER(H610),IF(D610="卖",ROUND(H610*N('参数'!$C$14)+F610*N('参数'!$C$15),2),0),"")</f>
        <v/>
      </c>
      <c r="K610" s="23" t="n"/>
      <c r="L610" s="20" t="str">
        <f>IF(ISNUMBER(K610),K610,IF(ISNUMBER(H610),I610+J610,""))</f>
        <v/>
      </c>
      <c r="M610" s="48" t="str">
        <f>IF(AND(ISNUMBER(E610),ISNUMBER(G610),ISNUMBER(F610)),(E610-G610)*IF(D610="卖",-1,1)*F610,"")</f>
        <v/>
      </c>
      <c r="N610" s="49" t="str">
        <f>IF(A610="","",IFERROR(T(INDEX('交易记录'!$C$5:$C$304,MATCH(A610,'交易记录'!$A$5:$A$304,0))),"编号没找到"))</f>
        <v/>
      </c>
      <c r="O610" s="31" t="n"/>
    </row>
    <row r="611">
      <c r="A611" s="29" t="n"/>
      <c r="B611" s="30" t="n"/>
      <c r="C611" s="47" t="n"/>
      <c r="D611" s="32" t="n"/>
      <c r="E611" s="33" t="n"/>
      <c r="F611" s="36" t="n"/>
      <c r="G611" s="33" t="n"/>
      <c r="H611" s="20" t="str">
        <f>IF(AND(ISNUMBER(E611),ISNUMBER(F611)),E611*F611,"")</f>
        <v/>
      </c>
      <c r="I611" s="43" t="str">
        <f>IF(ISNUMBER(H611),ROUND(MAX(F611*'参数'!$C$11,'参数'!$C$12)+'参数'!$C$13,2),"")</f>
        <v/>
      </c>
      <c r="J611" s="43" t="str">
        <f>IF(ISNUMBER(H611),IF(D611="卖",ROUND(H611*N('参数'!$C$14)+F611*N('参数'!$C$15),2),0),"")</f>
        <v/>
      </c>
      <c r="K611" s="23" t="n"/>
      <c r="L611" s="20" t="str">
        <f>IF(ISNUMBER(K611),K611,IF(ISNUMBER(H611),I611+J611,""))</f>
        <v/>
      </c>
      <c r="M611" s="48" t="str">
        <f>IF(AND(ISNUMBER(E611),ISNUMBER(G611),ISNUMBER(F611)),(E611-G611)*IF(D611="卖",-1,1)*F611,"")</f>
        <v/>
      </c>
      <c r="N611" s="49" t="str">
        <f>IF(A611="","",IFERROR(T(INDEX('交易记录'!$C$5:$C$304,MATCH(A611,'交易记录'!$A$5:$A$304,0))),"编号没找到"))</f>
        <v/>
      </c>
      <c r="O611" s="31" t="n"/>
    </row>
    <row r="612">
      <c r="A612" s="29" t="n"/>
      <c r="B612" s="30" t="n"/>
      <c r="C612" s="47" t="n"/>
      <c r="D612" s="32" t="n"/>
      <c r="E612" s="33" t="n"/>
      <c r="F612" s="36" t="n"/>
      <c r="G612" s="33" t="n"/>
      <c r="H612" s="20" t="str">
        <f>IF(AND(ISNUMBER(E612),ISNUMBER(F612)),E612*F612,"")</f>
        <v/>
      </c>
      <c r="I612" s="43" t="str">
        <f>IF(ISNUMBER(H612),ROUND(MAX(F612*'参数'!$C$11,'参数'!$C$12)+'参数'!$C$13,2),"")</f>
        <v/>
      </c>
      <c r="J612" s="43" t="str">
        <f>IF(ISNUMBER(H612),IF(D612="卖",ROUND(H612*N('参数'!$C$14)+F612*N('参数'!$C$15),2),0),"")</f>
        <v/>
      </c>
      <c r="K612" s="23" t="n"/>
      <c r="L612" s="20" t="str">
        <f>IF(ISNUMBER(K612),K612,IF(ISNUMBER(H612),I612+J612,""))</f>
        <v/>
      </c>
      <c r="M612" s="48" t="str">
        <f>IF(AND(ISNUMBER(E612),ISNUMBER(G612),ISNUMBER(F612)),(E612-G612)*IF(D612="卖",-1,1)*F612,"")</f>
        <v/>
      </c>
      <c r="N612" s="49" t="str">
        <f>IF(A612="","",IFERROR(T(INDEX('交易记录'!$C$5:$C$304,MATCH(A612,'交易记录'!$A$5:$A$304,0))),"编号没找到"))</f>
        <v/>
      </c>
      <c r="O612" s="31" t="n"/>
    </row>
    <row r="613">
      <c r="A613" s="29" t="n"/>
      <c r="B613" s="30" t="n"/>
      <c r="C613" s="47" t="n"/>
      <c r="D613" s="32" t="n"/>
      <c r="E613" s="33" t="n"/>
      <c r="F613" s="36" t="n"/>
      <c r="G613" s="33" t="n"/>
      <c r="H613" s="20" t="str">
        <f>IF(AND(ISNUMBER(E613),ISNUMBER(F613)),E613*F613,"")</f>
        <v/>
      </c>
      <c r="I613" s="43" t="str">
        <f>IF(ISNUMBER(H613),ROUND(MAX(F613*'参数'!$C$11,'参数'!$C$12)+'参数'!$C$13,2),"")</f>
        <v/>
      </c>
      <c r="J613" s="43" t="str">
        <f>IF(ISNUMBER(H613),IF(D613="卖",ROUND(H613*N('参数'!$C$14)+F613*N('参数'!$C$15),2),0),"")</f>
        <v/>
      </c>
      <c r="K613" s="23" t="n"/>
      <c r="L613" s="20" t="str">
        <f>IF(ISNUMBER(K613),K613,IF(ISNUMBER(H613),I613+J613,""))</f>
        <v/>
      </c>
      <c r="M613" s="48" t="str">
        <f>IF(AND(ISNUMBER(E613),ISNUMBER(G613),ISNUMBER(F613)),(E613-G613)*IF(D613="卖",-1,1)*F613,"")</f>
        <v/>
      </c>
      <c r="N613" s="49" t="str">
        <f>IF(A613="","",IFERROR(T(INDEX('交易记录'!$C$5:$C$304,MATCH(A613,'交易记录'!$A$5:$A$304,0))),"编号没找到"))</f>
        <v/>
      </c>
      <c r="O613" s="31" t="n"/>
    </row>
    <row r="614">
      <c r="A614" s="29" t="n"/>
      <c r="B614" s="30" t="n"/>
      <c r="C614" s="47" t="n"/>
      <c r="D614" s="32" t="n"/>
      <c r="E614" s="33" t="n"/>
      <c r="F614" s="36" t="n"/>
      <c r="G614" s="33" t="n"/>
      <c r="H614" s="20" t="str">
        <f>IF(AND(ISNUMBER(E614),ISNUMBER(F614)),E614*F614,"")</f>
        <v/>
      </c>
      <c r="I614" s="43" t="str">
        <f>IF(ISNUMBER(H614),ROUND(MAX(F614*'参数'!$C$11,'参数'!$C$12)+'参数'!$C$13,2),"")</f>
        <v/>
      </c>
      <c r="J614" s="43" t="str">
        <f>IF(ISNUMBER(H614),IF(D614="卖",ROUND(H614*N('参数'!$C$14)+F614*N('参数'!$C$15),2),0),"")</f>
        <v/>
      </c>
      <c r="K614" s="23" t="n"/>
      <c r="L614" s="20" t="str">
        <f>IF(ISNUMBER(K614),K614,IF(ISNUMBER(H614),I614+J614,""))</f>
        <v/>
      </c>
      <c r="M614" s="48" t="str">
        <f>IF(AND(ISNUMBER(E614),ISNUMBER(G614),ISNUMBER(F614)),(E614-G614)*IF(D614="卖",-1,1)*F614,"")</f>
        <v/>
      </c>
      <c r="N614" s="49" t="str">
        <f>IF(A614="","",IFERROR(T(INDEX('交易记录'!$C$5:$C$304,MATCH(A614,'交易记录'!$A$5:$A$304,0))),"编号没找到"))</f>
        <v/>
      </c>
      <c r="O614" s="31" t="n"/>
    </row>
    <row r="615">
      <c r="A615" s="29" t="n"/>
      <c r="B615" s="30" t="n"/>
      <c r="C615" s="47" t="n"/>
      <c r="D615" s="32" t="n"/>
      <c r="E615" s="33" t="n"/>
      <c r="F615" s="36" t="n"/>
      <c r="G615" s="33" t="n"/>
      <c r="H615" s="20" t="str">
        <f>IF(AND(ISNUMBER(E615),ISNUMBER(F615)),E615*F615,"")</f>
        <v/>
      </c>
      <c r="I615" s="43" t="str">
        <f>IF(ISNUMBER(H615),ROUND(MAX(F615*'参数'!$C$11,'参数'!$C$12)+'参数'!$C$13,2),"")</f>
        <v/>
      </c>
      <c r="J615" s="43" t="str">
        <f>IF(ISNUMBER(H615),IF(D615="卖",ROUND(H615*N('参数'!$C$14)+F615*N('参数'!$C$15),2),0),"")</f>
        <v/>
      </c>
      <c r="K615" s="23" t="n"/>
      <c r="L615" s="20" t="str">
        <f>IF(ISNUMBER(K615),K615,IF(ISNUMBER(H615),I615+J615,""))</f>
        <v/>
      </c>
      <c r="M615" s="48" t="str">
        <f>IF(AND(ISNUMBER(E615),ISNUMBER(G615),ISNUMBER(F615)),(E615-G615)*IF(D615="卖",-1,1)*F615,"")</f>
        <v/>
      </c>
      <c r="N615" s="49" t="str">
        <f>IF(A615="","",IFERROR(T(INDEX('交易记录'!$C$5:$C$304,MATCH(A615,'交易记录'!$A$5:$A$304,0))),"编号没找到"))</f>
        <v/>
      </c>
      <c r="O615" s="31" t="n"/>
    </row>
    <row r="616">
      <c r="A616" s="29" t="n"/>
      <c r="B616" s="30" t="n"/>
      <c r="C616" s="47" t="n"/>
      <c r="D616" s="32" t="n"/>
      <c r="E616" s="33" t="n"/>
      <c r="F616" s="36" t="n"/>
      <c r="G616" s="33" t="n"/>
      <c r="H616" s="20" t="str">
        <f>IF(AND(ISNUMBER(E616),ISNUMBER(F616)),E616*F616,"")</f>
        <v/>
      </c>
      <c r="I616" s="43" t="str">
        <f>IF(ISNUMBER(H616),ROUND(MAX(F616*'参数'!$C$11,'参数'!$C$12)+'参数'!$C$13,2),"")</f>
        <v/>
      </c>
      <c r="J616" s="43" t="str">
        <f>IF(ISNUMBER(H616),IF(D616="卖",ROUND(H616*N('参数'!$C$14)+F616*N('参数'!$C$15),2),0),"")</f>
        <v/>
      </c>
      <c r="K616" s="23" t="n"/>
      <c r="L616" s="20" t="str">
        <f>IF(ISNUMBER(K616),K616,IF(ISNUMBER(H616),I616+J616,""))</f>
        <v/>
      </c>
      <c r="M616" s="48" t="str">
        <f>IF(AND(ISNUMBER(E616),ISNUMBER(G616),ISNUMBER(F616)),(E616-G616)*IF(D616="卖",-1,1)*F616,"")</f>
        <v/>
      </c>
      <c r="N616" s="49" t="str">
        <f>IF(A616="","",IFERROR(T(INDEX('交易记录'!$C$5:$C$304,MATCH(A616,'交易记录'!$A$5:$A$304,0))),"编号没找到"))</f>
        <v/>
      </c>
      <c r="O616" s="31" t="n"/>
    </row>
    <row r="617">
      <c r="A617" s="29" t="n"/>
      <c r="B617" s="30" t="n"/>
      <c r="C617" s="47" t="n"/>
      <c r="D617" s="32" t="n"/>
      <c r="E617" s="33" t="n"/>
      <c r="F617" s="36" t="n"/>
      <c r="G617" s="33" t="n"/>
      <c r="H617" s="20" t="str">
        <f>IF(AND(ISNUMBER(E617),ISNUMBER(F617)),E617*F617,"")</f>
        <v/>
      </c>
      <c r="I617" s="43" t="str">
        <f>IF(ISNUMBER(H617),ROUND(MAX(F617*'参数'!$C$11,'参数'!$C$12)+'参数'!$C$13,2),"")</f>
        <v/>
      </c>
      <c r="J617" s="43" t="str">
        <f>IF(ISNUMBER(H617),IF(D617="卖",ROUND(H617*N('参数'!$C$14)+F617*N('参数'!$C$15),2),0),"")</f>
        <v/>
      </c>
      <c r="K617" s="23" t="n"/>
      <c r="L617" s="20" t="str">
        <f>IF(ISNUMBER(K617),K617,IF(ISNUMBER(H617),I617+J617,""))</f>
        <v/>
      </c>
      <c r="M617" s="48" t="str">
        <f>IF(AND(ISNUMBER(E617),ISNUMBER(G617),ISNUMBER(F617)),(E617-G617)*IF(D617="卖",-1,1)*F617,"")</f>
        <v/>
      </c>
      <c r="N617" s="49" t="str">
        <f>IF(A617="","",IFERROR(T(INDEX('交易记录'!$C$5:$C$304,MATCH(A617,'交易记录'!$A$5:$A$304,0))),"编号没找到"))</f>
        <v/>
      </c>
      <c r="O617" s="31" t="n"/>
    </row>
    <row r="618">
      <c r="A618" s="29" t="n"/>
      <c r="B618" s="30" t="n"/>
      <c r="C618" s="47" t="n"/>
      <c r="D618" s="32" t="n"/>
      <c r="E618" s="33" t="n"/>
      <c r="F618" s="36" t="n"/>
      <c r="G618" s="33" t="n"/>
      <c r="H618" s="20" t="str">
        <f>IF(AND(ISNUMBER(E618),ISNUMBER(F618)),E618*F618,"")</f>
        <v/>
      </c>
      <c r="I618" s="43" t="str">
        <f>IF(ISNUMBER(H618),ROUND(MAX(F618*'参数'!$C$11,'参数'!$C$12)+'参数'!$C$13,2),"")</f>
        <v/>
      </c>
      <c r="J618" s="43" t="str">
        <f>IF(ISNUMBER(H618),IF(D618="卖",ROUND(H618*N('参数'!$C$14)+F618*N('参数'!$C$15),2),0),"")</f>
        <v/>
      </c>
      <c r="K618" s="23" t="n"/>
      <c r="L618" s="20" t="str">
        <f>IF(ISNUMBER(K618),K618,IF(ISNUMBER(H618),I618+J618,""))</f>
        <v/>
      </c>
      <c r="M618" s="48" t="str">
        <f>IF(AND(ISNUMBER(E618),ISNUMBER(G618),ISNUMBER(F618)),(E618-G618)*IF(D618="卖",-1,1)*F618,"")</f>
        <v/>
      </c>
      <c r="N618" s="49" t="str">
        <f>IF(A618="","",IFERROR(T(INDEX('交易记录'!$C$5:$C$304,MATCH(A618,'交易记录'!$A$5:$A$304,0))),"编号没找到"))</f>
        <v/>
      </c>
      <c r="O618" s="31" t="n"/>
    </row>
    <row r="619">
      <c r="A619" s="29" t="n"/>
      <c r="B619" s="30" t="n"/>
      <c r="C619" s="47" t="n"/>
      <c r="D619" s="32" t="n"/>
      <c r="E619" s="33" t="n"/>
      <c r="F619" s="36" t="n"/>
      <c r="G619" s="33" t="n"/>
      <c r="H619" s="20" t="str">
        <f>IF(AND(ISNUMBER(E619),ISNUMBER(F619)),E619*F619,"")</f>
        <v/>
      </c>
      <c r="I619" s="43" t="str">
        <f>IF(ISNUMBER(H619),ROUND(MAX(F619*'参数'!$C$11,'参数'!$C$12)+'参数'!$C$13,2),"")</f>
        <v/>
      </c>
      <c r="J619" s="43" t="str">
        <f>IF(ISNUMBER(H619),IF(D619="卖",ROUND(H619*N('参数'!$C$14)+F619*N('参数'!$C$15),2),0),"")</f>
        <v/>
      </c>
      <c r="K619" s="23" t="n"/>
      <c r="L619" s="20" t="str">
        <f>IF(ISNUMBER(K619),K619,IF(ISNUMBER(H619),I619+J619,""))</f>
        <v/>
      </c>
      <c r="M619" s="48" t="str">
        <f>IF(AND(ISNUMBER(E619),ISNUMBER(G619),ISNUMBER(F619)),(E619-G619)*IF(D619="卖",-1,1)*F619,"")</f>
        <v/>
      </c>
      <c r="N619" s="49" t="str">
        <f>IF(A619="","",IFERROR(T(INDEX('交易记录'!$C$5:$C$304,MATCH(A619,'交易记录'!$A$5:$A$304,0))),"编号没找到"))</f>
        <v/>
      </c>
      <c r="O619" s="31" t="n"/>
    </row>
    <row r="620">
      <c r="A620" s="29" t="n"/>
      <c r="B620" s="30" t="n"/>
      <c r="C620" s="47" t="n"/>
      <c r="D620" s="32" t="n"/>
      <c r="E620" s="33" t="n"/>
      <c r="F620" s="36" t="n"/>
      <c r="G620" s="33" t="n"/>
      <c r="H620" s="20" t="str">
        <f>IF(AND(ISNUMBER(E620),ISNUMBER(F620)),E620*F620,"")</f>
        <v/>
      </c>
      <c r="I620" s="43" t="str">
        <f>IF(ISNUMBER(H620),ROUND(MAX(F620*'参数'!$C$11,'参数'!$C$12)+'参数'!$C$13,2),"")</f>
        <v/>
      </c>
      <c r="J620" s="43" t="str">
        <f>IF(ISNUMBER(H620),IF(D620="卖",ROUND(H620*N('参数'!$C$14)+F620*N('参数'!$C$15),2),0),"")</f>
        <v/>
      </c>
      <c r="K620" s="23" t="n"/>
      <c r="L620" s="20" t="str">
        <f>IF(ISNUMBER(K620),K620,IF(ISNUMBER(H620),I620+J620,""))</f>
        <v/>
      </c>
      <c r="M620" s="48" t="str">
        <f>IF(AND(ISNUMBER(E620),ISNUMBER(G620),ISNUMBER(F620)),(E620-G620)*IF(D620="卖",-1,1)*F620,"")</f>
        <v/>
      </c>
      <c r="N620" s="49" t="str">
        <f>IF(A620="","",IFERROR(T(INDEX('交易记录'!$C$5:$C$304,MATCH(A620,'交易记录'!$A$5:$A$304,0))),"编号没找到"))</f>
        <v/>
      </c>
      <c r="O620" s="31" t="n"/>
    </row>
    <row r="621">
      <c r="A621" s="29" t="n"/>
      <c r="B621" s="30" t="n"/>
      <c r="C621" s="47" t="n"/>
      <c r="D621" s="32" t="n"/>
      <c r="E621" s="33" t="n"/>
      <c r="F621" s="36" t="n"/>
      <c r="G621" s="33" t="n"/>
      <c r="H621" s="20" t="str">
        <f>IF(AND(ISNUMBER(E621),ISNUMBER(F621)),E621*F621,"")</f>
        <v/>
      </c>
      <c r="I621" s="43" t="str">
        <f>IF(ISNUMBER(H621),ROUND(MAX(F621*'参数'!$C$11,'参数'!$C$12)+'参数'!$C$13,2),"")</f>
        <v/>
      </c>
      <c r="J621" s="43" t="str">
        <f>IF(ISNUMBER(H621),IF(D621="卖",ROUND(H621*N('参数'!$C$14)+F621*N('参数'!$C$15),2),0),"")</f>
        <v/>
      </c>
      <c r="K621" s="23" t="n"/>
      <c r="L621" s="20" t="str">
        <f>IF(ISNUMBER(K621),K621,IF(ISNUMBER(H621),I621+J621,""))</f>
        <v/>
      </c>
      <c r="M621" s="48" t="str">
        <f>IF(AND(ISNUMBER(E621),ISNUMBER(G621),ISNUMBER(F621)),(E621-G621)*IF(D621="卖",-1,1)*F621,"")</f>
        <v/>
      </c>
      <c r="N621" s="49" t="str">
        <f>IF(A621="","",IFERROR(T(INDEX('交易记录'!$C$5:$C$304,MATCH(A621,'交易记录'!$A$5:$A$304,0))),"编号没找到"))</f>
        <v/>
      </c>
      <c r="O621" s="31" t="n"/>
    </row>
    <row r="622">
      <c r="A622" s="29" t="n"/>
      <c r="B622" s="30" t="n"/>
      <c r="C622" s="47" t="n"/>
      <c r="D622" s="32" t="n"/>
      <c r="E622" s="33" t="n"/>
      <c r="F622" s="36" t="n"/>
      <c r="G622" s="33" t="n"/>
      <c r="H622" s="20" t="str">
        <f>IF(AND(ISNUMBER(E622),ISNUMBER(F622)),E622*F622,"")</f>
        <v/>
      </c>
      <c r="I622" s="43" t="str">
        <f>IF(ISNUMBER(H622),ROUND(MAX(F622*'参数'!$C$11,'参数'!$C$12)+'参数'!$C$13,2),"")</f>
        <v/>
      </c>
      <c r="J622" s="43" t="str">
        <f>IF(ISNUMBER(H622),IF(D622="卖",ROUND(H622*N('参数'!$C$14)+F622*N('参数'!$C$15),2),0),"")</f>
        <v/>
      </c>
      <c r="K622" s="23" t="n"/>
      <c r="L622" s="20" t="str">
        <f>IF(ISNUMBER(K622),K622,IF(ISNUMBER(H622),I622+J622,""))</f>
        <v/>
      </c>
      <c r="M622" s="48" t="str">
        <f>IF(AND(ISNUMBER(E622),ISNUMBER(G622),ISNUMBER(F622)),(E622-G622)*IF(D622="卖",-1,1)*F622,"")</f>
        <v/>
      </c>
      <c r="N622" s="49" t="str">
        <f>IF(A622="","",IFERROR(T(INDEX('交易记录'!$C$5:$C$304,MATCH(A622,'交易记录'!$A$5:$A$304,0))),"编号没找到"))</f>
        <v/>
      </c>
      <c r="O622" s="31" t="n"/>
    </row>
    <row r="623">
      <c r="A623" s="29" t="n"/>
      <c r="B623" s="30" t="n"/>
      <c r="C623" s="47" t="n"/>
      <c r="D623" s="32" t="n"/>
      <c r="E623" s="33" t="n"/>
      <c r="F623" s="36" t="n"/>
      <c r="G623" s="33" t="n"/>
      <c r="H623" s="20" t="str">
        <f>IF(AND(ISNUMBER(E623),ISNUMBER(F623)),E623*F623,"")</f>
        <v/>
      </c>
      <c r="I623" s="43" t="str">
        <f>IF(ISNUMBER(H623),ROUND(MAX(F623*'参数'!$C$11,'参数'!$C$12)+'参数'!$C$13,2),"")</f>
        <v/>
      </c>
      <c r="J623" s="43" t="str">
        <f>IF(ISNUMBER(H623),IF(D623="卖",ROUND(H623*N('参数'!$C$14)+F623*N('参数'!$C$15),2),0),"")</f>
        <v/>
      </c>
      <c r="K623" s="23" t="n"/>
      <c r="L623" s="20" t="str">
        <f>IF(ISNUMBER(K623),K623,IF(ISNUMBER(H623),I623+J623,""))</f>
        <v/>
      </c>
      <c r="M623" s="48" t="str">
        <f>IF(AND(ISNUMBER(E623),ISNUMBER(G623),ISNUMBER(F623)),(E623-G623)*IF(D623="卖",-1,1)*F623,"")</f>
        <v/>
      </c>
      <c r="N623" s="49" t="str">
        <f>IF(A623="","",IFERROR(T(INDEX('交易记录'!$C$5:$C$304,MATCH(A623,'交易记录'!$A$5:$A$304,0))),"编号没找到"))</f>
        <v/>
      </c>
      <c r="O623" s="31" t="n"/>
    </row>
    <row r="624">
      <c r="A624" s="29" t="n"/>
      <c r="B624" s="30" t="n"/>
      <c r="C624" s="47" t="n"/>
      <c r="D624" s="32" t="n"/>
      <c r="E624" s="33" t="n"/>
      <c r="F624" s="36" t="n"/>
      <c r="G624" s="33" t="n"/>
      <c r="H624" s="20" t="str">
        <f>IF(AND(ISNUMBER(E624),ISNUMBER(F624)),E624*F624,"")</f>
        <v/>
      </c>
      <c r="I624" s="43" t="str">
        <f>IF(ISNUMBER(H624),ROUND(MAX(F624*'参数'!$C$11,'参数'!$C$12)+'参数'!$C$13,2),"")</f>
        <v/>
      </c>
      <c r="J624" s="43" t="str">
        <f>IF(ISNUMBER(H624),IF(D624="卖",ROUND(H624*N('参数'!$C$14)+F624*N('参数'!$C$15),2),0),"")</f>
        <v/>
      </c>
      <c r="K624" s="23" t="n"/>
      <c r="L624" s="20" t="str">
        <f>IF(ISNUMBER(K624),K624,IF(ISNUMBER(H624),I624+J624,""))</f>
        <v/>
      </c>
      <c r="M624" s="48" t="str">
        <f>IF(AND(ISNUMBER(E624),ISNUMBER(G624),ISNUMBER(F624)),(E624-G624)*IF(D624="卖",-1,1)*F624,"")</f>
        <v/>
      </c>
      <c r="N624" s="49" t="str">
        <f>IF(A624="","",IFERROR(T(INDEX('交易记录'!$C$5:$C$304,MATCH(A624,'交易记录'!$A$5:$A$304,0))),"编号没找到"))</f>
        <v/>
      </c>
      <c r="O624" s="31" t="n"/>
    </row>
    <row r="625">
      <c r="A625" s="29" t="n"/>
      <c r="B625" s="30" t="n"/>
      <c r="C625" s="47" t="n"/>
      <c r="D625" s="32" t="n"/>
      <c r="E625" s="33" t="n"/>
      <c r="F625" s="36" t="n"/>
      <c r="G625" s="33" t="n"/>
      <c r="H625" s="20" t="str">
        <f>IF(AND(ISNUMBER(E625),ISNUMBER(F625)),E625*F625,"")</f>
        <v/>
      </c>
      <c r="I625" s="43" t="str">
        <f>IF(ISNUMBER(H625),ROUND(MAX(F625*'参数'!$C$11,'参数'!$C$12)+'参数'!$C$13,2),"")</f>
        <v/>
      </c>
      <c r="J625" s="43" t="str">
        <f>IF(ISNUMBER(H625),IF(D625="卖",ROUND(H625*N('参数'!$C$14)+F625*N('参数'!$C$15),2),0),"")</f>
        <v/>
      </c>
      <c r="K625" s="23" t="n"/>
      <c r="L625" s="20" t="str">
        <f>IF(ISNUMBER(K625),K625,IF(ISNUMBER(H625),I625+J625,""))</f>
        <v/>
      </c>
      <c r="M625" s="48" t="str">
        <f>IF(AND(ISNUMBER(E625),ISNUMBER(G625),ISNUMBER(F625)),(E625-G625)*IF(D625="卖",-1,1)*F625,"")</f>
        <v/>
      </c>
      <c r="N625" s="49" t="str">
        <f>IF(A625="","",IFERROR(T(INDEX('交易记录'!$C$5:$C$304,MATCH(A625,'交易记录'!$A$5:$A$304,0))),"编号没找到"))</f>
        <v/>
      </c>
      <c r="O625" s="31" t="n"/>
    </row>
    <row r="626">
      <c r="A626" s="29" t="n"/>
      <c r="B626" s="30" t="n"/>
      <c r="C626" s="47" t="n"/>
      <c r="D626" s="32" t="n"/>
      <c r="E626" s="33" t="n"/>
      <c r="F626" s="36" t="n"/>
      <c r="G626" s="33" t="n"/>
      <c r="H626" s="20" t="str">
        <f>IF(AND(ISNUMBER(E626),ISNUMBER(F626)),E626*F626,"")</f>
        <v/>
      </c>
      <c r="I626" s="43" t="str">
        <f>IF(ISNUMBER(H626),ROUND(MAX(F626*'参数'!$C$11,'参数'!$C$12)+'参数'!$C$13,2),"")</f>
        <v/>
      </c>
      <c r="J626" s="43" t="str">
        <f>IF(ISNUMBER(H626),IF(D626="卖",ROUND(H626*N('参数'!$C$14)+F626*N('参数'!$C$15),2),0),"")</f>
        <v/>
      </c>
      <c r="K626" s="23" t="n"/>
      <c r="L626" s="20" t="str">
        <f>IF(ISNUMBER(K626),K626,IF(ISNUMBER(H626),I626+J626,""))</f>
        <v/>
      </c>
      <c r="M626" s="48" t="str">
        <f>IF(AND(ISNUMBER(E626),ISNUMBER(G626),ISNUMBER(F626)),(E626-G626)*IF(D626="卖",-1,1)*F626,"")</f>
        <v/>
      </c>
      <c r="N626" s="49" t="str">
        <f>IF(A626="","",IFERROR(T(INDEX('交易记录'!$C$5:$C$304,MATCH(A626,'交易记录'!$A$5:$A$304,0))),"编号没找到"))</f>
        <v/>
      </c>
      <c r="O626" s="31" t="n"/>
    </row>
    <row r="627">
      <c r="A627" s="29" t="n"/>
      <c r="B627" s="30" t="n"/>
      <c r="C627" s="47" t="n"/>
      <c r="D627" s="32" t="n"/>
      <c r="E627" s="33" t="n"/>
      <c r="F627" s="36" t="n"/>
      <c r="G627" s="33" t="n"/>
      <c r="H627" s="20" t="str">
        <f>IF(AND(ISNUMBER(E627),ISNUMBER(F627)),E627*F627,"")</f>
        <v/>
      </c>
      <c r="I627" s="43" t="str">
        <f>IF(ISNUMBER(H627),ROUND(MAX(F627*'参数'!$C$11,'参数'!$C$12)+'参数'!$C$13,2),"")</f>
        <v/>
      </c>
      <c r="J627" s="43" t="str">
        <f>IF(ISNUMBER(H627),IF(D627="卖",ROUND(H627*N('参数'!$C$14)+F627*N('参数'!$C$15),2),0),"")</f>
        <v/>
      </c>
      <c r="K627" s="23" t="n"/>
      <c r="L627" s="20" t="str">
        <f>IF(ISNUMBER(K627),K627,IF(ISNUMBER(H627),I627+J627,""))</f>
        <v/>
      </c>
      <c r="M627" s="48" t="str">
        <f>IF(AND(ISNUMBER(E627),ISNUMBER(G627),ISNUMBER(F627)),(E627-G627)*IF(D627="卖",-1,1)*F627,"")</f>
        <v/>
      </c>
      <c r="N627" s="49" t="str">
        <f>IF(A627="","",IFERROR(T(INDEX('交易记录'!$C$5:$C$304,MATCH(A627,'交易记录'!$A$5:$A$304,0))),"编号没找到"))</f>
        <v/>
      </c>
      <c r="O627" s="31" t="n"/>
    </row>
    <row r="628">
      <c r="A628" s="29" t="n"/>
      <c r="B628" s="30" t="n"/>
      <c r="C628" s="47" t="n"/>
      <c r="D628" s="32" t="n"/>
      <c r="E628" s="33" t="n"/>
      <c r="F628" s="36" t="n"/>
      <c r="G628" s="33" t="n"/>
      <c r="H628" s="20" t="str">
        <f>IF(AND(ISNUMBER(E628),ISNUMBER(F628)),E628*F628,"")</f>
        <v/>
      </c>
      <c r="I628" s="43" t="str">
        <f>IF(ISNUMBER(H628),ROUND(MAX(F628*'参数'!$C$11,'参数'!$C$12)+'参数'!$C$13,2),"")</f>
        <v/>
      </c>
      <c r="J628" s="43" t="str">
        <f>IF(ISNUMBER(H628),IF(D628="卖",ROUND(H628*N('参数'!$C$14)+F628*N('参数'!$C$15),2),0),"")</f>
        <v/>
      </c>
      <c r="K628" s="23" t="n"/>
      <c r="L628" s="20" t="str">
        <f>IF(ISNUMBER(K628),K628,IF(ISNUMBER(H628),I628+J628,""))</f>
        <v/>
      </c>
      <c r="M628" s="48" t="str">
        <f>IF(AND(ISNUMBER(E628),ISNUMBER(G628),ISNUMBER(F628)),(E628-G628)*IF(D628="卖",-1,1)*F628,"")</f>
        <v/>
      </c>
      <c r="N628" s="49" t="str">
        <f>IF(A628="","",IFERROR(T(INDEX('交易记录'!$C$5:$C$304,MATCH(A628,'交易记录'!$A$5:$A$304,0))),"编号没找到"))</f>
        <v/>
      </c>
      <c r="O628" s="31" t="n"/>
    </row>
    <row r="629">
      <c r="A629" s="29" t="n"/>
      <c r="B629" s="30" t="n"/>
      <c r="C629" s="47" t="n"/>
      <c r="D629" s="32" t="n"/>
      <c r="E629" s="33" t="n"/>
      <c r="F629" s="36" t="n"/>
      <c r="G629" s="33" t="n"/>
      <c r="H629" s="20" t="str">
        <f>IF(AND(ISNUMBER(E629),ISNUMBER(F629)),E629*F629,"")</f>
        <v/>
      </c>
      <c r="I629" s="43" t="str">
        <f>IF(ISNUMBER(H629),ROUND(MAX(F629*'参数'!$C$11,'参数'!$C$12)+'参数'!$C$13,2),"")</f>
        <v/>
      </c>
      <c r="J629" s="43" t="str">
        <f>IF(ISNUMBER(H629),IF(D629="卖",ROUND(H629*N('参数'!$C$14)+F629*N('参数'!$C$15),2),0),"")</f>
        <v/>
      </c>
      <c r="K629" s="23" t="n"/>
      <c r="L629" s="20" t="str">
        <f>IF(ISNUMBER(K629),K629,IF(ISNUMBER(H629),I629+J629,""))</f>
        <v/>
      </c>
      <c r="M629" s="48" t="str">
        <f>IF(AND(ISNUMBER(E629),ISNUMBER(G629),ISNUMBER(F629)),(E629-G629)*IF(D629="卖",-1,1)*F629,"")</f>
        <v/>
      </c>
      <c r="N629" s="49" t="str">
        <f>IF(A629="","",IFERROR(T(INDEX('交易记录'!$C$5:$C$304,MATCH(A629,'交易记录'!$A$5:$A$304,0))),"编号没找到"))</f>
        <v/>
      </c>
      <c r="O629" s="31" t="n"/>
    </row>
    <row r="630">
      <c r="A630" s="29" t="n"/>
      <c r="B630" s="30" t="n"/>
      <c r="C630" s="47" t="n"/>
      <c r="D630" s="32" t="n"/>
      <c r="E630" s="33" t="n"/>
      <c r="F630" s="36" t="n"/>
      <c r="G630" s="33" t="n"/>
      <c r="H630" s="20" t="str">
        <f>IF(AND(ISNUMBER(E630),ISNUMBER(F630)),E630*F630,"")</f>
        <v/>
      </c>
      <c r="I630" s="43" t="str">
        <f>IF(ISNUMBER(H630),ROUND(MAX(F630*'参数'!$C$11,'参数'!$C$12)+'参数'!$C$13,2),"")</f>
        <v/>
      </c>
      <c r="J630" s="43" t="str">
        <f>IF(ISNUMBER(H630),IF(D630="卖",ROUND(H630*N('参数'!$C$14)+F630*N('参数'!$C$15),2),0),"")</f>
        <v/>
      </c>
      <c r="K630" s="23" t="n"/>
      <c r="L630" s="20" t="str">
        <f>IF(ISNUMBER(K630),K630,IF(ISNUMBER(H630),I630+J630,""))</f>
        <v/>
      </c>
      <c r="M630" s="48" t="str">
        <f>IF(AND(ISNUMBER(E630),ISNUMBER(G630),ISNUMBER(F630)),(E630-G630)*IF(D630="卖",-1,1)*F630,"")</f>
        <v/>
      </c>
      <c r="N630" s="49" t="str">
        <f>IF(A630="","",IFERROR(T(INDEX('交易记录'!$C$5:$C$304,MATCH(A630,'交易记录'!$A$5:$A$304,0))),"编号没找到"))</f>
        <v/>
      </c>
      <c r="O630" s="31" t="n"/>
    </row>
    <row r="631">
      <c r="A631" s="29" t="n"/>
      <c r="B631" s="30" t="n"/>
      <c r="C631" s="47" t="n"/>
      <c r="D631" s="32" t="n"/>
      <c r="E631" s="33" t="n"/>
      <c r="F631" s="36" t="n"/>
      <c r="G631" s="33" t="n"/>
      <c r="H631" s="20" t="str">
        <f>IF(AND(ISNUMBER(E631),ISNUMBER(F631)),E631*F631,"")</f>
        <v/>
      </c>
      <c r="I631" s="43" t="str">
        <f>IF(ISNUMBER(H631),ROUND(MAX(F631*'参数'!$C$11,'参数'!$C$12)+'参数'!$C$13,2),"")</f>
        <v/>
      </c>
      <c r="J631" s="43" t="str">
        <f>IF(ISNUMBER(H631),IF(D631="卖",ROUND(H631*N('参数'!$C$14)+F631*N('参数'!$C$15),2),0),"")</f>
        <v/>
      </c>
      <c r="K631" s="23" t="n"/>
      <c r="L631" s="20" t="str">
        <f>IF(ISNUMBER(K631),K631,IF(ISNUMBER(H631),I631+J631,""))</f>
        <v/>
      </c>
      <c r="M631" s="48" t="str">
        <f>IF(AND(ISNUMBER(E631),ISNUMBER(G631),ISNUMBER(F631)),(E631-G631)*IF(D631="卖",-1,1)*F631,"")</f>
        <v/>
      </c>
      <c r="N631" s="49" t="str">
        <f>IF(A631="","",IFERROR(T(INDEX('交易记录'!$C$5:$C$304,MATCH(A631,'交易记录'!$A$5:$A$304,0))),"编号没找到"))</f>
        <v/>
      </c>
      <c r="O631" s="31" t="n"/>
    </row>
    <row r="632">
      <c r="A632" s="29" t="n"/>
      <c r="B632" s="30" t="n"/>
      <c r="C632" s="47" t="n"/>
      <c r="D632" s="32" t="n"/>
      <c r="E632" s="33" t="n"/>
      <c r="F632" s="36" t="n"/>
      <c r="G632" s="33" t="n"/>
      <c r="H632" s="20" t="str">
        <f>IF(AND(ISNUMBER(E632),ISNUMBER(F632)),E632*F632,"")</f>
        <v/>
      </c>
      <c r="I632" s="43" t="str">
        <f>IF(ISNUMBER(H632),ROUND(MAX(F632*'参数'!$C$11,'参数'!$C$12)+'参数'!$C$13,2),"")</f>
        <v/>
      </c>
      <c r="J632" s="43" t="str">
        <f>IF(ISNUMBER(H632),IF(D632="卖",ROUND(H632*N('参数'!$C$14)+F632*N('参数'!$C$15),2),0),"")</f>
        <v/>
      </c>
      <c r="K632" s="23" t="n"/>
      <c r="L632" s="20" t="str">
        <f>IF(ISNUMBER(K632),K632,IF(ISNUMBER(H632),I632+J632,""))</f>
        <v/>
      </c>
      <c r="M632" s="48" t="str">
        <f>IF(AND(ISNUMBER(E632),ISNUMBER(G632),ISNUMBER(F632)),(E632-G632)*IF(D632="卖",-1,1)*F632,"")</f>
        <v/>
      </c>
      <c r="N632" s="49" t="str">
        <f>IF(A632="","",IFERROR(T(INDEX('交易记录'!$C$5:$C$304,MATCH(A632,'交易记录'!$A$5:$A$304,0))),"编号没找到"))</f>
        <v/>
      </c>
      <c r="O632" s="31" t="n"/>
    </row>
    <row r="633">
      <c r="A633" s="29" t="n"/>
      <c r="B633" s="30" t="n"/>
      <c r="C633" s="47" t="n"/>
      <c r="D633" s="32" t="n"/>
      <c r="E633" s="33" t="n"/>
      <c r="F633" s="36" t="n"/>
      <c r="G633" s="33" t="n"/>
      <c r="H633" s="20" t="str">
        <f>IF(AND(ISNUMBER(E633),ISNUMBER(F633)),E633*F633,"")</f>
        <v/>
      </c>
      <c r="I633" s="43" t="str">
        <f>IF(ISNUMBER(H633),ROUND(MAX(F633*'参数'!$C$11,'参数'!$C$12)+'参数'!$C$13,2),"")</f>
        <v/>
      </c>
      <c r="J633" s="43" t="str">
        <f>IF(ISNUMBER(H633),IF(D633="卖",ROUND(H633*N('参数'!$C$14)+F633*N('参数'!$C$15),2),0),"")</f>
        <v/>
      </c>
      <c r="K633" s="23" t="n"/>
      <c r="L633" s="20" t="str">
        <f>IF(ISNUMBER(K633),K633,IF(ISNUMBER(H633),I633+J633,""))</f>
        <v/>
      </c>
      <c r="M633" s="48" t="str">
        <f>IF(AND(ISNUMBER(E633),ISNUMBER(G633),ISNUMBER(F633)),(E633-G633)*IF(D633="卖",-1,1)*F633,"")</f>
        <v/>
      </c>
      <c r="N633" s="49" t="str">
        <f>IF(A633="","",IFERROR(T(INDEX('交易记录'!$C$5:$C$304,MATCH(A633,'交易记录'!$A$5:$A$304,0))),"编号没找到"))</f>
        <v/>
      </c>
      <c r="O633" s="31" t="n"/>
    </row>
    <row r="634">
      <c r="A634" s="29" t="n"/>
      <c r="B634" s="30" t="n"/>
      <c r="C634" s="47" t="n"/>
      <c r="D634" s="32" t="n"/>
      <c r="E634" s="33" t="n"/>
      <c r="F634" s="36" t="n"/>
      <c r="G634" s="33" t="n"/>
      <c r="H634" s="20" t="str">
        <f>IF(AND(ISNUMBER(E634),ISNUMBER(F634)),E634*F634,"")</f>
        <v/>
      </c>
      <c r="I634" s="43" t="str">
        <f>IF(ISNUMBER(H634),ROUND(MAX(F634*'参数'!$C$11,'参数'!$C$12)+'参数'!$C$13,2),"")</f>
        <v/>
      </c>
      <c r="J634" s="43" t="str">
        <f>IF(ISNUMBER(H634),IF(D634="卖",ROUND(H634*N('参数'!$C$14)+F634*N('参数'!$C$15),2),0),"")</f>
        <v/>
      </c>
      <c r="K634" s="23" t="n"/>
      <c r="L634" s="20" t="str">
        <f>IF(ISNUMBER(K634),K634,IF(ISNUMBER(H634),I634+J634,""))</f>
        <v/>
      </c>
      <c r="M634" s="48" t="str">
        <f>IF(AND(ISNUMBER(E634),ISNUMBER(G634),ISNUMBER(F634)),(E634-G634)*IF(D634="卖",-1,1)*F634,"")</f>
        <v/>
      </c>
      <c r="N634" s="49" t="str">
        <f>IF(A634="","",IFERROR(T(INDEX('交易记录'!$C$5:$C$304,MATCH(A634,'交易记录'!$A$5:$A$304,0))),"编号没找到"))</f>
        <v/>
      </c>
      <c r="O634" s="31" t="n"/>
    </row>
    <row r="635">
      <c r="A635" s="29" t="n"/>
      <c r="B635" s="30" t="n"/>
      <c r="C635" s="47" t="n"/>
      <c r="D635" s="32" t="n"/>
      <c r="E635" s="33" t="n"/>
      <c r="F635" s="36" t="n"/>
      <c r="G635" s="33" t="n"/>
      <c r="H635" s="20" t="str">
        <f>IF(AND(ISNUMBER(E635),ISNUMBER(F635)),E635*F635,"")</f>
        <v/>
      </c>
      <c r="I635" s="43" t="str">
        <f>IF(ISNUMBER(H635),ROUND(MAX(F635*'参数'!$C$11,'参数'!$C$12)+'参数'!$C$13,2),"")</f>
        <v/>
      </c>
      <c r="J635" s="43" t="str">
        <f>IF(ISNUMBER(H635),IF(D635="卖",ROUND(H635*N('参数'!$C$14)+F635*N('参数'!$C$15),2),0),"")</f>
        <v/>
      </c>
      <c r="K635" s="23" t="n"/>
      <c r="L635" s="20" t="str">
        <f>IF(ISNUMBER(K635),K635,IF(ISNUMBER(H635),I635+J635,""))</f>
        <v/>
      </c>
      <c r="M635" s="48" t="str">
        <f>IF(AND(ISNUMBER(E635),ISNUMBER(G635),ISNUMBER(F635)),(E635-G635)*IF(D635="卖",-1,1)*F635,"")</f>
        <v/>
      </c>
      <c r="N635" s="49" t="str">
        <f>IF(A635="","",IFERROR(T(INDEX('交易记录'!$C$5:$C$304,MATCH(A635,'交易记录'!$A$5:$A$304,0))),"编号没找到"))</f>
        <v/>
      </c>
      <c r="O635" s="31" t="n"/>
    </row>
    <row r="636">
      <c r="A636" s="29" t="n"/>
      <c r="B636" s="30" t="n"/>
      <c r="C636" s="47" t="n"/>
      <c r="D636" s="32" t="n"/>
      <c r="E636" s="33" t="n"/>
      <c r="F636" s="36" t="n"/>
      <c r="G636" s="33" t="n"/>
      <c r="H636" s="20" t="str">
        <f>IF(AND(ISNUMBER(E636),ISNUMBER(F636)),E636*F636,"")</f>
        <v/>
      </c>
      <c r="I636" s="43" t="str">
        <f>IF(ISNUMBER(H636),ROUND(MAX(F636*'参数'!$C$11,'参数'!$C$12)+'参数'!$C$13,2),"")</f>
        <v/>
      </c>
      <c r="J636" s="43" t="str">
        <f>IF(ISNUMBER(H636),IF(D636="卖",ROUND(H636*N('参数'!$C$14)+F636*N('参数'!$C$15),2),0),"")</f>
        <v/>
      </c>
      <c r="K636" s="23" t="n"/>
      <c r="L636" s="20" t="str">
        <f>IF(ISNUMBER(K636),K636,IF(ISNUMBER(H636),I636+J636,""))</f>
        <v/>
      </c>
      <c r="M636" s="48" t="str">
        <f>IF(AND(ISNUMBER(E636),ISNUMBER(G636),ISNUMBER(F636)),(E636-G636)*IF(D636="卖",-1,1)*F636,"")</f>
        <v/>
      </c>
      <c r="N636" s="49" t="str">
        <f>IF(A636="","",IFERROR(T(INDEX('交易记录'!$C$5:$C$304,MATCH(A636,'交易记录'!$A$5:$A$304,0))),"编号没找到"))</f>
        <v/>
      </c>
      <c r="O636" s="31" t="n"/>
    </row>
    <row r="637">
      <c r="A637" s="29" t="n"/>
      <c r="B637" s="30" t="n"/>
      <c r="C637" s="47" t="n"/>
      <c r="D637" s="32" t="n"/>
      <c r="E637" s="33" t="n"/>
      <c r="F637" s="36" t="n"/>
      <c r="G637" s="33" t="n"/>
      <c r="H637" s="20" t="str">
        <f>IF(AND(ISNUMBER(E637),ISNUMBER(F637)),E637*F637,"")</f>
        <v/>
      </c>
      <c r="I637" s="43" t="str">
        <f>IF(ISNUMBER(H637),ROUND(MAX(F637*'参数'!$C$11,'参数'!$C$12)+'参数'!$C$13,2),"")</f>
        <v/>
      </c>
      <c r="J637" s="43" t="str">
        <f>IF(ISNUMBER(H637),IF(D637="卖",ROUND(H637*N('参数'!$C$14)+F637*N('参数'!$C$15),2),0),"")</f>
        <v/>
      </c>
      <c r="K637" s="23" t="n"/>
      <c r="L637" s="20" t="str">
        <f>IF(ISNUMBER(K637),K637,IF(ISNUMBER(H637),I637+J637,""))</f>
        <v/>
      </c>
      <c r="M637" s="48" t="str">
        <f>IF(AND(ISNUMBER(E637),ISNUMBER(G637),ISNUMBER(F637)),(E637-G637)*IF(D637="卖",-1,1)*F637,"")</f>
        <v/>
      </c>
      <c r="N637" s="49" t="str">
        <f>IF(A637="","",IFERROR(T(INDEX('交易记录'!$C$5:$C$304,MATCH(A637,'交易记录'!$A$5:$A$304,0))),"编号没找到"))</f>
        <v/>
      </c>
      <c r="O637" s="31" t="n"/>
    </row>
    <row r="638">
      <c r="A638" s="29" t="n"/>
      <c r="B638" s="30" t="n"/>
      <c r="C638" s="47" t="n"/>
      <c r="D638" s="32" t="n"/>
      <c r="E638" s="33" t="n"/>
      <c r="F638" s="36" t="n"/>
      <c r="G638" s="33" t="n"/>
      <c r="H638" s="20" t="str">
        <f>IF(AND(ISNUMBER(E638),ISNUMBER(F638)),E638*F638,"")</f>
        <v/>
      </c>
      <c r="I638" s="43" t="str">
        <f>IF(ISNUMBER(H638),ROUND(MAX(F638*'参数'!$C$11,'参数'!$C$12)+'参数'!$C$13,2),"")</f>
        <v/>
      </c>
      <c r="J638" s="43" t="str">
        <f>IF(ISNUMBER(H638),IF(D638="卖",ROUND(H638*N('参数'!$C$14)+F638*N('参数'!$C$15),2),0),"")</f>
        <v/>
      </c>
      <c r="K638" s="23" t="n"/>
      <c r="L638" s="20" t="str">
        <f>IF(ISNUMBER(K638),K638,IF(ISNUMBER(H638),I638+J638,""))</f>
        <v/>
      </c>
      <c r="M638" s="48" t="str">
        <f>IF(AND(ISNUMBER(E638),ISNUMBER(G638),ISNUMBER(F638)),(E638-G638)*IF(D638="卖",-1,1)*F638,"")</f>
        <v/>
      </c>
      <c r="N638" s="49" t="str">
        <f>IF(A638="","",IFERROR(T(INDEX('交易记录'!$C$5:$C$304,MATCH(A638,'交易记录'!$A$5:$A$304,0))),"编号没找到"))</f>
        <v/>
      </c>
      <c r="O638" s="31" t="n"/>
    </row>
    <row r="639">
      <c r="A639" s="29" t="n"/>
      <c r="B639" s="30" t="n"/>
      <c r="C639" s="47" t="n"/>
      <c r="D639" s="32" t="n"/>
      <c r="E639" s="33" t="n"/>
      <c r="F639" s="36" t="n"/>
      <c r="G639" s="33" t="n"/>
      <c r="H639" s="20" t="str">
        <f>IF(AND(ISNUMBER(E639),ISNUMBER(F639)),E639*F639,"")</f>
        <v/>
      </c>
      <c r="I639" s="43" t="str">
        <f>IF(ISNUMBER(H639),ROUND(MAX(F639*'参数'!$C$11,'参数'!$C$12)+'参数'!$C$13,2),"")</f>
        <v/>
      </c>
      <c r="J639" s="43" t="str">
        <f>IF(ISNUMBER(H639),IF(D639="卖",ROUND(H639*N('参数'!$C$14)+F639*N('参数'!$C$15),2),0),"")</f>
        <v/>
      </c>
      <c r="K639" s="23" t="n"/>
      <c r="L639" s="20" t="str">
        <f>IF(ISNUMBER(K639),K639,IF(ISNUMBER(H639),I639+J639,""))</f>
        <v/>
      </c>
      <c r="M639" s="48" t="str">
        <f>IF(AND(ISNUMBER(E639),ISNUMBER(G639),ISNUMBER(F639)),(E639-G639)*IF(D639="卖",-1,1)*F639,"")</f>
        <v/>
      </c>
      <c r="N639" s="49" t="str">
        <f>IF(A639="","",IFERROR(T(INDEX('交易记录'!$C$5:$C$304,MATCH(A639,'交易记录'!$A$5:$A$304,0))),"编号没找到"))</f>
        <v/>
      </c>
      <c r="O639" s="31" t="n"/>
    </row>
    <row r="640">
      <c r="A640" s="29" t="n"/>
      <c r="B640" s="30" t="n"/>
      <c r="C640" s="47" t="n"/>
      <c r="D640" s="32" t="n"/>
      <c r="E640" s="33" t="n"/>
      <c r="F640" s="36" t="n"/>
      <c r="G640" s="33" t="n"/>
      <c r="H640" s="20" t="str">
        <f>IF(AND(ISNUMBER(E640),ISNUMBER(F640)),E640*F640,"")</f>
        <v/>
      </c>
      <c r="I640" s="43" t="str">
        <f>IF(ISNUMBER(H640),ROUND(MAX(F640*'参数'!$C$11,'参数'!$C$12)+'参数'!$C$13,2),"")</f>
        <v/>
      </c>
      <c r="J640" s="43" t="str">
        <f>IF(ISNUMBER(H640),IF(D640="卖",ROUND(H640*N('参数'!$C$14)+F640*N('参数'!$C$15),2),0),"")</f>
        <v/>
      </c>
      <c r="K640" s="23" t="n"/>
      <c r="L640" s="20" t="str">
        <f>IF(ISNUMBER(K640),K640,IF(ISNUMBER(H640),I640+J640,""))</f>
        <v/>
      </c>
      <c r="M640" s="48" t="str">
        <f>IF(AND(ISNUMBER(E640),ISNUMBER(G640),ISNUMBER(F640)),(E640-G640)*IF(D640="卖",-1,1)*F640,"")</f>
        <v/>
      </c>
      <c r="N640" s="49" t="str">
        <f>IF(A640="","",IFERROR(T(INDEX('交易记录'!$C$5:$C$304,MATCH(A640,'交易记录'!$A$5:$A$304,0))),"编号没找到"))</f>
        <v/>
      </c>
      <c r="O640" s="31" t="n"/>
    </row>
    <row r="641">
      <c r="A641" s="29" t="n"/>
      <c r="B641" s="30" t="n"/>
      <c r="C641" s="47" t="n"/>
      <c r="D641" s="32" t="n"/>
      <c r="E641" s="33" t="n"/>
      <c r="F641" s="36" t="n"/>
      <c r="G641" s="33" t="n"/>
      <c r="H641" s="20" t="str">
        <f>IF(AND(ISNUMBER(E641),ISNUMBER(F641)),E641*F641,"")</f>
        <v/>
      </c>
      <c r="I641" s="43" t="str">
        <f>IF(ISNUMBER(H641),ROUND(MAX(F641*'参数'!$C$11,'参数'!$C$12)+'参数'!$C$13,2),"")</f>
        <v/>
      </c>
      <c r="J641" s="43" t="str">
        <f>IF(ISNUMBER(H641),IF(D641="卖",ROUND(H641*N('参数'!$C$14)+F641*N('参数'!$C$15),2),0),"")</f>
        <v/>
      </c>
      <c r="K641" s="23" t="n"/>
      <c r="L641" s="20" t="str">
        <f>IF(ISNUMBER(K641),K641,IF(ISNUMBER(H641),I641+J641,""))</f>
        <v/>
      </c>
      <c r="M641" s="48" t="str">
        <f>IF(AND(ISNUMBER(E641),ISNUMBER(G641),ISNUMBER(F641)),(E641-G641)*IF(D641="卖",-1,1)*F641,"")</f>
        <v/>
      </c>
      <c r="N641" s="49" t="str">
        <f>IF(A641="","",IFERROR(T(INDEX('交易记录'!$C$5:$C$304,MATCH(A641,'交易记录'!$A$5:$A$304,0))),"编号没找到"))</f>
        <v/>
      </c>
      <c r="O641" s="31" t="n"/>
    </row>
    <row r="642">
      <c r="A642" s="29" t="n"/>
      <c r="B642" s="30" t="n"/>
      <c r="C642" s="47" t="n"/>
      <c r="D642" s="32" t="n"/>
      <c r="E642" s="33" t="n"/>
      <c r="F642" s="36" t="n"/>
      <c r="G642" s="33" t="n"/>
      <c r="H642" s="20" t="str">
        <f>IF(AND(ISNUMBER(E642),ISNUMBER(F642)),E642*F642,"")</f>
        <v/>
      </c>
      <c r="I642" s="43" t="str">
        <f>IF(ISNUMBER(H642),ROUND(MAX(F642*'参数'!$C$11,'参数'!$C$12)+'参数'!$C$13,2),"")</f>
        <v/>
      </c>
      <c r="J642" s="43" t="str">
        <f>IF(ISNUMBER(H642),IF(D642="卖",ROUND(H642*N('参数'!$C$14)+F642*N('参数'!$C$15),2),0),"")</f>
        <v/>
      </c>
      <c r="K642" s="23" t="n"/>
      <c r="L642" s="20" t="str">
        <f>IF(ISNUMBER(K642),K642,IF(ISNUMBER(H642),I642+J642,""))</f>
        <v/>
      </c>
      <c r="M642" s="48" t="str">
        <f>IF(AND(ISNUMBER(E642),ISNUMBER(G642),ISNUMBER(F642)),(E642-G642)*IF(D642="卖",-1,1)*F642,"")</f>
        <v/>
      </c>
      <c r="N642" s="49" t="str">
        <f>IF(A642="","",IFERROR(T(INDEX('交易记录'!$C$5:$C$304,MATCH(A642,'交易记录'!$A$5:$A$304,0))),"编号没找到"))</f>
        <v/>
      </c>
      <c r="O642" s="31" t="n"/>
    </row>
    <row r="643">
      <c r="A643" s="29" t="n"/>
      <c r="B643" s="30" t="n"/>
      <c r="C643" s="47" t="n"/>
      <c r="D643" s="32" t="n"/>
      <c r="E643" s="33" t="n"/>
      <c r="F643" s="36" t="n"/>
      <c r="G643" s="33" t="n"/>
      <c r="H643" s="20" t="str">
        <f>IF(AND(ISNUMBER(E643),ISNUMBER(F643)),E643*F643,"")</f>
        <v/>
      </c>
      <c r="I643" s="43" t="str">
        <f>IF(ISNUMBER(H643),ROUND(MAX(F643*'参数'!$C$11,'参数'!$C$12)+'参数'!$C$13,2),"")</f>
        <v/>
      </c>
      <c r="J643" s="43" t="str">
        <f>IF(ISNUMBER(H643),IF(D643="卖",ROUND(H643*N('参数'!$C$14)+F643*N('参数'!$C$15),2),0),"")</f>
        <v/>
      </c>
      <c r="K643" s="23" t="n"/>
      <c r="L643" s="20" t="str">
        <f>IF(ISNUMBER(K643),K643,IF(ISNUMBER(H643),I643+J643,""))</f>
        <v/>
      </c>
      <c r="M643" s="48" t="str">
        <f>IF(AND(ISNUMBER(E643),ISNUMBER(G643),ISNUMBER(F643)),(E643-G643)*IF(D643="卖",-1,1)*F643,"")</f>
        <v/>
      </c>
      <c r="N643" s="49" t="str">
        <f>IF(A643="","",IFERROR(T(INDEX('交易记录'!$C$5:$C$304,MATCH(A643,'交易记录'!$A$5:$A$304,0))),"编号没找到"))</f>
        <v/>
      </c>
      <c r="O643" s="31" t="n"/>
    </row>
    <row r="644">
      <c r="A644" s="29" t="n"/>
      <c r="B644" s="30" t="n"/>
      <c r="C644" s="47" t="n"/>
      <c r="D644" s="32" t="n"/>
      <c r="E644" s="33" t="n"/>
      <c r="F644" s="36" t="n"/>
      <c r="G644" s="33" t="n"/>
      <c r="H644" s="20" t="str">
        <f>IF(AND(ISNUMBER(E644),ISNUMBER(F644)),E644*F644,"")</f>
        <v/>
      </c>
      <c r="I644" s="43" t="str">
        <f>IF(ISNUMBER(H644),ROUND(MAX(F644*'参数'!$C$11,'参数'!$C$12)+'参数'!$C$13,2),"")</f>
        <v/>
      </c>
      <c r="J644" s="43" t="str">
        <f>IF(ISNUMBER(H644),IF(D644="卖",ROUND(H644*N('参数'!$C$14)+F644*N('参数'!$C$15),2),0),"")</f>
        <v/>
      </c>
      <c r="K644" s="23" t="n"/>
      <c r="L644" s="20" t="str">
        <f>IF(ISNUMBER(K644),K644,IF(ISNUMBER(H644),I644+J644,""))</f>
        <v/>
      </c>
      <c r="M644" s="48" t="str">
        <f>IF(AND(ISNUMBER(E644),ISNUMBER(G644),ISNUMBER(F644)),(E644-G644)*IF(D644="卖",-1,1)*F644,"")</f>
        <v/>
      </c>
      <c r="N644" s="49" t="str">
        <f>IF(A644="","",IFERROR(T(INDEX('交易记录'!$C$5:$C$304,MATCH(A644,'交易记录'!$A$5:$A$304,0))),"编号没找到"))</f>
        <v/>
      </c>
      <c r="O644" s="31" t="n"/>
    </row>
    <row r="645">
      <c r="A645" s="29" t="n"/>
      <c r="B645" s="30" t="n"/>
      <c r="C645" s="47" t="n"/>
      <c r="D645" s="32" t="n"/>
      <c r="E645" s="33" t="n"/>
      <c r="F645" s="36" t="n"/>
      <c r="G645" s="33" t="n"/>
      <c r="H645" s="20" t="str">
        <f>IF(AND(ISNUMBER(E645),ISNUMBER(F645)),E645*F645,"")</f>
        <v/>
      </c>
      <c r="I645" s="43" t="str">
        <f>IF(ISNUMBER(H645),ROUND(MAX(F645*'参数'!$C$11,'参数'!$C$12)+'参数'!$C$13,2),"")</f>
        <v/>
      </c>
      <c r="J645" s="43" t="str">
        <f>IF(ISNUMBER(H645),IF(D645="卖",ROUND(H645*N('参数'!$C$14)+F645*N('参数'!$C$15),2),0),"")</f>
        <v/>
      </c>
      <c r="K645" s="23" t="n"/>
      <c r="L645" s="20" t="str">
        <f>IF(ISNUMBER(K645),K645,IF(ISNUMBER(H645),I645+J645,""))</f>
        <v/>
      </c>
      <c r="M645" s="48" t="str">
        <f>IF(AND(ISNUMBER(E645),ISNUMBER(G645),ISNUMBER(F645)),(E645-G645)*IF(D645="卖",-1,1)*F645,"")</f>
        <v/>
      </c>
      <c r="N645" s="49" t="str">
        <f>IF(A645="","",IFERROR(T(INDEX('交易记录'!$C$5:$C$304,MATCH(A645,'交易记录'!$A$5:$A$304,0))),"编号没找到"))</f>
        <v/>
      </c>
      <c r="O645" s="31" t="n"/>
    </row>
    <row r="646">
      <c r="A646" s="29" t="n"/>
      <c r="B646" s="30" t="n"/>
      <c r="C646" s="47" t="n"/>
      <c r="D646" s="32" t="n"/>
      <c r="E646" s="33" t="n"/>
      <c r="F646" s="36" t="n"/>
      <c r="G646" s="33" t="n"/>
      <c r="H646" s="20" t="str">
        <f>IF(AND(ISNUMBER(E646),ISNUMBER(F646)),E646*F646,"")</f>
        <v/>
      </c>
      <c r="I646" s="43" t="str">
        <f>IF(ISNUMBER(H646),ROUND(MAX(F646*'参数'!$C$11,'参数'!$C$12)+'参数'!$C$13,2),"")</f>
        <v/>
      </c>
      <c r="J646" s="43" t="str">
        <f>IF(ISNUMBER(H646),IF(D646="卖",ROUND(H646*N('参数'!$C$14)+F646*N('参数'!$C$15),2),0),"")</f>
        <v/>
      </c>
      <c r="K646" s="23" t="n"/>
      <c r="L646" s="20" t="str">
        <f>IF(ISNUMBER(K646),K646,IF(ISNUMBER(H646),I646+J646,""))</f>
        <v/>
      </c>
      <c r="M646" s="48" t="str">
        <f>IF(AND(ISNUMBER(E646),ISNUMBER(G646),ISNUMBER(F646)),(E646-G646)*IF(D646="卖",-1,1)*F646,"")</f>
        <v/>
      </c>
      <c r="N646" s="49" t="str">
        <f>IF(A646="","",IFERROR(T(INDEX('交易记录'!$C$5:$C$304,MATCH(A646,'交易记录'!$A$5:$A$304,0))),"编号没找到"))</f>
        <v/>
      </c>
      <c r="O646" s="31" t="n"/>
    </row>
    <row r="647">
      <c r="A647" s="29" t="n"/>
      <c r="B647" s="30" t="n"/>
      <c r="C647" s="47" t="n"/>
      <c r="D647" s="32" t="n"/>
      <c r="E647" s="33" t="n"/>
      <c r="F647" s="36" t="n"/>
      <c r="G647" s="33" t="n"/>
      <c r="H647" s="20" t="str">
        <f>IF(AND(ISNUMBER(E647),ISNUMBER(F647)),E647*F647,"")</f>
        <v/>
      </c>
      <c r="I647" s="43" t="str">
        <f>IF(ISNUMBER(H647),ROUND(MAX(F647*'参数'!$C$11,'参数'!$C$12)+'参数'!$C$13,2),"")</f>
        <v/>
      </c>
      <c r="J647" s="43" t="str">
        <f>IF(ISNUMBER(H647),IF(D647="卖",ROUND(H647*N('参数'!$C$14)+F647*N('参数'!$C$15),2),0),"")</f>
        <v/>
      </c>
      <c r="K647" s="23" t="n"/>
      <c r="L647" s="20" t="str">
        <f>IF(ISNUMBER(K647),K647,IF(ISNUMBER(H647),I647+J647,""))</f>
        <v/>
      </c>
      <c r="M647" s="48" t="str">
        <f>IF(AND(ISNUMBER(E647),ISNUMBER(G647),ISNUMBER(F647)),(E647-G647)*IF(D647="卖",-1,1)*F647,"")</f>
        <v/>
      </c>
      <c r="N647" s="49" t="str">
        <f>IF(A647="","",IFERROR(T(INDEX('交易记录'!$C$5:$C$304,MATCH(A647,'交易记录'!$A$5:$A$304,0))),"编号没找到"))</f>
        <v/>
      </c>
      <c r="O647" s="31" t="n"/>
    </row>
    <row r="648">
      <c r="A648" s="29" t="n"/>
      <c r="B648" s="30" t="n"/>
      <c r="C648" s="47" t="n"/>
      <c r="D648" s="32" t="n"/>
      <c r="E648" s="33" t="n"/>
      <c r="F648" s="36" t="n"/>
      <c r="G648" s="33" t="n"/>
      <c r="H648" s="20" t="str">
        <f>IF(AND(ISNUMBER(E648),ISNUMBER(F648)),E648*F648,"")</f>
        <v/>
      </c>
      <c r="I648" s="43" t="str">
        <f>IF(ISNUMBER(H648),ROUND(MAX(F648*'参数'!$C$11,'参数'!$C$12)+'参数'!$C$13,2),"")</f>
        <v/>
      </c>
      <c r="J648" s="43" t="str">
        <f>IF(ISNUMBER(H648),IF(D648="卖",ROUND(H648*N('参数'!$C$14)+F648*N('参数'!$C$15),2),0),"")</f>
        <v/>
      </c>
      <c r="K648" s="23" t="n"/>
      <c r="L648" s="20" t="str">
        <f>IF(ISNUMBER(K648),K648,IF(ISNUMBER(H648),I648+J648,""))</f>
        <v/>
      </c>
      <c r="M648" s="48" t="str">
        <f>IF(AND(ISNUMBER(E648),ISNUMBER(G648),ISNUMBER(F648)),(E648-G648)*IF(D648="卖",-1,1)*F648,"")</f>
        <v/>
      </c>
      <c r="N648" s="49" t="str">
        <f>IF(A648="","",IFERROR(T(INDEX('交易记录'!$C$5:$C$304,MATCH(A648,'交易记录'!$A$5:$A$304,0))),"编号没找到"))</f>
        <v/>
      </c>
      <c r="O648" s="31" t="n"/>
    </row>
    <row r="649">
      <c r="A649" s="29" t="n"/>
      <c r="B649" s="30" t="n"/>
      <c r="C649" s="47" t="n"/>
      <c r="D649" s="32" t="n"/>
      <c r="E649" s="33" t="n"/>
      <c r="F649" s="36" t="n"/>
      <c r="G649" s="33" t="n"/>
      <c r="H649" s="20" t="str">
        <f>IF(AND(ISNUMBER(E649),ISNUMBER(F649)),E649*F649,"")</f>
        <v/>
      </c>
      <c r="I649" s="43" t="str">
        <f>IF(ISNUMBER(H649),ROUND(MAX(F649*'参数'!$C$11,'参数'!$C$12)+'参数'!$C$13,2),"")</f>
        <v/>
      </c>
      <c r="J649" s="43" t="str">
        <f>IF(ISNUMBER(H649),IF(D649="卖",ROUND(H649*N('参数'!$C$14)+F649*N('参数'!$C$15),2),0),"")</f>
        <v/>
      </c>
      <c r="K649" s="23" t="n"/>
      <c r="L649" s="20" t="str">
        <f>IF(ISNUMBER(K649),K649,IF(ISNUMBER(H649),I649+J649,""))</f>
        <v/>
      </c>
      <c r="M649" s="48" t="str">
        <f>IF(AND(ISNUMBER(E649),ISNUMBER(G649),ISNUMBER(F649)),(E649-G649)*IF(D649="卖",-1,1)*F649,"")</f>
        <v/>
      </c>
      <c r="N649" s="49" t="str">
        <f>IF(A649="","",IFERROR(T(INDEX('交易记录'!$C$5:$C$304,MATCH(A649,'交易记录'!$A$5:$A$304,0))),"编号没找到"))</f>
        <v/>
      </c>
      <c r="O649" s="31" t="n"/>
    </row>
    <row r="650">
      <c r="A650" s="29" t="n"/>
      <c r="B650" s="30" t="n"/>
      <c r="C650" s="47" t="n"/>
      <c r="D650" s="32" t="n"/>
      <c r="E650" s="33" t="n"/>
      <c r="F650" s="36" t="n"/>
      <c r="G650" s="33" t="n"/>
      <c r="H650" s="20" t="str">
        <f>IF(AND(ISNUMBER(E650),ISNUMBER(F650)),E650*F650,"")</f>
        <v/>
      </c>
      <c r="I650" s="43" t="str">
        <f>IF(ISNUMBER(H650),ROUND(MAX(F650*'参数'!$C$11,'参数'!$C$12)+'参数'!$C$13,2),"")</f>
        <v/>
      </c>
      <c r="J650" s="43" t="str">
        <f>IF(ISNUMBER(H650),IF(D650="卖",ROUND(H650*N('参数'!$C$14)+F650*N('参数'!$C$15),2),0),"")</f>
        <v/>
      </c>
      <c r="K650" s="23" t="n"/>
      <c r="L650" s="20" t="str">
        <f>IF(ISNUMBER(K650),K650,IF(ISNUMBER(H650),I650+J650,""))</f>
        <v/>
      </c>
      <c r="M650" s="48" t="str">
        <f>IF(AND(ISNUMBER(E650),ISNUMBER(G650),ISNUMBER(F650)),(E650-G650)*IF(D650="卖",-1,1)*F650,"")</f>
        <v/>
      </c>
      <c r="N650" s="49" t="str">
        <f>IF(A650="","",IFERROR(T(INDEX('交易记录'!$C$5:$C$304,MATCH(A650,'交易记录'!$A$5:$A$304,0))),"编号没找到"))</f>
        <v/>
      </c>
      <c r="O650" s="31" t="n"/>
    </row>
    <row r="651">
      <c r="A651" s="29" t="n"/>
      <c r="B651" s="30" t="n"/>
      <c r="C651" s="47" t="n"/>
      <c r="D651" s="32" t="n"/>
      <c r="E651" s="33" t="n"/>
      <c r="F651" s="36" t="n"/>
      <c r="G651" s="33" t="n"/>
      <c r="H651" s="20" t="str">
        <f>IF(AND(ISNUMBER(E651),ISNUMBER(F651)),E651*F651,"")</f>
        <v/>
      </c>
      <c r="I651" s="43" t="str">
        <f>IF(ISNUMBER(H651),ROUND(MAX(F651*'参数'!$C$11,'参数'!$C$12)+'参数'!$C$13,2),"")</f>
        <v/>
      </c>
      <c r="J651" s="43" t="str">
        <f>IF(ISNUMBER(H651),IF(D651="卖",ROUND(H651*N('参数'!$C$14)+F651*N('参数'!$C$15),2),0),"")</f>
        <v/>
      </c>
      <c r="K651" s="23" t="n"/>
      <c r="L651" s="20" t="str">
        <f>IF(ISNUMBER(K651),K651,IF(ISNUMBER(H651),I651+J651,""))</f>
        <v/>
      </c>
      <c r="M651" s="48" t="str">
        <f>IF(AND(ISNUMBER(E651),ISNUMBER(G651),ISNUMBER(F651)),(E651-G651)*IF(D651="卖",-1,1)*F651,"")</f>
        <v/>
      </c>
      <c r="N651" s="49" t="str">
        <f>IF(A651="","",IFERROR(T(INDEX('交易记录'!$C$5:$C$304,MATCH(A651,'交易记录'!$A$5:$A$304,0))),"编号没找到"))</f>
        <v/>
      </c>
      <c r="O651" s="31" t="n"/>
    </row>
    <row r="652">
      <c r="A652" s="29" t="n"/>
      <c r="B652" s="30" t="n"/>
      <c r="C652" s="47" t="n"/>
      <c r="D652" s="32" t="n"/>
      <c r="E652" s="33" t="n"/>
      <c r="F652" s="36" t="n"/>
      <c r="G652" s="33" t="n"/>
      <c r="H652" s="20" t="str">
        <f>IF(AND(ISNUMBER(E652),ISNUMBER(F652)),E652*F652,"")</f>
        <v/>
      </c>
      <c r="I652" s="43" t="str">
        <f>IF(ISNUMBER(H652),ROUND(MAX(F652*'参数'!$C$11,'参数'!$C$12)+'参数'!$C$13,2),"")</f>
        <v/>
      </c>
      <c r="J652" s="43" t="str">
        <f>IF(ISNUMBER(H652),IF(D652="卖",ROUND(H652*N('参数'!$C$14)+F652*N('参数'!$C$15),2),0),"")</f>
        <v/>
      </c>
      <c r="K652" s="23" t="n"/>
      <c r="L652" s="20" t="str">
        <f>IF(ISNUMBER(K652),K652,IF(ISNUMBER(H652),I652+J652,""))</f>
        <v/>
      </c>
      <c r="M652" s="48" t="str">
        <f>IF(AND(ISNUMBER(E652),ISNUMBER(G652),ISNUMBER(F652)),(E652-G652)*IF(D652="卖",-1,1)*F652,"")</f>
        <v/>
      </c>
      <c r="N652" s="49" t="str">
        <f>IF(A652="","",IFERROR(T(INDEX('交易记录'!$C$5:$C$304,MATCH(A652,'交易记录'!$A$5:$A$304,0))),"编号没找到"))</f>
        <v/>
      </c>
      <c r="O652" s="31" t="n"/>
    </row>
    <row r="653">
      <c r="A653" s="29" t="n"/>
      <c r="B653" s="30" t="n"/>
      <c r="C653" s="47" t="n"/>
      <c r="D653" s="32" t="n"/>
      <c r="E653" s="33" t="n"/>
      <c r="F653" s="36" t="n"/>
      <c r="G653" s="33" t="n"/>
      <c r="H653" s="20" t="str">
        <f>IF(AND(ISNUMBER(E653),ISNUMBER(F653)),E653*F653,"")</f>
        <v/>
      </c>
      <c r="I653" s="43" t="str">
        <f>IF(ISNUMBER(H653),ROUND(MAX(F653*'参数'!$C$11,'参数'!$C$12)+'参数'!$C$13,2),"")</f>
        <v/>
      </c>
      <c r="J653" s="43" t="str">
        <f>IF(ISNUMBER(H653),IF(D653="卖",ROUND(H653*N('参数'!$C$14)+F653*N('参数'!$C$15),2),0),"")</f>
        <v/>
      </c>
      <c r="K653" s="23" t="n"/>
      <c r="L653" s="20" t="str">
        <f>IF(ISNUMBER(K653),K653,IF(ISNUMBER(H653),I653+J653,""))</f>
        <v/>
      </c>
      <c r="M653" s="48" t="str">
        <f>IF(AND(ISNUMBER(E653),ISNUMBER(G653),ISNUMBER(F653)),(E653-G653)*IF(D653="卖",-1,1)*F653,"")</f>
        <v/>
      </c>
      <c r="N653" s="49" t="str">
        <f>IF(A653="","",IFERROR(T(INDEX('交易记录'!$C$5:$C$304,MATCH(A653,'交易记录'!$A$5:$A$304,0))),"编号没找到"))</f>
        <v/>
      </c>
      <c r="O653" s="31" t="n"/>
    </row>
    <row r="654">
      <c r="A654" s="29" t="n"/>
      <c r="B654" s="30" t="n"/>
      <c r="C654" s="47" t="n"/>
      <c r="D654" s="32" t="n"/>
      <c r="E654" s="33" t="n"/>
      <c r="F654" s="36" t="n"/>
      <c r="G654" s="33" t="n"/>
      <c r="H654" s="20" t="str">
        <f>IF(AND(ISNUMBER(E654),ISNUMBER(F654)),E654*F654,"")</f>
        <v/>
      </c>
      <c r="I654" s="43" t="str">
        <f>IF(ISNUMBER(H654),ROUND(MAX(F654*'参数'!$C$11,'参数'!$C$12)+'参数'!$C$13,2),"")</f>
        <v/>
      </c>
      <c r="J654" s="43" t="str">
        <f>IF(ISNUMBER(H654),IF(D654="卖",ROUND(H654*N('参数'!$C$14)+F654*N('参数'!$C$15),2),0),"")</f>
        <v/>
      </c>
      <c r="K654" s="23" t="n"/>
      <c r="L654" s="20" t="str">
        <f>IF(ISNUMBER(K654),K654,IF(ISNUMBER(H654),I654+J654,""))</f>
        <v/>
      </c>
      <c r="M654" s="48" t="str">
        <f>IF(AND(ISNUMBER(E654),ISNUMBER(G654),ISNUMBER(F654)),(E654-G654)*IF(D654="卖",-1,1)*F654,"")</f>
        <v/>
      </c>
      <c r="N654" s="49" t="str">
        <f>IF(A654="","",IFERROR(T(INDEX('交易记录'!$C$5:$C$304,MATCH(A654,'交易记录'!$A$5:$A$304,0))),"编号没找到"))</f>
        <v/>
      </c>
      <c r="O654" s="31" t="n"/>
    </row>
    <row r="655">
      <c r="A655" s="29" t="n"/>
      <c r="B655" s="30" t="n"/>
      <c r="C655" s="47" t="n"/>
      <c r="D655" s="32" t="n"/>
      <c r="E655" s="33" t="n"/>
      <c r="F655" s="36" t="n"/>
      <c r="G655" s="33" t="n"/>
      <c r="H655" s="20" t="str">
        <f>IF(AND(ISNUMBER(E655),ISNUMBER(F655)),E655*F655,"")</f>
        <v/>
      </c>
      <c r="I655" s="43" t="str">
        <f>IF(ISNUMBER(H655),ROUND(MAX(F655*'参数'!$C$11,'参数'!$C$12)+'参数'!$C$13,2),"")</f>
        <v/>
      </c>
      <c r="J655" s="43" t="str">
        <f>IF(ISNUMBER(H655),IF(D655="卖",ROUND(H655*N('参数'!$C$14)+F655*N('参数'!$C$15),2),0),"")</f>
        <v/>
      </c>
      <c r="K655" s="23" t="n"/>
      <c r="L655" s="20" t="str">
        <f>IF(ISNUMBER(K655),K655,IF(ISNUMBER(H655),I655+J655,""))</f>
        <v/>
      </c>
      <c r="M655" s="48" t="str">
        <f>IF(AND(ISNUMBER(E655),ISNUMBER(G655),ISNUMBER(F655)),(E655-G655)*IF(D655="卖",-1,1)*F655,"")</f>
        <v/>
      </c>
      <c r="N655" s="49" t="str">
        <f>IF(A655="","",IFERROR(T(INDEX('交易记录'!$C$5:$C$304,MATCH(A655,'交易记录'!$A$5:$A$304,0))),"编号没找到"))</f>
        <v/>
      </c>
      <c r="O655" s="31" t="n"/>
    </row>
    <row r="656">
      <c r="A656" s="29" t="n"/>
      <c r="B656" s="30" t="n"/>
      <c r="C656" s="47" t="n"/>
      <c r="D656" s="32" t="n"/>
      <c r="E656" s="33" t="n"/>
      <c r="F656" s="36" t="n"/>
      <c r="G656" s="33" t="n"/>
      <c r="H656" s="20" t="str">
        <f>IF(AND(ISNUMBER(E656),ISNUMBER(F656)),E656*F656,"")</f>
        <v/>
      </c>
      <c r="I656" s="43" t="str">
        <f>IF(ISNUMBER(H656),ROUND(MAX(F656*'参数'!$C$11,'参数'!$C$12)+'参数'!$C$13,2),"")</f>
        <v/>
      </c>
      <c r="J656" s="43" t="str">
        <f>IF(ISNUMBER(H656),IF(D656="卖",ROUND(H656*N('参数'!$C$14)+F656*N('参数'!$C$15),2),0),"")</f>
        <v/>
      </c>
      <c r="K656" s="23" t="n"/>
      <c r="L656" s="20" t="str">
        <f>IF(ISNUMBER(K656),K656,IF(ISNUMBER(H656),I656+J656,""))</f>
        <v/>
      </c>
      <c r="M656" s="48" t="str">
        <f>IF(AND(ISNUMBER(E656),ISNUMBER(G656),ISNUMBER(F656)),(E656-G656)*IF(D656="卖",-1,1)*F656,"")</f>
        <v/>
      </c>
      <c r="N656" s="49" t="str">
        <f>IF(A656="","",IFERROR(T(INDEX('交易记录'!$C$5:$C$304,MATCH(A656,'交易记录'!$A$5:$A$304,0))),"编号没找到"))</f>
        <v/>
      </c>
      <c r="O656" s="31" t="n"/>
    </row>
    <row r="657">
      <c r="A657" s="29" t="n"/>
      <c r="B657" s="30" t="n"/>
      <c r="C657" s="47" t="n"/>
      <c r="D657" s="32" t="n"/>
      <c r="E657" s="33" t="n"/>
      <c r="F657" s="36" t="n"/>
      <c r="G657" s="33" t="n"/>
      <c r="H657" s="20" t="str">
        <f>IF(AND(ISNUMBER(E657),ISNUMBER(F657)),E657*F657,"")</f>
        <v/>
      </c>
      <c r="I657" s="43" t="str">
        <f>IF(ISNUMBER(H657),ROUND(MAX(F657*'参数'!$C$11,'参数'!$C$12)+'参数'!$C$13,2),"")</f>
        <v/>
      </c>
      <c r="J657" s="43" t="str">
        <f>IF(ISNUMBER(H657),IF(D657="卖",ROUND(H657*N('参数'!$C$14)+F657*N('参数'!$C$15),2),0),"")</f>
        <v/>
      </c>
      <c r="K657" s="23" t="n"/>
      <c r="L657" s="20" t="str">
        <f>IF(ISNUMBER(K657),K657,IF(ISNUMBER(H657),I657+J657,""))</f>
        <v/>
      </c>
      <c r="M657" s="48" t="str">
        <f>IF(AND(ISNUMBER(E657),ISNUMBER(G657),ISNUMBER(F657)),(E657-G657)*IF(D657="卖",-1,1)*F657,"")</f>
        <v/>
      </c>
      <c r="N657" s="49" t="str">
        <f>IF(A657="","",IFERROR(T(INDEX('交易记录'!$C$5:$C$304,MATCH(A657,'交易记录'!$A$5:$A$304,0))),"编号没找到"))</f>
        <v/>
      </c>
      <c r="O657" s="31" t="n"/>
    </row>
    <row r="658">
      <c r="A658" s="29" t="n"/>
      <c r="B658" s="30" t="n"/>
      <c r="C658" s="47" t="n"/>
      <c r="D658" s="32" t="n"/>
      <c r="E658" s="33" t="n"/>
      <c r="F658" s="36" t="n"/>
      <c r="G658" s="33" t="n"/>
      <c r="H658" s="20" t="str">
        <f>IF(AND(ISNUMBER(E658),ISNUMBER(F658)),E658*F658,"")</f>
        <v/>
      </c>
      <c r="I658" s="43" t="str">
        <f>IF(ISNUMBER(H658),ROUND(MAX(F658*'参数'!$C$11,'参数'!$C$12)+'参数'!$C$13,2),"")</f>
        <v/>
      </c>
      <c r="J658" s="43" t="str">
        <f>IF(ISNUMBER(H658),IF(D658="卖",ROUND(H658*N('参数'!$C$14)+F658*N('参数'!$C$15),2),0),"")</f>
        <v/>
      </c>
      <c r="K658" s="23" t="n"/>
      <c r="L658" s="20" t="str">
        <f>IF(ISNUMBER(K658),K658,IF(ISNUMBER(H658),I658+J658,""))</f>
        <v/>
      </c>
      <c r="M658" s="48" t="str">
        <f>IF(AND(ISNUMBER(E658),ISNUMBER(G658),ISNUMBER(F658)),(E658-G658)*IF(D658="卖",-1,1)*F658,"")</f>
        <v/>
      </c>
      <c r="N658" s="49" t="str">
        <f>IF(A658="","",IFERROR(T(INDEX('交易记录'!$C$5:$C$304,MATCH(A658,'交易记录'!$A$5:$A$304,0))),"编号没找到"))</f>
        <v/>
      </c>
      <c r="O658" s="31" t="n"/>
    </row>
    <row r="659">
      <c r="A659" s="29" t="n"/>
      <c r="B659" s="30" t="n"/>
      <c r="C659" s="47" t="n"/>
      <c r="D659" s="32" t="n"/>
      <c r="E659" s="33" t="n"/>
      <c r="F659" s="36" t="n"/>
      <c r="G659" s="33" t="n"/>
      <c r="H659" s="20" t="str">
        <f>IF(AND(ISNUMBER(E659),ISNUMBER(F659)),E659*F659,"")</f>
        <v/>
      </c>
      <c r="I659" s="43" t="str">
        <f>IF(ISNUMBER(H659),ROUND(MAX(F659*'参数'!$C$11,'参数'!$C$12)+'参数'!$C$13,2),"")</f>
        <v/>
      </c>
      <c r="J659" s="43" t="str">
        <f>IF(ISNUMBER(H659),IF(D659="卖",ROUND(H659*N('参数'!$C$14)+F659*N('参数'!$C$15),2),0),"")</f>
        <v/>
      </c>
      <c r="K659" s="23" t="n"/>
      <c r="L659" s="20" t="str">
        <f>IF(ISNUMBER(K659),K659,IF(ISNUMBER(H659),I659+J659,""))</f>
        <v/>
      </c>
      <c r="M659" s="48" t="str">
        <f>IF(AND(ISNUMBER(E659),ISNUMBER(G659),ISNUMBER(F659)),(E659-G659)*IF(D659="卖",-1,1)*F659,"")</f>
        <v/>
      </c>
      <c r="N659" s="49" t="str">
        <f>IF(A659="","",IFERROR(T(INDEX('交易记录'!$C$5:$C$304,MATCH(A659,'交易记录'!$A$5:$A$304,0))),"编号没找到"))</f>
        <v/>
      </c>
      <c r="O659" s="31" t="n"/>
    </row>
    <row r="660">
      <c r="A660" s="29" t="n"/>
      <c r="B660" s="30" t="n"/>
      <c r="C660" s="47" t="n"/>
      <c r="D660" s="32" t="n"/>
      <c r="E660" s="33" t="n"/>
      <c r="F660" s="36" t="n"/>
      <c r="G660" s="33" t="n"/>
      <c r="H660" s="20" t="str">
        <f>IF(AND(ISNUMBER(E660),ISNUMBER(F660)),E660*F660,"")</f>
        <v/>
      </c>
      <c r="I660" s="43" t="str">
        <f>IF(ISNUMBER(H660),ROUND(MAX(F660*'参数'!$C$11,'参数'!$C$12)+'参数'!$C$13,2),"")</f>
        <v/>
      </c>
      <c r="J660" s="43" t="str">
        <f>IF(ISNUMBER(H660),IF(D660="卖",ROUND(H660*N('参数'!$C$14)+F660*N('参数'!$C$15),2),0),"")</f>
        <v/>
      </c>
      <c r="K660" s="23" t="n"/>
      <c r="L660" s="20" t="str">
        <f>IF(ISNUMBER(K660),K660,IF(ISNUMBER(H660),I660+J660,""))</f>
        <v/>
      </c>
      <c r="M660" s="48" t="str">
        <f>IF(AND(ISNUMBER(E660),ISNUMBER(G660),ISNUMBER(F660)),(E660-G660)*IF(D660="卖",-1,1)*F660,"")</f>
        <v/>
      </c>
      <c r="N660" s="49" t="str">
        <f>IF(A660="","",IFERROR(T(INDEX('交易记录'!$C$5:$C$304,MATCH(A660,'交易记录'!$A$5:$A$304,0))),"编号没找到"))</f>
        <v/>
      </c>
      <c r="O660" s="31" t="n"/>
    </row>
    <row r="661">
      <c r="A661" s="29" t="n"/>
      <c r="B661" s="30" t="n"/>
      <c r="C661" s="47" t="n"/>
      <c r="D661" s="32" t="n"/>
      <c r="E661" s="33" t="n"/>
      <c r="F661" s="36" t="n"/>
      <c r="G661" s="33" t="n"/>
      <c r="H661" s="20" t="str">
        <f>IF(AND(ISNUMBER(E661),ISNUMBER(F661)),E661*F661,"")</f>
        <v/>
      </c>
      <c r="I661" s="43" t="str">
        <f>IF(ISNUMBER(H661),ROUND(MAX(F661*'参数'!$C$11,'参数'!$C$12)+'参数'!$C$13,2),"")</f>
        <v/>
      </c>
      <c r="J661" s="43" t="str">
        <f>IF(ISNUMBER(H661),IF(D661="卖",ROUND(H661*N('参数'!$C$14)+F661*N('参数'!$C$15),2),0),"")</f>
        <v/>
      </c>
      <c r="K661" s="23" t="n"/>
      <c r="L661" s="20" t="str">
        <f>IF(ISNUMBER(K661),K661,IF(ISNUMBER(H661),I661+J661,""))</f>
        <v/>
      </c>
      <c r="M661" s="48" t="str">
        <f>IF(AND(ISNUMBER(E661),ISNUMBER(G661),ISNUMBER(F661)),(E661-G661)*IF(D661="卖",-1,1)*F661,"")</f>
        <v/>
      </c>
      <c r="N661" s="49" t="str">
        <f>IF(A661="","",IFERROR(T(INDEX('交易记录'!$C$5:$C$304,MATCH(A661,'交易记录'!$A$5:$A$304,0))),"编号没找到"))</f>
        <v/>
      </c>
      <c r="O661" s="31" t="n"/>
    </row>
    <row r="662">
      <c r="A662" s="29" t="n"/>
      <c r="B662" s="30" t="n"/>
      <c r="C662" s="47" t="n"/>
      <c r="D662" s="32" t="n"/>
      <c r="E662" s="33" t="n"/>
      <c r="F662" s="36" t="n"/>
      <c r="G662" s="33" t="n"/>
      <c r="H662" s="20" t="str">
        <f>IF(AND(ISNUMBER(E662),ISNUMBER(F662)),E662*F662,"")</f>
        <v/>
      </c>
      <c r="I662" s="43" t="str">
        <f>IF(ISNUMBER(H662),ROUND(MAX(F662*'参数'!$C$11,'参数'!$C$12)+'参数'!$C$13,2),"")</f>
        <v/>
      </c>
      <c r="J662" s="43" t="str">
        <f>IF(ISNUMBER(H662),IF(D662="卖",ROUND(H662*N('参数'!$C$14)+F662*N('参数'!$C$15),2),0),"")</f>
        <v/>
      </c>
      <c r="K662" s="23" t="n"/>
      <c r="L662" s="20" t="str">
        <f>IF(ISNUMBER(K662),K662,IF(ISNUMBER(H662),I662+J662,""))</f>
        <v/>
      </c>
      <c r="M662" s="48" t="str">
        <f>IF(AND(ISNUMBER(E662),ISNUMBER(G662),ISNUMBER(F662)),(E662-G662)*IF(D662="卖",-1,1)*F662,"")</f>
        <v/>
      </c>
      <c r="N662" s="49" t="str">
        <f>IF(A662="","",IFERROR(T(INDEX('交易记录'!$C$5:$C$304,MATCH(A662,'交易记录'!$A$5:$A$304,0))),"编号没找到"))</f>
        <v/>
      </c>
      <c r="O662" s="31" t="n"/>
    </row>
    <row r="663">
      <c r="A663" s="29" t="n"/>
      <c r="B663" s="30" t="n"/>
      <c r="C663" s="47" t="n"/>
      <c r="D663" s="32" t="n"/>
      <c r="E663" s="33" t="n"/>
      <c r="F663" s="36" t="n"/>
      <c r="G663" s="33" t="n"/>
      <c r="H663" s="20" t="str">
        <f>IF(AND(ISNUMBER(E663),ISNUMBER(F663)),E663*F663,"")</f>
        <v/>
      </c>
      <c r="I663" s="43" t="str">
        <f>IF(ISNUMBER(H663),ROUND(MAX(F663*'参数'!$C$11,'参数'!$C$12)+'参数'!$C$13,2),"")</f>
        <v/>
      </c>
      <c r="J663" s="43" t="str">
        <f>IF(ISNUMBER(H663),IF(D663="卖",ROUND(H663*N('参数'!$C$14)+F663*N('参数'!$C$15),2),0),"")</f>
        <v/>
      </c>
      <c r="K663" s="23" t="n"/>
      <c r="L663" s="20" t="str">
        <f>IF(ISNUMBER(K663),K663,IF(ISNUMBER(H663),I663+J663,""))</f>
        <v/>
      </c>
      <c r="M663" s="48" t="str">
        <f>IF(AND(ISNUMBER(E663),ISNUMBER(G663),ISNUMBER(F663)),(E663-G663)*IF(D663="卖",-1,1)*F663,"")</f>
        <v/>
      </c>
      <c r="N663" s="49" t="str">
        <f>IF(A663="","",IFERROR(T(INDEX('交易记录'!$C$5:$C$304,MATCH(A663,'交易记录'!$A$5:$A$304,0))),"编号没找到"))</f>
        <v/>
      </c>
      <c r="O663" s="31" t="n"/>
    </row>
    <row r="664">
      <c r="A664" s="29" t="n"/>
      <c r="B664" s="30" t="n"/>
      <c r="C664" s="47" t="n"/>
      <c r="D664" s="32" t="n"/>
      <c r="E664" s="33" t="n"/>
      <c r="F664" s="36" t="n"/>
      <c r="G664" s="33" t="n"/>
      <c r="H664" s="20" t="str">
        <f>IF(AND(ISNUMBER(E664),ISNUMBER(F664)),E664*F664,"")</f>
        <v/>
      </c>
      <c r="I664" s="43" t="str">
        <f>IF(ISNUMBER(H664),ROUND(MAX(F664*'参数'!$C$11,'参数'!$C$12)+'参数'!$C$13,2),"")</f>
        <v/>
      </c>
      <c r="J664" s="43" t="str">
        <f>IF(ISNUMBER(H664),IF(D664="卖",ROUND(H664*N('参数'!$C$14)+F664*N('参数'!$C$15),2),0),"")</f>
        <v/>
      </c>
      <c r="K664" s="23" t="n"/>
      <c r="L664" s="20" t="str">
        <f>IF(ISNUMBER(K664),K664,IF(ISNUMBER(H664),I664+J664,""))</f>
        <v/>
      </c>
      <c r="M664" s="48" t="str">
        <f>IF(AND(ISNUMBER(E664),ISNUMBER(G664),ISNUMBER(F664)),(E664-G664)*IF(D664="卖",-1,1)*F664,"")</f>
        <v/>
      </c>
      <c r="N664" s="49" t="str">
        <f>IF(A664="","",IFERROR(T(INDEX('交易记录'!$C$5:$C$304,MATCH(A664,'交易记录'!$A$5:$A$304,0))),"编号没找到"))</f>
        <v/>
      </c>
      <c r="O664" s="31" t="n"/>
    </row>
    <row r="665">
      <c r="A665" s="29" t="n"/>
      <c r="B665" s="30" t="n"/>
      <c r="C665" s="47" t="n"/>
      <c r="D665" s="32" t="n"/>
      <c r="E665" s="33" t="n"/>
      <c r="F665" s="36" t="n"/>
      <c r="G665" s="33" t="n"/>
      <c r="H665" s="20" t="str">
        <f>IF(AND(ISNUMBER(E665),ISNUMBER(F665)),E665*F665,"")</f>
        <v/>
      </c>
      <c r="I665" s="43" t="str">
        <f>IF(ISNUMBER(H665),ROUND(MAX(F665*'参数'!$C$11,'参数'!$C$12)+'参数'!$C$13,2),"")</f>
        <v/>
      </c>
      <c r="J665" s="43" t="str">
        <f>IF(ISNUMBER(H665),IF(D665="卖",ROUND(H665*N('参数'!$C$14)+F665*N('参数'!$C$15),2),0),"")</f>
        <v/>
      </c>
      <c r="K665" s="23" t="n"/>
      <c r="L665" s="20" t="str">
        <f>IF(ISNUMBER(K665),K665,IF(ISNUMBER(H665),I665+J665,""))</f>
        <v/>
      </c>
      <c r="M665" s="48" t="str">
        <f>IF(AND(ISNUMBER(E665),ISNUMBER(G665),ISNUMBER(F665)),(E665-G665)*IF(D665="卖",-1,1)*F665,"")</f>
        <v/>
      </c>
      <c r="N665" s="49" t="str">
        <f>IF(A665="","",IFERROR(T(INDEX('交易记录'!$C$5:$C$304,MATCH(A665,'交易记录'!$A$5:$A$304,0))),"编号没找到"))</f>
        <v/>
      </c>
      <c r="O665" s="31" t="n"/>
    </row>
    <row r="666">
      <c r="A666" s="29" t="n"/>
      <c r="B666" s="30" t="n"/>
      <c r="C666" s="47" t="n"/>
      <c r="D666" s="32" t="n"/>
      <c r="E666" s="33" t="n"/>
      <c r="F666" s="36" t="n"/>
      <c r="G666" s="33" t="n"/>
      <c r="H666" s="20" t="str">
        <f>IF(AND(ISNUMBER(E666),ISNUMBER(F666)),E666*F666,"")</f>
        <v/>
      </c>
      <c r="I666" s="43" t="str">
        <f>IF(ISNUMBER(H666),ROUND(MAX(F666*'参数'!$C$11,'参数'!$C$12)+'参数'!$C$13,2),"")</f>
        <v/>
      </c>
      <c r="J666" s="43" t="str">
        <f>IF(ISNUMBER(H666),IF(D666="卖",ROUND(H666*N('参数'!$C$14)+F666*N('参数'!$C$15),2),0),"")</f>
        <v/>
      </c>
      <c r="K666" s="23" t="n"/>
      <c r="L666" s="20" t="str">
        <f>IF(ISNUMBER(K666),K666,IF(ISNUMBER(H666),I666+J666,""))</f>
        <v/>
      </c>
      <c r="M666" s="48" t="str">
        <f>IF(AND(ISNUMBER(E666),ISNUMBER(G666),ISNUMBER(F666)),(E666-G666)*IF(D666="卖",-1,1)*F666,"")</f>
        <v/>
      </c>
      <c r="N666" s="49" t="str">
        <f>IF(A666="","",IFERROR(T(INDEX('交易记录'!$C$5:$C$304,MATCH(A666,'交易记录'!$A$5:$A$304,0))),"编号没找到"))</f>
        <v/>
      </c>
      <c r="O666" s="31" t="n"/>
    </row>
    <row r="667">
      <c r="A667" s="29" t="n"/>
      <c r="B667" s="30" t="n"/>
      <c r="C667" s="47" t="n"/>
      <c r="D667" s="32" t="n"/>
      <c r="E667" s="33" t="n"/>
      <c r="F667" s="36" t="n"/>
      <c r="G667" s="33" t="n"/>
      <c r="H667" s="20" t="str">
        <f>IF(AND(ISNUMBER(E667),ISNUMBER(F667)),E667*F667,"")</f>
        <v/>
      </c>
      <c r="I667" s="43" t="str">
        <f>IF(ISNUMBER(H667),ROUND(MAX(F667*'参数'!$C$11,'参数'!$C$12)+'参数'!$C$13,2),"")</f>
        <v/>
      </c>
      <c r="J667" s="43" t="str">
        <f>IF(ISNUMBER(H667),IF(D667="卖",ROUND(H667*N('参数'!$C$14)+F667*N('参数'!$C$15),2),0),"")</f>
        <v/>
      </c>
      <c r="K667" s="23" t="n"/>
      <c r="L667" s="20" t="str">
        <f>IF(ISNUMBER(K667),K667,IF(ISNUMBER(H667),I667+J667,""))</f>
        <v/>
      </c>
      <c r="M667" s="48" t="str">
        <f>IF(AND(ISNUMBER(E667),ISNUMBER(G667),ISNUMBER(F667)),(E667-G667)*IF(D667="卖",-1,1)*F667,"")</f>
        <v/>
      </c>
      <c r="N667" s="49" t="str">
        <f>IF(A667="","",IFERROR(T(INDEX('交易记录'!$C$5:$C$304,MATCH(A667,'交易记录'!$A$5:$A$304,0))),"编号没找到"))</f>
        <v/>
      </c>
      <c r="O667" s="31" t="n"/>
    </row>
    <row r="668">
      <c r="A668" s="29" t="n"/>
      <c r="B668" s="30" t="n"/>
      <c r="C668" s="47" t="n"/>
      <c r="D668" s="32" t="n"/>
      <c r="E668" s="33" t="n"/>
      <c r="F668" s="36" t="n"/>
      <c r="G668" s="33" t="n"/>
      <c r="H668" s="20" t="str">
        <f>IF(AND(ISNUMBER(E668),ISNUMBER(F668)),E668*F668,"")</f>
        <v/>
      </c>
      <c r="I668" s="43" t="str">
        <f>IF(ISNUMBER(H668),ROUND(MAX(F668*'参数'!$C$11,'参数'!$C$12)+'参数'!$C$13,2),"")</f>
        <v/>
      </c>
      <c r="J668" s="43" t="str">
        <f>IF(ISNUMBER(H668),IF(D668="卖",ROUND(H668*N('参数'!$C$14)+F668*N('参数'!$C$15),2),0),"")</f>
        <v/>
      </c>
      <c r="K668" s="23" t="n"/>
      <c r="L668" s="20" t="str">
        <f>IF(ISNUMBER(K668),K668,IF(ISNUMBER(H668),I668+J668,""))</f>
        <v/>
      </c>
      <c r="M668" s="48" t="str">
        <f>IF(AND(ISNUMBER(E668),ISNUMBER(G668),ISNUMBER(F668)),(E668-G668)*IF(D668="卖",-1,1)*F668,"")</f>
        <v/>
      </c>
      <c r="N668" s="49" t="str">
        <f>IF(A668="","",IFERROR(T(INDEX('交易记录'!$C$5:$C$304,MATCH(A668,'交易记录'!$A$5:$A$304,0))),"编号没找到"))</f>
        <v/>
      </c>
      <c r="O668" s="31" t="n"/>
    </row>
    <row r="669">
      <c r="A669" s="29" t="n"/>
      <c r="B669" s="30" t="n"/>
      <c r="C669" s="47" t="n"/>
      <c r="D669" s="32" t="n"/>
      <c r="E669" s="33" t="n"/>
      <c r="F669" s="36" t="n"/>
      <c r="G669" s="33" t="n"/>
      <c r="H669" s="20" t="str">
        <f>IF(AND(ISNUMBER(E669),ISNUMBER(F669)),E669*F669,"")</f>
        <v/>
      </c>
      <c r="I669" s="43" t="str">
        <f>IF(ISNUMBER(H669),ROUND(MAX(F669*'参数'!$C$11,'参数'!$C$12)+'参数'!$C$13,2),"")</f>
        <v/>
      </c>
      <c r="J669" s="43" t="str">
        <f>IF(ISNUMBER(H669),IF(D669="卖",ROUND(H669*N('参数'!$C$14)+F669*N('参数'!$C$15),2),0),"")</f>
        <v/>
      </c>
      <c r="K669" s="23" t="n"/>
      <c r="L669" s="20" t="str">
        <f>IF(ISNUMBER(K669),K669,IF(ISNUMBER(H669),I669+J669,""))</f>
        <v/>
      </c>
      <c r="M669" s="48" t="str">
        <f>IF(AND(ISNUMBER(E669),ISNUMBER(G669),ISNUMBER(F669)),(E669-G669)*IF(D669="卖",-1,1)*F669,"")</f>
        <v/>
      </c>
      <c r="N669" s="49" t="str">
        <f>IF(A669="","",IFERROR(T(INDEX('交易记录'!$C$5:$C$304,MATCH(A669,'交易记录'!$A$5:$A$304,0))),"编号没找到"))</f>
        <v/>
      </c>
      <c r="O669" s="31" t="n"/>
    </row>
    <row r="670">
      <c r="A670" s="29" t="n"/>
      <c r="B670" s="30" t="n"/>
      <c r="C670" s="47" t="n"/>
      <c r="D670" s="32" t="n"/>
      <c r="E670" s="33" t="n"/>
      <c r="F670" s="36" t="n"/>
      <c r="G670" s="33" t="n"/>
      <c r="H670" s="20" t="str">
        <f>IF(AND(ISNUMBER(E670),ISNUMBER(F670)),E670*F670,"")</f>
        <v/>
      </c>
      <c r="I670" s="43" t="str">
        <f>IF(ISNUMBER(H670),ROUND(MAX(F670*'参数'!$C$11,'参数'!$C$12)+'参数'!$C$13,2),"")</f>
        <v/>
      </c>
      <c r="J670" s="43" t="str">
        <f>IF(ISNUMBER(H670),IF(D670="卖",ROUND(H670*N('参数'!$C$14)+F670*N('参数'!$C$15),2),0),"")</f>
        <v/>
      </c>
      <c r="K670" s="23" t="n"/>
      <c r="L670" s="20" t="str">
        <f>IF(ISNUMBER(K670),K670,IF(ISNUMBER(H670),I670+J670,""))</f>
        <v/>
      </c>
      <c r="M670" s="48" t="str">
        <f>IF(AND(ISNUMBER(E670),ISNUMBER(G670),ISNUMBER(F670)),(E670-G670)*IF(D670="卖",-1,1)*F670,"")</f>
        <v/>
      </c>
      <c r="N670" s="49" t="str">
        <f>IF(A670="","",IFERROR(T(INDEX('交易记录'!$C$5:$C$304,MATCH(A670,'交易记录'!$A$5:$A$304,0))),"编号没找到"))</f>
        <v/>
      </c>
      <c r="O670" s="31" t="n"/>
    </row>
    <row r="671">
      <c r="A671" s="29" t="n"/>
      <c r="B671" s="30" t="n"/>
      <c r="C671" s="47" t="n"/>
      <c r="D671" s="32" t="n"/>
      <c r="E671" s="33" t="n"/>
      <c r="F671" s="36" t="n"/>
      <c r="G671" s="33" t="n"/>
      <c r="H671" s="20" t="str">
        <f>IF(AND(ISNUMBER(E671),ISNUMBER(F671)),E671*F671,"")</f>
        <v/>
      </c>
      <c r="I671" s="43" t="str">
        <f>IF(ISNUMBER(H671),ROUND(MAX(F671*'参数'!$C$11,'参数'!$C$12)+'参数'!$C$13,2),"")</f>
        <v/>
      </c>
      <c r="J671" s="43" t="str">
        <f>IF(ISNUMBER(H671),IF(D671="卖",ROUND(H671*N('参数'!$C$14)+F671*N('参数'!$C$15),2),0),"")</f>
        <v/>
      </c>
      <c r="K671" s="23" t="n"/>
      <c r="L671" s="20" t="str">
        <f>IF(ISNUMBER(K671),K671,IF(ISNUMBER(H671),I671+J671,""))</f>
        <v/>
      </c>
      <c r="M671" s="48" t="str">
        <f>IF(AND(ISNUMBER(E671),ISNUMBER(G671),ISNUMBER(F671)),(E671-G671)*IF(D671="卖",-1,1)*F671,"")</f>
        <v/>
      </c>
      <c r="N671" s="49" t="str">
        <f>IF(A671="","",IFERROR(T(INDEX('交易记录'!$C$5:$C$304,MATCH(A671,'交易记录'!$A$5:$A$304,0))),"编号没找到"))</f>
        <v/>
      </c>
      <c r="O671" s="31" t="n"/>
    </row>
    <row r="672">
      <c r="A672" s="29" t="n"/>
      <c r="B672" s="30" t="n"/>
      <c r="C672" s="47" t="n"/>
      <c r="D672" s="32" t="n"/>
      <c r="E672" s="33" t="n"/>
      <c r="F672" s="36" t="n"/>
      <c r="G672" s="33" t="n"/>
      <c r="H672" s="20" t="str">
        <f>IF(AND(ISNUMBER(E672),ISNUMBER(F672)),E672*F672,"")</f>
        <v/>
      </c>
      <c r="I672" s="43" t="str">
        <f>IF(ISNUMBER(H672),ROUND(MAX(F672*'参数'!$C$11,'参数'!$C$12)+'参数'!$C$13,2),"")</f>
        <v/>
      </c>
      <c r="J672" s="43" t="str">
        <f>IF(ISNUMBER(H672),IF(D672="卖",ROUND(H672*N('参数'!$C$14)+F672*N('参数'!$C$15),2),0),"")</f>
        <v/>
      </c>
      <c r="K672" s="23" t="n"/>
      <c r="L672" s="20" t="str">
        <f>IF(ISNUMBER(K672),K672,IF(ISNUMBER(H672),I672+J672,""))</f>
        <v/>
      </c>
      <c r="M672" s="48" t="str">
        <f>IF(AND(ISNUMBER(E672),ISNUMBER(G672),ISNUMBER(F672)),(E672-G672)*IF(D672="卖",-1,1)*F672,"")</f>
        <v/>
      </c>
      <c r="N672" s="49" t="str">
        <f>IF(A672="","",IFERROR(T(INDEX('交易记录'!$C$5:$C$304,MATCH(A672,'交易记录'!$A$5:$A$304,0))),"编号没找到"))</f>
        <v/>
      </c>
      <c r="O672" s="31" t="n"/>
    </row>
    <row r="673">
      <c r="A673" s="29" t="n"/>
      <c r="B673" s="30" t="n"/>
      <c r="C673" s="47" t="n"/>
      <c r="D673" s="32" t="n"/>
      <c r="E673" s="33" t="n"/>
      <c r="F673" s="36" t="n"/>
      <c r="G673" s="33" t="n"/>
      <c r="H673" s="20" t="str">
        <f>IF(AND(ISNUMBER(E673),ISNUMBER(F673)),E673*F673,"")</f>
        <v/>
      </c>
      <c r="I673" s="43" t="str">
        <f>IF(ISNUMBER(H673),ROUND(MAX(F673*'参数'!$C$11,'参数'!$C$12)+'参数'!$C$13,2),"")</f>
        <v/>
      </c>
      <c r="J673" s="43" t="str">
        <f>IF(ISNUMBER(H673),IF(D673="卖",ROUND(H673*N('参数'!$C$14)+F673*N('参数'!$C$15),2),0),"")</f>
        <v/>
      </c>
      <c r="K673" s="23" t="n"/>
      <c r="L673" s="20" t="str">
        <f>IF(ISNUMBER(K673),K673,IF(ISNUMBER(H673),I673+J673,""))</f>
        <v/>
      </c>
      <c r="M673" s="48" t="str">
        <f>IF(AND(ISNUMBER(E673),ISNUMBER(G673),ISNUMBER(F673)),(E673-G673)*IF(D673="卖",-1,1)*F673,"")</f>
        <v/>
      </c>
      <c r="N673" s="49" t="str">
        <f>IF(A673="","",IFERROR(T(INDEX('交易记录'!$C$5:$C$304,MATCH(A673,'交易记录'!$A$5:$A$304,0))),"编号没找到"))</f>
        <v/>
      </c>
      <c r="O673" s="31" t="n"/>
    </row>
    <row r="674">
      <c r="A674" s="29" t="n"/>
      <c r="B674" s="30" t="n"/>
      <c r="C674" s="47" t="n"/>
      <c r="D674" s="32" t="n"/>
      <c r="E674" s="33" t="n"/>
      <c r="F674" s="36" t="n"/>
      <c r="G674" s="33" t="n"/>
      <c r="H674" s="20" t="str">
        <f>IF(AND(ISNUMBER(E674),ISNUMBER(F674)),E674*F674,"")</f>
        <v/>
      </c>
      <c r="I674" s="43" t="str">
        <f>IF(ISNUMBER(H674),ROUND(MAX(F674*'参数'!$C$11,'参数'!$C$12)+'参数'!$C$13,2),"")</f>
        <v/>
      </c>
      <c r="J674" s="43" t="str">
        <f>IF(ISNUMBER(H674),IF(D674="卖",ROUND(H674*N('参数'!$C$14)+F674*N('参数'!$C$15),2),0),"")</f>
        <v/>
      </c>
      <c r="K674" s="23" t="n"/>
      <c r="L674" s="20" t="str">
        <f>IF(ISNUMBER(K674),K674,IF(ISNUMBER(H674),I674+J674,""))</f>
        <v/>
      </c>
      <c r="M674" s="48" t="str">
        <f>IF(AND(ISNUMBER(E674),ISNUMBER(G674),ISNUMBER(F674)),(E674-G674)*IF(D674="卖",-1,1)*F674,"")</f>
        <v/>
      </c>
      <c r="N674" s="49" t="str">
        <f>IF(A674="","",IFERROR(T(INDEX('交易记录'!$C$5:$C$304,MATCH(A674,'交易记录'!$A$5:$A$304,0))),"编号没找到"))</f>
        <v/>
      </c>
      <c r="O674" s="31" t="n"/>
    </row>
    <row r="675">
      <c r="A675" s="29" t="n"/>
      <c r="B675" s="30" t="n"/>
      <c r="C675" s="47" t="n"/>
      <c r="D675" s="32" t="n"/>
      <c r="E675" s="33" t="n"/>
      <c r="F675" s="36" t="n"/>
      <c r="G675" s="33" t="n"/>
      <c r="H675" s="20" t="str">
        <f>IF(AND(ISNUMBER(E675),ISNUMBER(F675)),E675*F675,"")</f>
        <v/>
      </c>
      <c r="I675" s="43" t="str">
        <f>IF(ISNUMBER(H675),ROUND(MAX(F675*'参数'!$C$11,'参数'!$C$12)+'参数'!$C$13,2),"")</f>
        <v/>
      </c>
      <c r="J675" s="43" t="str">
        <f>IF(ISNUMBER(H675),IF(D675="卖",ROUND(H675*N('参数'!$C$14)+F675*N('参数'!$C$15),2),0),"")</f>
        <v/>
      </c>
      <c r="K675" s="23" t="n"/>
      <c r="L675" s="20" t="str">
        <f>IF(ISNUMBER(K675),K675,IF(ISNUMBER(H675),I675+J675,""))</f>
        <v/>
      </c>
      <c r="M675" s="48" t="str">
        <f>IF(AND(ISNUMBER(E675),ISNUMBER(G675),ISNUMBER(F675)),(E675-G675)*IF(D675="卖",-1,1)*F675,"")</f>
        <v/>
      </c>
      <c r="N675" s="49" t="str">
        <f>IF(A675="","",IFERROR(T(INDEX('交易记录'!$C$5:$C$304,MATCH(A675,'交易记录'!$A$5:$A$304,0))),"编号没找到"))</f>
        <v/>
      </c>
      <c r="O675" s="31" t="n"/>
    </row>
    <row r="676">
      <c r="A676" s="29" t="n"/>
      <c r="B676" s="30" t="n"/>
      <c r="C676" s="47" t="n"/>
      <c r="D676" s="32" t="n"/>
      <c r="E676" s="33" t="n"/>
      <c r="F676" s="36" t="n"/>
      <c r="G676" s="33" t="n"/>
      <c r="H676" s="20" t="str">
        <f>IF(AND(ISNUMBER(E676),ISNUMBER(F676)),E676*F676,"")</f>
        <v/>
      </c>
      <c r="I676" s="43" t="str">
        <f>IF(ISNUMBER(H676),ROUND(MAX(F676*'参数'!$C$11,'参数'!$C$12)+'参数'!$C$13,2),"")</f>
        <v/>
      </c>
      <c r="J676" s="43" t="str">
        <f>IF(ISNUMBER(H676),IF(D676="卖",ROUND(H676*N('参数'!$C$14)+F676*N('参数'!$C$15),2),0),"")</f>
        <v/>
      </c>
      <c r="K676" s="23" t="n"/>
      <c r="L676" s="20" t="str">
        <f>IF(ISNUMBER(K676),K676,IF(ISNUMBER(H676),I676+J676,""))</f>
        <v/>
      </c>
      <c r="M676" s="48" t="str">
        <f>IF(AND(ISNUMBER(E676),ISNUMBER(G676),ISNUMBER(F676)),(E676-G676)*IF(D676="卖",-1,1)*F676,"")</f>
        <v/>
      </c>
      <c r="N676" s="49" t="str">
        <f>IF(A676="","",IFERROR(T(INDEX('交易记录'!$C$5:$C$304,MATCH(A676,'交易记录'!$A$5:$A$304,0))),"编号没找到"))</f>
        <v/>
      </c>
      <c r="O676" s="31" t="n"/>
    </row>
    <row r="677">
      <c r="A677" s="29" t="n"/>
      <c r="B677" s="30" t="n"/>
      <c r="C677" s="47" t="n"/>
      <c r="D677" s="32" t="n"/>
      <c r="E677" s="33" t="n"/>
      <c r="F677" s="36" t="n"/>
      <c r="G677" s="33" t="n"/>
      <c r="H677" s="20" t="str">
        <f>IF(AND(ISNUMBER(E677),ISNUMBER(F677)),E677*F677,"")</f>
        <v/>
      </c>
      <c r="I677" s="43" t="str">
        <f>IF(ISNUMBER(H677),ROUND(MAX(F677*'参数'!$C$11,'参数'!$C$12)+'参数'!$C$13,2),"")</f>
        <v/>
      </c>
      <c r="J677" s="43" t="str">
        <f>IF(ISNUMBER(H677),IF(D677="卖",ROUND(H677*N('参数'!$C$14)+F677*N('参数'!$C$15),2),0),"")</f>
        <v/>
      </c>
      <c r="K677" s="23" t="n"/>
      <c r="L677" s="20" t="str">
        <f>IF(ISNUMBER(K677),K677,IF(ISNUMBER(H677),I677+J677,""))</f>
        <v/>
      </c>
      <c r="M677" s="48" t="str">
        <f>IF(AND(ISNUMBER(E677),ISNUMBER(G677),ISNUMBER(F677)),(E677-G677)*IF(D677="卖",-1,1)*F677,"")</f>
        <v/>
      </c>
      <c r="N677" s="49" t="str">
        <f>IF(A677="","",IFERROR(T(INDEX('交易记录'!$C$5:$C$304,MATCH(A677,'交易记录'!$A$5:$A$304,0))),"编号没找到"))</f>
        <v/>
      </c>
      <c r="O677" s="31" t="n"/>
    </row>
    <row r="678">
      <c r="A678" s="29" t="n"/>
      <c r="B678" s="30" t="n"/>
      <c r="C678" s="47" t="n"/>
      <c r="D678" s="32" t="n"/>
      <c r="E678" s="33" t="n"/>
      <c r="F678" s="36" t="n"/>
      <c r="G678" s="33" t="n"/>
      <c r="H678" s="20" t="str">
        <f>IF(AND(ISNUMBER(E678),ISNUMBER(F678)),E678*F678,"")</f>
        <v/>
      </c>
      <c r="I678" s="43" t="str">
        <f>IF(ISNUMBER(H678),ROUND(MAX(F678*'参数'!$C$11,'参数'!$C$12)+'参数'!$C$13,2),"")</f>
        <v/>
      </c>
      <c r="J678" s="43" t="str">
        <f>IF(ISNUMBER(H678),IF(D678="卖",ROUND(H678*N('参数'!$C$14)+F678*N('参数'!$C$15),2),0),"")</f>
        <v/>
      </c>
      <c r="K678" s="23" t="n"/>
      <c r="L678" s="20" t="str">
        <f>IF(ISNUMBER(K678),K678,IF(ISNUMBER(H678),I678+J678,""))</f>
        <v/>
      </c>
      <c r="M678" s="48" t="str">
        <f>IF(AND(ISNUMBER(E678),ISNUMBER(G678),ISNUMBER(F678)),(E678-G678)*IF(D678="卖",-1,1)*F678,"")</f>
        <v/>
      </c>
      <c r="N678" s="49" t="str">
        <f>IF(A678="","",IFERROR(T(INDEX('交易记录'!$C$5:$C$304,MATCH(A678,'交易记录'!$A$5:$A$304,0))),"编号没找到"))</f>
        <v/>
      </c>
      <c r="O678" s="31" t="n"/>
    </row>
    <row r="679">
      <c r="A679" s="29" t="n"/>
      <c r="B679" s="30" t="n"/>
      <c r="C679" s="47" t="n"/>
      <c r="D679" s="32" t="n"/>
      <c r="E679" s="33" t="n"/>
      <c r="F679" s="36" t="n"/>
      <c r="G679" s="33" t="n"/>
      <c r="H679" s="20" t="str">
        <f>IF(AND(ISNUMBER(E679),ISNUMBER(F679)),E679*F679,"")</f>
        <v/>
      </c>
      <c r="I679" s="43" t="str">
        <f>IF(ISNUMBER(H679),ROUND(MAX(F679*'参数'!$C$11,'参数'!$C$12)+'参数'!$C$13,2),"")</f>
        <v/>
      </c>
      <c r="J679" s="43" t="str">
        <f>IF(ISNUMBER(H679),IF(D679="卖",ROUND(H679*N('参数'!$C$14)+F679*N('参数'!$C$15),2),0),"")</f>
        <v/>
      </c>
      <c r="K679" s="23" t="n"/>
      <c r="L679" s="20" t="str">
        <f>IF(ISNUMBER(K679),K679,IF(ISNUMBER(H679),I679+J679,""))</f>
        <v/>
      </c>
      <c r="M679" s="48" t="str">
        <f>IF(AND(ISNUMBER(E679),ISNUMBER(G679),ISNUMBER(F679)),(E679-G679)*IF(D679="卖",-1,1)*F679,"")</f>
        <v/>
      </c>
      <c r="N679" s="49" t="str">
        <f>IF(A679="","",IFERROR(T(INDEX('交易记录'!$C$5:$C$304,MATCH(A679,'交易记录'!$A$5:$A$304,0))),"编号没找到"))</f>
        <v/>
      </c>
      <c r="O679" s="31" t="n"/>
    </row>
    <row r="680">
      <c r="A680" s="29" t="n"/>
      <c r="B680" s="30" t="n"/>
      <c r="C680" s="47" t="n"/>
      <c r="D680" s="32" t="n"/>
      <c r="E680" s="33" t="n"/>
      <c r="F680" s="36" t="n"/>
      <c r="G680" s="33" t="n"/>
      <c r="H680" s="20" t="str">
        <f>IF(AND(ISNUMBER(E680),ISNUMBER(F680)),E680*F680,"")</f>
        <v/>
      </c>
      <c r="I680" s="43" t="str">
        <f>IF(ISNUMBER(H680),ROUND(MAX(F680*'参数'!$C$11,'参数'!$C$12)+'参数'!$C$13,2),"")</f>
        <v/>
      </c>
      <c r="J680" s="43" t="str">
        <f>IF(ISNUMBER(H680),IF(D680="卖",ROUND(H680*N('参数'!$C$14)+F680*N('参数'!$C$15),2),0),"")</f>
        <v/>
      </c>
      <c r="K680" s="23" t="n"/>
      <c r="L680" s="20" t="str">
        <f>IF(ISNUMBER(K680),K680,IF(ISNUMBER(H680),I680+J680,""))</f>
        <v/>
      </c>
      <c r="M680" s="48" t="str">
        <f>IF(AND(ISNUMBER(E680),ISNUMBER(G680),ISNUMBER(F680)),(E680-G680)*IF(D680="卖",-1,1)*F680,"")</f>
        <v/>
      </c>
      <c r="N680" s="49" t="str">
        <f>IF(A680="","",IFERROR(T(INDEX('交易记录'!$C$5:$C$304,MATCH(A680,'交易记录'!$A$5:$A$304,0))),"编号没找到"))</f>
        <v/>
      </c>
      <c r="O680" s="31" t="n"/>
    </row>
    <row r="681">
      <c r="A681" s="29" t="n"/>
      <c r="B681" s="30" t="n"/>
      <c r="C681" s="47" t="n"/>
      <c r="D681" s="32" t="n"/>
      <c r="E681" s="33" t="n"/>
      <c r="F681" s="36" t="n"/>
      <c r="G681" s="33" t="n"/>
      <c r="H681" s="20" t="str">
        <f>IF(AND(ISNUMBER(E681),ISNUMBER(F681)),E681*F681,"")</f>
        <v/>
      </c>
      <c r="I681" s="43" t="str">
        <f>IF(ISNUMBER(H681),ROUND(MAX(F681*'参数'!$C$11,'参数'!$C$12)+'参数'!$C$13,2),"")</f>
        <v/>
      </c>
      <c r="J681" s="43" t="str">
        <f>IF(ISNUMBER(H681),IF(D681="卖",ROUND(H681*N('参数'!$C$14)+F681*N('参数'!$C$15),2),0),"")</f>
        <v/>
      </c>
      <c r="K681" s="23" t="n"/>
      <c r="L681" s="20" t="str">
        <f>IF(ISNUMBER(K681),K681,IF(ISNUMBER(H681),I681+J681,""))</f>
        <v/>
      </c>
      <c r="M681" s="48" t="str">
        <f>IF(AND(ISNUMBER(E681),ISNUMBER(G681),ISNUMBER(F681)),(E681-G681)*IF(D681="卖",-1,1)*F681,"")</f>
        <v/>
      </c>
      <c r="N681" s="49" t="str">
        <f>IF(A681="","",IFERROR(T(INDEX('交易记录'!$C$5:$C$304,MATCH(A681,'交易记录'!$A$5:$A$304,0))),"编号没找到"))</f>
        <v/>
      </c>
      <c r="O681" s="31" t="n"/>
    </row>
    <row r="682">
      <c r="A682" s="29" t="n"/>
      <c r="B682" s="30" t="n"/>
      <c r="C682" s="47" t="n"/>
      <c r="D682" s="32" t="n"/>
      <c r="E682" s="33" t="n"/>
      <c r="F682" s="36" t="n"/>
      <c r="G682" s="33" t="n"/>
      <c r="H682" s="20" t="str">
        <f>IF(AND(ISNUMBER(E682),ISNUMBER(F682)),E682*F682,"")</f>
        <v/>
      </c>
      <c r="I682" s="43" t="str">
        <f>IF(ISNUMBER(H682),ROUND(MAX(F682*'参数'!$C$11,'参数'!$C$12)+'参数'!$C$13,2),"")</f>
        <v/>
      </c>
      <c r="J682" s="43" t="str">
        <f>IF(ISNUMBER(H682),IF(D682="卖",ROUND(H682*N('参数'!$C$14)+F682*N('参数'!$C$15),2),0),"")</f>
        <v/>
      </c>
      <c r="K682" s="23" t="n"/>
      <c r="L682" s="20" t="str">
        <f>IF(ISNUMBER(K682),K682,IF(ISNUMBER(H682),I682+J682,""))</f>
        <v/>
      </c>
      <c r="M682" s="48" t="str">
        <f>IF(AND(ISNUMBER(E682),ISNUMBER(G682),ISNUMBER(F682)),(E682-G682)*IF(D682="卖",-1,1)*F682,"")</f>
        <v/>
      </c>
      <c r="N682" s="49" t="str">
        <f>IF(A682="","",IFERROR(T(INDEX('交易记录'!$C$5:$C$304,MATCH(A682,'交易记录'!$A$5:$A$304,0))),"编号没找到"))</f>
        <v/>
      </c>
      <c r="O682" s="31" t="n"/>
    </row>
    <row r="683">
      <c r="A683" s="29" t="n"/>
      <c r="B683" s="30" t="n"/>
      <c r="C683" s="47" t="n"/>
      <c r="D683" s="32" t="n"/>
      <c r="E683" s="33" t="n"/>
      <c r="F683" s="36" t="n"/>
      <c r="G683" s="33" t="n"/>
      <c r="H683" s="20" t="str">
        <f>IF(AND(ISNUMBER(E683),ISNUMBER(F683)),E683*F683,"")</f>
        <v/>
      </c>
      <c r="I683" s="43" t="str">
        <f>IF(ISNUMBER(H683),ROUND(MAX(F683*'参数'!$C$11,'参数'!$C$12)+'参数'!$C$13,2),"")</f>
        <v/>
      </c>
      <c r="J683" s="43" t="str">
        <f>IF(ISNUMBER(H683),IF(D683="卖",ROUND(H683*N('参数'!$C$14)+F683*N('参数'!$C$15),2),0),"")</f>
        <v/>
      </c>
      <c r="K683" s="23" t="n"/>
      <c r="L683" s="20" t="str">
        <f>IF(ISNUMBER(K683),K683,IF(ISNUMBER(H683),I683+J683,""))</f>
        <v/>
      </c>
      <c r="M683" s="48" t="str">
        <f>IF(AND(ISNUMBER(E683),ISNUMBER(G683),ISNUMBER(F683)),(E683-G683)*IF(D683="卖",-1,1)*F683,"")</f>
        <v/>
      </c>
      <c r="N683" s="49" t="str">
        <f>IF(A683="","",IFERROR(T(INDEX('交易记录'!$C$5:$C$304,MATCH(A683,'交易记录'!$A$5:$A$304,0))),"编号没找到"))</f>
        <v/>
      </c>
      <c r="O683" s="31" t="n"/>
    </row>
    <row r="684">
      <c r="A684" s="29" t="n"/>
      <c r="B684" s="30" t="n"/>
      <c r="C684" s="47" t="n"/>
      <c r="D684" s="32" t="n"/>
      <c r="E684" s="33" t="n"/>
      <c r="F684" s="36" t="n"/>
      <c r="G684" s="33" t="n"/>
      <c r="H684" s="20" t="str">
        <f>IF(AND(ISNUMBER(E684),ISNUMBER(F684)),E684*F684,"")</f>
        <v/>
      </c>
      <c r="I684" s="43" t="str">
        <f>IF(ISNUMBER(H684),ROUND(MAX(F684*'参数'!$C$11,'参数'!$C$12)+'参数'!$C$13,2),"")</f>
        <v/>
      </c>
      <c r="J684" s="43" t="str">
        <f>IF(ISNUMBER(H684),IF(D684="卖",ROUND(H684*N('参数'!$C$14)+F684*N('参数'!$C$15),2),0),"")</f>
        <v/>
      </c>
      <c r="K684" s="23" t="n"/>
      <c r="L684" s="20" t="str">
        <f>IF(ISNUMBER(K684),K684,IF(ISNUMBER(H684),I684+J684,""))</f>
        <v/>
      </c>
      <c r="M684" s="48" t="str">
        <f>IF(AND(ISNUMBER(E684),ISNUMBER(G684),ISNUMBER(F684)),(E684-G684)*IF(D684="卖",-1,1)*F684,"")</f>
        <v/>
      </c>
      <c r="N684" s="49" t="str">
        <f>IF(A684="","",IFERROR(T(INDEX('交易记录'!$C$5:$C$304,MATCH(A684,'交易记录'!$A$5:$A$304,0))),"编号没找到"))</f>
        <v/>
      </c>
      <c r="O684" s="31" t="n"/>
    </row>
    <row r="685">
      <c r="A685" s="29" t="n"/>
      <c r="B685" s="30" t="n"/>
      <c r="C685" s="47" t="n"/>
      <c r="D685" s="32" t="n"/>
      <c r="E685" s="33" t="n"/>
      <c r="F685" s="36" t="n"/>
      <c r="G685" s="33" t="n"/>
      <c r="H685" s="20" t="str">
        <f>IF(AND(ISNUMBER(E685),ISNUMBER(F685)),E685*F685,"")</f>
        <v/>
      </c>
      <c r="I685" s="43" t="str">
        <f>IF(ISNUMBER(H685),ROUND(MAX(F685*'参数'!$C$11,'参数'!$C$12)+'参数'!$C$13,2),"")</f>
        <v/>
      </c>
      <c r="J685" s="43" t="str">
        <f>IF(ISNUMBER(H685),IF(D685="卖",ROUND(H685*N('参数'!$C$14)+F685*N('参数'!$C$15),2),0),"")</f>
        <v/>
      </c>
      <c r="K685" s="23" t="n"/>
      <c r="L685" s="20" t="str">
        <f>IF(ISNUMBER(K685),K685,IF(ISNUMBER(H685),I685+J685,""))</f>
        <v/>
      </c>
      <c r="M685" s="48" t="str">
        <f>IF(AND(ISNUMBER(E685),ISNUMBER(G685),ISNUMBER(F685)),(E685-G685)*IF(D685="卖",-1,1)*F685,"")</f>
        <v/>
      </c>
      <c r="N685" s="49" t="str">
        <f>IF(A685="","",IFERROR(T(INDEX('交易记录'!$C$5:$C$304,MATCH(A685,'交易记录'!$A$5:$A$304,0))),"编号没找到"))</f>
        <v/>
      </c>
      <c r="O685" s="31" t="n"/>
    </row>
    <row r="686">
      <c r="A686" s="29" t="n"/>
      <c r="B686" s="30" t="n"/>
      <c r="C686" s="47" t="n"/>
      <c r="D686" s="32" t="n"/>
      <c r="E686" s="33" t="n"/>
      <c r="F686" s="36" t="n"/>
      <c r="G686" s="33" t="n"/>
      <c r="H686" s="20" t="str">
        <f>IF(AND(ISNUMBER(E686),ISNUMBER(F686)),E686*F686,"")</f>
        <v/>
      </c>
      <c r="I686" s="43" t="str">
        <f>IF(ISNUMBER(H686),ROUND(MAX(F686*'参数'!$C$11,'参数'!$C$12)+'参数'!$C$13,2),"")</f>
        <v/>
      </c>
      <c r="J686" s="43" t="str">
        <f>IF(ISNUMBER(H686),IF(D686="卖",ROUND(H686*N('参数'!$C$14)+F686*N('参数'!$C$15),2),0),"")</f>
        <v/>
      </c>
      <c r="K686" s="23" t="n"/>
      <c r="L686" s="20" t="str">
        <f>IF(ISNUMBER(K686),K686,IF(ISNUMBER(H686),I686+J686,""))</f>
        <v/>
      </c>
      <c r="M686" s="48" t="str">
        <f>IF(AND(ISNUMBER(E686),ISNUMBER(G686),ISNUMBER(F686)),(E686-G686)*IF(D686="卖",-1,1)*F686,"")</f>
        <v/>
      </c>
      <c r="N686" s="49" t="str">
        <f>IF(A686="","",IFERROR(T(INDEX('交易记录'!$C$5:$C$304,MATCH(A686,'交易记录'!$A$5:$A$304,0))),"编号没找到"))</f>
        <v/>
      </c>
      <c r="O686" s="31" t="n"/>
    </row>
    <row r="687">
      <c r="A687" s="29" t="n"/>
      <c r="B687" s="30" t="n"/>
      <c r="C687" s="47" t="n"/>
      <c r="D687" s="32" t="n"/>
      <c r="E687" s="33" t="n"/>
      <c r="F687" s="36" t="n"/>
      <c r="G687" s="33" t="n"/>
      <c r="H687" s="20" t="str">
        <f>IF(AND(ISNUMBER(E687),ISNUMBER(F687)),E687*F687,"")</f>
        <v/>
      </c>
      <c r="I687" s="43" t="str">
        <f>IF(ISNUMBER(H687),ROUND(MAX(F687*'参数'!$C$11,'参数'!$C$12)+'参数'!$C$13,2),"")</f>
        <v/>
      </c>
      <c r="J687" s="43" t="str">
        <f>IF(ISNUMBER(H687),IF(D687="卖",ROUND(H687*N('参数'!$C$14)+F687*N('参数'!$C$15),2),0),"")</f>
        <v/>
      </c>
      <c r="K687" s="23" t="n"/>
      <c r="L687" s="20" t="str">
        <f>IF(ISNUMBER(K687),K687,IF(ISNUMBER(H687),I687+J687,""))</f>
        <v/>
      </c>
      <c r="M687" s="48" t="str">
        <f>IF(AND(ISNUMBER(E687),ISNUMBER(G687),ISNUMBER(F687)),(E687-G687)*IF(D687="卖",-1,1)*F687,"")</f>
        <v/>
      </c>
      <c r="N687" s="49" t="str">
        <f>IF(A687="","",IFERROR(T(INDEX('交易记录'!$C$5:$C$304,MATCH(A687,'交易记录'!$A$5:$A$304,0))),"编号没找到"))</f>
        <v/>
      </c>
      <c r="O687" s="31" t="n"/>
    </row>
    <row r="688">
      <c r="A688" s="29" t="n"/>
      <c r="B688" s="30" t="n"/>
      <c r="C688" s="47" t="n"/>
      <c r="D688" s="32" t="n"/>
      <c r="E688" s="33" t="n"/>
      <c r="F688" s="36" t="n"/>
      <c r="G688" s="33" t="n"/>
      <c r="H688" s="20" t="str">
        <f>IF(AND(ISNUMBER(E688),ISNUMBER(F688)),E688*F688,"")</f>
        <v/>
      </c>
      <c r="I688" s="43" t="str">
        <f>IF(ISNUMBER(H688),ROUND(MAX(F688*'参数'!$C$11,'参数'!$C$12)+'参数'!$C$13,2),"")</f>
        <v/>
      </c>
      <c r="J688" s="43" t="str">
        <f>IF(ISNUMBER(H688),IF(D688="卖",ROUND(H688*N('参数'!$C$14)+F688*N('参数'!$C$15),2),0),"")</f>
        <v/>
      </c>
      <c r="K688" s="23" t="n"/>
      <c r="L688" s="20" t="str">
        <f>IF(ISNUMBER(K688),K688,IF(ISNUMBER(H688),I688+J688,""))</f>
        <v/>
      </c>
      <c r="M688" s="48" t="str">
        <f>IF(AND(ISNUMBER(E688),ISNUMBER(G688),ISNUMBER(F688)),(E688-G688)*IF(D688="卖",-1,1)*F688,"")</f>
        <v/>
      </c>
      <c r="N688" s="49" t="str">
        <f>IF(A688="","",IFERROR(T(INDEX('交易记录'!$C$5:$C$304,MATCH(A688,'交易记录'!$A$5:$A$304,0))),"编号没找到"))</f>
        <v/>
      </c>
      <c r="O688" s="31" t="n"/>
    </row>
    <row r="689">
      <c r="A689" s="29" t="n"/>
      <c r="B689" s="30" t="n"/>
      <c r="C689" s="47" t="n"/>
      <c r="D689" s="32" t="n"/>
      <c r="E689" s="33" t="n"/>
      <c r="F689" s="36" t="n"/>
      <c r="G689" s="33" t="n"/>
      <c r="H689" s="20" t="str">
        <f>IF(AND(ISNUMBER(E689),ISNUMBER(F689)),E689*F689,"")</f>
        <v/>
      </c>
      <c r="I689" s="43" t="str">
        <f>IF(ISNUMBER(H689),ROUND(MAX(F689*'参数'!$C$11,'参数'!$C$12)+'参数'!$C$13,2),"")</f>
        <v/>
      </c>
      <c r="J689" s="43" t="str">
        <f>IF(ISNUMBER(H689),IF(D689="卖",ROUND(H689*N('参数'!$C$14)+F689*N('参数'!$C$15),2),0),"")</f>
        <v/>
      </c>
      <c r="K689" s="23" t="n"/>
      <c r="L689" s="20" t="str">
        <f>IF(ISNUMBER(K689),K689,IF(ISNUMBER(H689),I689+J689,""))</f>
        <v/>
      </c>
      <c r="M689" s="48" t="str">
        <f>IF(AND(ISNUMBER(E689),ISNUMBER(G689),ISNUMBER(F689)),(E689-G689)*IF(D689="卖",-1,1)*F689,"")</f>
        <v/>
      </c>
      <c r="N689" s="49" t="str">
        <f>IF(A689="","",IFERROR(T(INDEX('交易记录'!$C$5:$C$304,MATCH(A689,'交易记录'!$A$5:$A$304,0))),"编号没找到"))</f>
        <v/>
      </c>
      <c r="O689" s="31" t="n"/>
    </row>
    <row r="690">
      <c r="A690" s="29" t="n"/>
      <c r="B690" s="30" t="n"/>
      <c r="C690" s="47" t="n"/>
      <c r="D690" s="32" t="n"/>
      <c r="E690" s="33" t="n"/>
      <c r="F690" s="36" t="n"/>
      <c r="G690" s="33" t="n"/>
      <c r="H690" s="20" t="str">
        <f>IF(AND(ISNUMBER(E690),ISNUMBER(F690)),E690*F690,"")</f>
        <v/>
      </c>
      <c r="I690" s="43" t="str">
        <f>IF(ISNUMBER(H690),ROUND(MAX(F690*'参数'!$C$11,'参数'!$C$12)+'参数'!$C$13,2),"")</f>
        <v/>
      </c>
      <c r="J690" s="43" t="str">
        <f>IF(ISNUMBER(H690),IF(D690="卖",ROUND(H690*N('参数'!$C$14)+F690*N('参数'!$C$15),2),0),"")</f>
        <v/>
      </c>
      <c r="K690" s="23" t="n"/>
      <c r="L690" s="20" t="str">
        <f>IF(ISNUMBER(K690),K690,IF(ISNUMBER(H690),I690+J690,""))</f>
        <v/>
      </c>
      <c r="M690" s="48" t="str">
        <f>IF(AND(ISNUMBER(E690),ISNUMBER(G690),ISNUMBER(F690)),(E690-G690)*IF(D690="卖",-1,1)*F690,"")</f>
        <v/>
      </c>
      <c r="N690" s="49" t="str">
        <f>IF(A690="","",IFERROR(T(INDEX('交易记录'!$C$5:$C$304,MATCH(A690,'交易记录'!$A$5:$A$304,0))),"编号没找到"))</f>
        <v/>
      </c>
      <c r="O690" s="31" t="n"/>
    </row>
    <row r="691">
      <c r="A691" s="29" t="n"/>
      <c r="B691" s="30" t="n"/>
      <c r="C691" s="47" t="n"/>
      <c r="D691" s="32" t="n"/>
      <c r="E691" s="33" t="n"/>
      <c r="F691" s="36" t="n"/>
      <c r="G691" s="33" t="n"/>
      <c r="H691" s="20" t="str">
        <f>IF(AND(ISNUMBER(E691),ISNUMBER(F691)),E691*F691,"")</f>
        <v/>
      </c>
      <c r="I691" s="43" t="str">
        <f>IF(ISNUMBER(H691),ROUND(MAX(F691*'参数'!$C$11,'参数'!$C$12)+'参数'!$C$13,2),"")</f>
        <v/>
      </c>
      <c r="J691" s="43" t="str">
        <f>IF(ISNUMBER(H691),IF(D691="卖",ROUND(H691*N('参数'!$C$14)+F691*N('参数'!$C$15),2),0),"")</f>
        <v/>
      </c>
      <c r="K691" s="23" t="n"/>
      <c r="L691" s="20" t="str">
        <f>IF(ISNUMBER(K691),K691,IF(ISNUMBER(H691),I691+J691,""))</f>
        <v/>
      </c>
      <c r="M691" s="48" t="str">
        <f>IF(AND(ISNUMBER(E691),ISNUMBER(G691),ISNUMBER(F691)),(E691-G691)*IF(D691="卖",-1,1)*F691,"")</f>
        <v/>
      </c>
      <c r="N691" s="49" t="str">
        <f>IF(A691="","",IFERROR(T(INDEX('交易记录'!$C$5:$C$304,MATCH(A691,'交易记录'!$A$5:$A$304,0))),"编号没找到"))</f>
        <v/>
      </c>
      <c r="O691" s="31" t="n"/>
    </row>
    <row r="692">
      <c r="A692" s="29" t="n"/>
      <c r="B692" s="30" t="n"/>
      <c r="C692" s="47" t="n"/>
      <c r="D692" s="32" t="n"/>
      <c r="E692" s="33" t="n"/>
      <c r="F692" s="36" t="n"/>
      <c r="G692" s="33" t="n"/>
      <c r="H692" s="20" t="str">
        <f>IF(AND(ISNUMBER(E692),ISNUMBER(F692)),E692*F692,"")</f>
        <v/>
      </c>
      <c r="I692" s="43" t="str">
        <f>IF(ISNUMBER(H692),ROUND(MAX(F692*'参数'!$C$11,'参数'!$C$12)+'参数'!$C$13,2),"")</f>
        <v/>
      </c>
      <c r="J692" s="43" t="str">
        <f>IF(ISNUMBER(H692),IF(D692="卖",ROUND(H692*N('参数'!$C$14)+F692*N('参数'!$C$15),2),0),"")</f>
        <v/>
      </c>
      <c r="K692" s="23" t="n"/>
      <c r="L692" s="20" t="str">
        <f>IF(ISNUMBER(K692),K692,IF(ISNUMBER(H692),I692+J692,""))</f>
        <v/>
      </c>
      <c r="M692" s="48" t="str">
        <f>IF(AND(ISNUMBER(E692),ISNUMBER(G692),ISNUMBER(F692)),(E692-G692)*IF(D692="卖",-1,1)*F692,"")</f>
        <v/>
      </c>
      <c r="N692" s="49" t="str">
        <f>IF(A692="","",IFERROR(T(INDEX('交易记录'!$C$5:$C$304,MATCH(A692,'交易记录'!$A$5:$A$304,0))),"编号没找到"))</f>
        <v/>
      </c>
      <c r="O692" s="31" t="n"/>
    </row>
    <row r="693">
      <c r="A693" s="29" t="n"/>
      <c r="B693" s="30" t="n"/>
      <c r="C693" s="47" t="n"/>
      <c r="D693" s="32" t="n"/>
      <c r="E693" s="33" t="n"/>
      <c r="F693" s="36" t="n"/>
      <c r="G693" s="33" t="n"/>
      <c r="H693" s="20" t="str">
        <f>IF(AND(ISNUMBER(E693),ISNUMBER(F693)),E693*F693,"")</f>
        <v/>
      </c>
      <c r="I693" s="43" t="str">
        <f>IF(ISNUMBER(H693),ROUND(MAX(F693*'参数'!$C$11,'参数'!$C$12)+'参数'!$C$13,2),"")</f>
        <v/>
      </c>
      <c r="J693" s="43" t="str">
        <f>IF(ISNUMBER(H693),IF(D693="卖",ROUND(H693*N('参数'!$C$14)+F693*N('参数'!$C$15),2),0),"")</f>
        <v/>
      </c>
      <c r="K693" s="23" t="n"/>
      <c r="L693" s="20" t="str">
        <f>IF(ISNUMBER(K693),K693,IF(ISNUMBER(H693),I693+J693,""))</f>
        <v/>
      </c>
      <c r="M693" s="48" t="str">
        <f>IF(AND(ISNUMBER(E693),ISNUMBER(G693),ISNUMBER(F693)),(E693-G693)*IF(D693="卖",-1,1)*F693,"")</f>
        <v/>
      </c>
      <c r="N693" s="49" t="str">
        <f>IF(A693="","",IFERROR(T(INDEX('交易记录'!$C$5:$C$304,MATCH(A693,'交易记录'!$A$5:$A$304,0))),"编号没找到"))</f>
        <v/>
      </c>
      <c r="O693" s="31" t="n"/>
    </row>
    <row r="694">
      <c r="A694" s="29" t="n"/>
      <c r="B694" s="30" t="n"/>
      <c r="C694" s="47" t="n"/>
      <c r="D694" s="32" t="n"/>
      <c r="E694" s="33" t="n"/>
      <c r="F694" s="36" t="n"/>
      <c r="G694" s="33" t="n"/>
      <c r="H694" s="20" t="str">
        <f>IF(AND(ISNUMBER(E694),ISNUMBER(F694)),E694*F694,"")</f>
        <v/>
      </c>
      <c r="I694" s="43" t="str">
        <f>IF(ISNUMBER(H694),ROUND(MAX(F694*'参数'!$C$11,'参数'!$C$12)+'参数'!$C$13,2),"")</f>
        <v/>
      </c>
      <c r="J694" s="43" t="str">
        <f>IF(ISNUMBER(H694),IF(D694="卖",ROUND(H694*N('参数'!$C$14)+F694*N('参数'!$C$15),2),0),"")</f>
        <v/>
      </c>
      <c r="K694" s="23" t="n"/>
      <c r="L694" s="20" t="str">
        <f>IF(ISNUMBER(K694),K694,IF(ISNUMBER(H694),I694+J694,""))</f>
        <v/>
      </c>
      <c r="M694" s="48" t="str">
        <f>IF(AND(ISNUMBER(E694),ISNUMBER(G694),ISNUMBER(F694)),(E694-G694)*IF(D694="卖",-1,1)*F694,"")</f>
        <v/>
      </c>
      <c r="N694" s="49" t="str">
        <f>IF(A694="","",IFERROR(T(INDEX('交易记录'!$C$5:$C$304,MATCH(A694,'交易记录'!$A$5:$A$304,0))),"编号没找到"))</f>
        <v/>
      </c>
      <c r="O694" s="31" t="n"/>
    </row>
    <row r="695">
      <c r="A695" s="29" t="n"/>
      <c r="B695" s="30" t="n"/>
      <c r="C695" s="47" t="n"/>
      <c r="D695" s="32" t="n"/>
      <c r="E695" s="33" t="n"/>
      <c r="F695" s="36" t="n"/>
      <c r="G695" s="33" t="n"/>
      <c r="H695" s="20" t="str">
        <f>IF(AND(ISNUMBER(E695),ISNUMBER(F695)),E695*F695,"")</f>
        <v/>
      </c>
      <c r="I695" s="43" t="str">
        <f>IF(ISNUMBER(H695),ROUND(MAX(F695*'参数'!$C$11,'参数'!$C$12)+'参数'!$C$13,2),"")</f>
        <v/>
      </c>
      <c r="J695" s="43" t="str">
        <f>IF(ISNUMBER(H695),IF(D695="卖",ROUND(H695*N('参数'!$C$14)+F695*N('参数'!$C$15),2),0),"")</f>
        <v/>
      </c>
      <c r="K695" s="23" t="n"/>
      <c r="L695" s="20" t="str">
        <f>IF(ISNUMBER(K695),K695,IF(ISNUMBER(H695),I695+J695,""))</f>
        <v/>
      </c>
      <c r="M695" s="48" t="str">
        <f>IF(AND(ISNUMBER(E695),ISNUMBER(G695),ISNUMBER(F695)),(E695-G695)*IF(D695="卖",-1,1)*F695,"")</f>
        <v/>
      </c>
      <c r="N695" s="49" t="str">
        <f>IF(A695="","",IFERROR(T(INDEX('交易记录'!$C$5:$C$304,MATCH(A695,'交易记录'!$A$5:$A$304,0))),"编号没找到"))</f>
        <v/>
      </c>
      <c r="O695" s="31" t="n"/>
    </row>
    <row r="696">
      <c r="A696" s="29" t="n"/>
      <c r="B696" s="30" t="n"/>
      <c r="C696" s="47" t="n"/>
      <c r="D696" s="32" t="n"/>
      <c r="E696" s="33" t="n"/>
      <c r="F696" s="36" t="n"/>
      <c r="G696" s="33" t="n"/>
      <c r="H696" s="20" t="str">
        <f>IF(AND(ISNUMBER(E696),ISNUMBER(F696)),E696*F696,"")</f>
        <v/>
      </c>
      <c r="I696" s="43" t="str">
        <f>IF(ISNUMBER(H696),ROUND(MAX(F696*'参数'!$C$11,'参数'!$C$12)+'参数'!$C$13,2),"")</f>
        <v/>
      </c>
      <c r="J696" s="43" t="str">
        <f>IF(ISNUMBER(H696),IF(D696="卖",ROUND(H696*N('参数'!$C$14)+F696*N('参数'!$C$15),2),0),"")</f>
        <v/>
      </c>
      <c r="K696" s="23" t="n"/>
      <c r="L696" s="20" t="str">
        <f>IF(ISNUMBER(K696),K696,IF(ISNUMBER(H696),I696+J696,""))</f>
        <v/>
      </c>
      <c r="M696" s="48" t="str">
        <f>IF(AND(ISNUMBER(E696),ISNUMBER(G696),ISNUMBER(F696)),(E696-G696)*IF(D696="卖",-1,1)*F696,"")</f>
        <v/>
      </c>
      <c r="N696" s="49" t="str">
        <f>IF(A696="","",IFERROR(T(INDEX('交易记录'!$C$5:$C$304,MATCH(A696,'交易记录'!$A$5:$A$304,0))),"编号没找到"))</f>
        <v/>
      </c>
      <c r="O696" s="31" t="n"/>
    </row>
    <row r="697">
      <c r="A697" s="29" t="n"/>
      <c r="B697" s="30" t="n"/>
      <c r="C697" s="47" t="n"/>
      <c r="D697" s="32" t="n"/>
      <c r="E697" s="33" t="n"/>
      <c r="F697" s="36" t="n"/>
      <c r="G697" s="33" t="n"/>
      <c r="H697" s="20" t="str">
        <f>IF(AND(ISNUMBER(E697),ISNUMBER(F697)),E697*F697,"")</f>
        <v/>
      </c>
      <c r="I697" s="43" t="str">
        <f>IF(ISNUMBER(H697),ROUND(MAX(F697*'参数'!$C$11,'参数'!$C$12)+'参数'!$C$13,2),"")</f>
        <v/>
      </c>
      <c r="J697" s="43" t="str">
        <f>IF(ISNUMBER(H697),IF(D697="卖",ROUND(H697*N('参数'!$C$14)+F697*N('参数'!$C$15),2),0),"")</f>
        <v/>
      </c>
      <c r="K697" s="23" t="n"/>
      <c r="L697" s="20" t="str">
        <f>IF(ISNUMBER(K697),K697,IF(ISNUMBER(H697),I697+J697,""))</f>
        <v/>
      </c>
      <c r="M697" s="48" t="str">
        <f>IF(AND(ISNUMBER(E697),ISNUMBER(G697),ISNUMBER(F697)),(E697-G697)*IF(D697="卖",-1,1)*F697,"")</f>
        <v/>
      </c>
      <c r="N697" s="49" t="str">
        <f>IF(A697="","",IFERROR(T(INDEX('交易记录'!$C$5:$C$304,MATCH(A697,'交易记录'!$A$5:$A$304,0))),"编号没找到"))</f>
        <v/>
      </c>
      <c r="O697" s="31" t="n"/>
    </row>
    <row r="698">
      <c r="A698" s="29" t="n"/>
      <c r="B698" s="30" t="n"/>
      <c r="C698" s="47" t="n"/>
      <c r="D698" s="32" t="n"/>
      <c r="E698" s="33" t="n"/>
      <c r="F698" s="36" t="n"/>
      <c r="G698" s="33" t="n"/>
      <c r="H698" s="20" t="str">
        <f>IF(AND(ISNUMBER(E698),ISNUMBER(F698)),E698*F698,"")</f>
        <v/>
      </c>
      <c r="I698" s="43" t="str">
        <f>IF(ISNUMBER(H698),ROUND(MAX(F698*'参数'!$C$11,'参数'!$C$12)+'参数'!$C$13,2),"")</f>
        <v/>
      </c>
      <c r="J698" s="43" t="str">
        <f>IF(ISNUMBER(H698),IF(D698="卖",ROUND(H698*N('参数'!$C$14)+F698*N('参数'!$C$15),2),0),"")</f>
        <v/>
      </c>
      <c r="K698" s="23" t="n"/>
      <c r="L698" s="20" t="str">
        <f>IF(ISNUMBER(K698),K698,IF(ISNUMBER(H698),I698+J698,""))</f>
        <v/>
      </c>
      <c r="M698" s="48" t="str">
        <f>IF(AND(ISNUMBER(E698),ISNUMBER(G698),ISNUMBER(F698)),(E698-G698)*IF(D698="卖",-1,1)*F698,"")</f>
        <v/>
      </c>
      <c r="N698" s="49" t="str">
        <f>IF(A698="","",IFERROR(T(INDEX('交易记录'!$C$5:$C$304,MATCH(A698,'交易记录'!$A$5:$A$304,0))),"编号没找到"))</f>
        <v/>
      </c>
      <c r="O698" s="31" t="n"/>
    </row>
    <row r="699">
      <c r="A699" s="29" t="n"/>
      <c r="B699" s="30" t="n"/>
      <c r="C699" s="47" t="n"/>
      <c r="D699" s="32" t="n"/>
      <c r="E699" s="33" t="n"/>
      <c r="F699" s="36" t="n"/>
      <c r="G699" s="33" t="n"/>
      <c r="H699" s="20" t="str">
        <f>IF(AND(ISNUMBER(E699),ISNUMBER(F699)),E699*F699,"")</f>
        <v/>
      </c>
      <c r="I699" s="43" t="str">
        <f>IF(ISNUMBER(H699),ROUND(MAX(F699*'参数'!$C$11,'参数'!$C$12)+'参数'!$C$13,2),"")</f>
        <v/>
      </c>
      <c r="J699" s="43" t="str">
        <f>IF(ISNUMBER(H699),IF(D699="卖",ROUND(H699*N('参数'!$C$14)+F699*N('参数'!$C$15),2),0),"")</f>
        <v/>
      </c>
      <c r="K699" s="23" t="n"/>
      <c r="L699" s="20" t="str">
        <f>IF(ISNUMBER(K699),K699,IF(ISNUMBER(H699),I699+J699,""))</f>
        <v/>
      </c>
      <c r="M699" s="48" t="str">
        <f>IF(AND(ISNUMBER(E699),ISNUMBER(G699),ISNUMBER(F699)),(E699-G699)*IF(D699="卖",-1,1)*F699,"")</f>
        <v/>
      </c>
      <c r="N699" s="49" t="str">
        <f>IF(A699="","",IFERROR(T(INDEX('交易记录'!$C$5:$C$304,MATCH(A699,'交易记录'!$A$5:$A$304,0))),"编号没找到"))</f>
        <v/>
      </c>
      <c r="O699" s="31" t="n"/>
    </row>
    <row r="700">
      <c r="A700" s="29" t="n"/>
      <c r="B700" s="30" t="n"/>
      <c r="C700" s="47" t="n"/>
      <c r="D700" s="32" t="n"/>
      <c r="E700" s="33" t="n"/>
      <c r="F700" s="36" t="n"/>
      <c r="G700" s="33" t="n"/>
      <c r="H700" s="20" t="str">
        <f>IF(AND(ISNUMBER(E700),ISNUMBER(F700)),E700*F700,"")</f>
        <v/>
      </c>
      <c r="I700" s="43" t="str">
        <f>IF(ISNUMBER(H700),ROUND(MAX(F700*'参数'!$C$11,'参数'!$C$12)+'参数'!$C$13,2),"")</f>
        <v/>
      </c>
      <c r="J700" s="43" t="str">
        <f>IF(ISNUMBER(H700),IF(D700="卖",ROUND(H700*N('参数'!$C$14)+F700*N('参数'!$C$15),2),0),"")</f>
        <v/>
      </c>
      <c r="K700" s="23" t="n"/>
      <c r="L700" s="20" t="str">
        <f>IF(ISNUMBER(K700),K700,IF(ISNUMBER(H700),I700+J700,""))</f>
        <v/>
      </c>
      <c r="M700" s="48" t="str">
        <f>IF(AND(ISNUMBER(E700),ISNUMBER(G700),ISNUMBER(F700)),(E700-G700)*IF(D700="卖",-1,1)*F700,"")</f>
        <v/>
      </c>
      <c r="N700" s="49" t="str">
        <f>IF(A700="","",IFERROR(T(INDEX('交易记录'!$C$5:$C$304,MATCH(A700,'交易记录'!$A$5:$A$304,0))),"编号没找到"))</f>
        <v/>
      </c>
      <c r="O700" s="31" t="n"/>
    </row>
    <row r="701">
      <c r="A701" s="29" t="n"/>
      <c r="B701" s="30" t="n"/>
      <c r="C701" s="47" t="n"/>
      <c r="D701" s="32" t="n"/>
      <c r="E701" s="33" t="n"/>
      <c r="F701" s="36" t="n"/>
      <c r="G701" s="33" t="n"/>
      <c r="H701" s="20" t="str">
        <f>IF(AND(ISNUMBER(E701),ISNUMBER(F701)),E701*F701,"")</f>
        <v/>
      </c>
      <c r="I701" s="43" t="str">
        <f>IF(ISNUMBER(H701),ROUND(MAX(F701*'参数'!$C$11,'参数'!$C$12)+'参数'!$C$13,2),"")</f>
        <v/>
      </c>
      <c r="J701" s="43" t="str">
        <f>IF(ISNUMBER(H701),IF(D701="卖",ROUND(H701*N('参数'!$C$14)+F701*N('参数'!$C$15),2),0),"")</f>
        <v/>
      </c>
      <c r="K701" s="23" t="n"/>
      <c r="L701" s="20" t="str">
        <f>IF(ISNUMBER(K701),K701,IF(ISNUMBER(H701),I701+J701,""))</f>
        <v/>
      </c>
      <c r="M701" s="48" t="str">
        <f>IF(AND(ISNUMBER(E701),ISNUMBER(G701),ISNUMBER(F701)),(E701-G701)*IF(D701="卖",-1,1)*F701,"")</f>
        <v/>
      </c>
      <c r="N701" s="49" t="str">
        <f>IF(A701="","",IFERROR(T(INDEX('交易记录'!$C$5:$C$304,MATCH(A701,'交易记录'!$A$5:$A$304,0))),"编号没找到"))</f>
        <v/>
      </c>
      <c r="O701" s="31" t="n"/>
    </row>
    <row r="702">
      <c r="A702" s="29" t="n"/>
      <c r="B702" s="30" t="n"/>
      <c r="C702" s="47" t="n"/>
      <c r="D702" s="32" t="n"/>
      <c r="E702" s="33" t="n"/>
      <c r="F702" s="36" t="n"/>
      <c r="G702" s="33" t="n"/>
      <c r="H702" s="20" t="str">
        <f>IF(AND(ISNUMBER(E702),ISNUMBER(F702)),E702*F702,"")</f>
        <v/>
      </c>
      <c r="I702" s="43" t="str">
        <f>IF(ISNUMBER(H702),ROUND(MAX(F702*'参数'!$C$11,'参数'!$C$12)+'参数'!$C$13,2),"")</f>
        <v/>
      </c>
      <c r="J702" s="43" t="str">
        <f>IF(ISNUMBER(H702),IF(D702="卖",ROUND(H702*N('参数'!$C$14)+F702*N('参数'!$C$15),2),0),"")</f>
        <v/>
      </c>
      <c r="K702" s="23" t="n"/>
      <c r="L702" s="20" t="str">
        <f>IF(ISNUMBER(K702),K702,IF(ISNUMBER(H702),I702+J702,""))</f>
        <v/>
      </c>
      <c r="M702" s="48" t="str">
        <f>IF(AND(ISNUMBER(E702),ISNUMBER(G702),ISNUMBER(F702)),(E702-G702)*IF(D702="卖",-1,1)*F702,"")</f>
        <v/>
      </c>
      <c r="N702" s="49" t="str">
        <f>IF(A702="","",IFERROR(T(INDEX('交易记录'!$C$5:$C$304,MATCH(A702,'交易记录'!$A$5:$A$304,0))),"编号没找到"))</f>
        <v/>
      </c>
      <c r="O702" s="31" t="n"/>
    </row>
    <row r="703">
      <c r="A703" s="29" t="n"/>
      <c r="B703" s="30" t="n"/>
      <c r="C703" s="47" t="n"/>
      <c r="D703" s="32" t="n"/>
      <c r="E703" s="33" t="n"/>
      <c r="F703" s="36" t="n"/>
      <c r="G703" s="33" t="n"/>
      <c r="H703" s="20" t="str">
        <f>IF(AND(ISNUMBER(E703),ISNUMBER(F703)),E703*F703,"")</f>
        <v/>
      </c>
      <c r="I703" s="43" t="str">
        <f>IF(ISNUMBER(H703),ROUND(MAX(F703*'参数'!$C$11,'参数'!$C$12)+'参数'!$C$13,2),"")</f>
        <v/>
      </c>
      <c r="J703" s="43" t="str">
        <f>IF(ISNUMBER(H703),IF(D703="卖",ROUND(H703*N('参数'!$C$14)+F703*N('参数'!$C$15),2),0),"")</f>
        <v/>
      </c>
      <c r="K703" s="23" t="n"/>
      <c r="L703" s="20" t="str">
        <f>IF(ISNUMBER(K703),K703,IF(ISNUMBER(H703),I703+J703,""))</f>
        <v/>
      </c>
      <c r="M703" s="48" t="str">
        <f>IF(AND(ISNUMBER(E703),ISNUMBER(G703),ISNUMBER(F703)),(E703-G703)*IF(D703="卖",-1,1)*F703,"")</f>
        <v/>
      </c>
      <c r="N703" s="49" t="str">
        <f>IF(A703="","",IFERROR(T(INDEX('交易记录'!$C$5:$C$304,MATCH(A703,'交易记录'!$A$5:$A$304,0))),"编号没找到"))</f>
        <v/>
      </c>
      <c r="O703" s="31" t="n"/>
    </row>
    <row r="704">
      <c r="A704" s="29" t="n"/>
      <c r="B704" s="30" t="n"/>
      <c r="C704" s="47" t="n"/>
      <c r="D704" s="32" t="n"/>
      <c r="E704" s="33" t="n"/>
      <c r="F704" s="36" t="n"/>
      <c r="G704" s="33" t="n"/>
      <c r="H704" s="20" t="str">
        <f>IF(AND(ISNUMBER(E704),ISNUMBER(F704)),E704*F704,"")</f>
        <v/>
      </c>
      <c r="I704" s="43" t="str">
        <f>IF(ISNUMBER(H704),ROUND(MAX(F704*'参数'!$C$11,'参数'!$C$12)+'参数'!$C$13,2),"")</f>
        <v/>
      </c>
      <c r="J704" s="43" t="str">
        <f>IF(ISNUMBER(H704),IF(D704="卖",ROUND(H704*N('参数'!$C$14)+F704*N('参数'!$C$15),2),0),"")</f>
        <v/>
      </c>
      <c r="K704" s="23" t="n"/>
      <c r="L704" s="20" t="str">
        <f>IF(ISNUMBER(K704),K704,IF(ISNUMBER(H704),I704+J704,""))</f>
        <v/>
      </c>
      <c r="M704" s="48" t="str">
        <f>IF(AND(ISNUMBER(E704),ISNUMBER(G704),ISNUMBER(F704)),(E704-G704)*IF(D704="卖",-1,1)*F704,"")</f>
        <v/>
      </c>
      <c r="N704" s="49" t="str">
        <f>IF(A704="","",IFERROR(T(INDEX('交易记录'!$C$5:$C$304,MATCH(A704,'交易记录'!$A$5:$A$304,0))),"编号没找到"))</f>
        <v/>
      </c>
      <c r="O704" s="31" t="n"/>
    </row>
    <row r="705">
      <c r="A705" s="29" t="n"/>
      <c r="B705" s="30" t="n"/>
      <c r="C705" s="47" t="n"/>
      <c r="D705" s="32" t="n"/>
      <c r="E705" s="33" t="n"/>
      <c r="F705" s="36" t="n"/>
      <c r="G705" s="33" t="n"/>
      <c r="H705" s="20" t="str">
        <f>IF(AND(ISNUMBER(E705),ISNUMBER(F705)),E705*F705,"")</f>
        <v/>
      </c>
      <c r="I705" s="43" t="str">
        <f>IF(ISNUMBER(H705),ROUND(MAX(F705*'参数'!$C$11,'参数'!$C$12)+'参数'!$C$13,2),"")</f>
        <v/>
      </c>
      <c r="J705" s="43" t="str">
        <f>IF(ISNUMBER(H705),IF(D705="卖",ROUND(H705*N('参数'!$C$14)+F705*N('参数'!$C$15),2),0),"")</f>
        <v/>
      </c>
      <c r="K705" s="23" t="n"/>
      <c r="L705" s="20" t="str">
        <f>IF(ISNUMBER(K705),K705,IF(ISNUMBER(H705),I705+J705,""))</f>
        <v/>
      </c>
      <c r="M705" s="48" t="str">
        <f>IF(AND(ISNUMBER(E705),ISNUMBER(G705),ISNUMBER(F705)),(E705-G705)*IF(D705="卖",-1,1)*F705,"")</f>
        <v/>
      </c>
      <c r="N705" s="49" t="str">
        <f>IF(A705="","",IFERROR(T(INDEX('交易记录'!$C$5:$C$304,MATCH(A705,'交易记录'!$A$5:$A$304,0))),"编号没找到"))</f>
        <v/>
      </c>
      <c r="O705" s="31" t="n"/>
    </row>
    <row r="706">
      <c r="A706" s="29" t="n"/>
      <c r="B706" s="30" t="n"/>
      <c r="C706" s="47" t="n"/>
      <c r="D706" s="32" t="n"/>
      <c r="E706" s="33" t="n"/>
      <c r="F706" s="36" t="n"/>
      <c r="G706" s="33" t="n"/>
      <c r="H706" s="20" t="str">
        <f>IF(AND(ISNUMBER(E706),ISNUMBER(F706)),E706*F706,"")</f>
        <v/>
      </c>
      <c r="I706" s="43" t="str">
        <f>IF(ISNUMBER(H706),ROUND(MAX(F706*'参数'!$C$11,'参数'!$C$12)+'参数'!$C$13,2),"")</f>
        <v/>
      </c>
      <c r="J706" s="43" t="str">
        <f>IF(ISNUMBER(H706),IF(D706="卖",ROUND(H706*N('参数'!$C$14)+F706*N('参数'!$C$15),2),0),"")</f>
        <v/>
      </c>
      <c r="K706" s="23" t="n"/>
      <c r="L706" s="20" t="str">
        <f>IF(ISNUMBER(K706),K706,IF(ISNUMBER(H706),I706+J706,""))</f>
        <v/>
      </c>
      <c r="M706" s="48" t="str">
        <f>IF(AND(ISNUMBER(E706),ISNUMBER(G706),ISNUMBER(F706)),(E706-G706)*IF(D706="卖",-1,1)*F706,"")</f>
        <v/>
      </c>
      <c r="N706" s="49" t="str">
        <f>IF(A706="","",IFERROR(T(INDEX('交易记录'!$C$5:$C$304,MATCH(A706,'交易记录'!$A$5:$A$304,0))),"编号没找到"))</f>
        <v/>
      </c>
      <c r="O706" s="31" t="n"/>
    </row>
    <row r="707">
      <c r="A707" s="29" t="n"/>
      <c r="B707" s="30" t="n"/>
      <c r="C707" s="47" t="n"/>
      <c r="D707" s="32" t="n"/>
      <c r="E707" s="33" t="n"/>
      <c r="F707" s="36" t="n"/>
      <c r="G707" s="33" t="n"/>
      <c r="H707" s="20" t="str">
        <f>IF(AND(ISNUMBER(E707),ISNUMBER(F707)),E707*F707,"")</f>
        <v/>
      </c>
      <c r="I707" s="43" t="str">
        <f>IF(ISNUMBER(H707),ROUND(MAX(F707*'参数'!$C$11,'参数'!$C$12)+'参数'!$C$13,2),"")</f>
        <v/>
      </c>
      <c r="J707" s="43" t="str">
        <f>IF(ISNUMBER(H707),IF(D707="卖",ROUND(H707*N('参数'!$C$14)+F707*N('参数'!$C$15),2),0),"")</f>
        <v/>
      </c>
      <c r="K707" s="23" t="n"/>
      <c r="L707" s="20" t="str">
        <f>IF(ISNUMBER(K707),K707,IF(ISNUMBER(H707),I707+J707,""))</f>
        <v/>
      </c>
      <c r="M707" s="48" t="str">
        <f>IF(AND(ISNUMBER(E707),ISNUMBER(G707),ISNUMBER(F707)),(E707-G707)*IF(D707="卖",-1,1)*F707,"")</f>
        <v/>
      </c>
      <c r="N707" s="49" t="str">
        <f>IF(A707="","",IFERROR(T(INDEX('交易记录'!$C$5:$C$304,MATCH(A707,'交易记录'!$A$5:$A$304,0))),"编号没找到"))</f>
        <v/>
      </c>
      <c r="O707" s="31" t="n"/>
    </row>
    <row r="708">
      <c r="A708" s="29" t="n"/>
      <c r="B708" s="30" t="n"/>
      <c r="C708" s="47" t="n"/>
      <c r="D708" s="32" t="n"/>
      <c r="E708" s="33" t="n"/>
      <c r="F708" s="36" t="n"/>
      <c r="G708" s="33" t="n"/>
      <c r="H708" s="20" t="str">
        <f>IF(AND(ISNUMBER(E708),ISNUMBER(F708)),E708*F708,"")</f>
        <v/>
      </c>
      <c r="I708" s="43" t="str">
        <f>IF(ISNUMBER(H708),ROUND(MAX(F708*'参数'!$C$11,'参数'!$C$12)+'参数'!$C$13,2),"")</f>
        <v/>
      </c>
      <c r="J708" s="43" t="str">
        <f>IF(ISNUMBER(H708),IF(D708="卖",ROUND(H708*N('参数'!$C$14)+F708*N('参数'!$C$15),2),0),"")</f>
        <v/>
      </c>
      <c r="K708" s="23" t="n"/>
      <c r="L708" s="20" t="str">
        <f>IF(ISNUMBER(K708),K708,IF(ISNUMBER(H708),I708+J708,""))</f>
        <v/>
      </c>
      <c r="M708" s="48" t="str">
        <f>IF(AND(ISNUMBER(E708),ISNUMBER(G708),ISNUMBER(F708)),(E708-G708)*IF(D708="卖",-1,1)*F708,"")</f>
        <v/>
      </c>
      <c r="N708" s="49" t="str">
        <f>IF(A708="","",IFERROR(T(INDEX('交易记录'!$C$5:$C$304,MATCH(A708,'交易记录'!$A$5:$A$304,0))),"编号没找到"))</f>
        <v/>
      </c>
      <c r="O708" s="31" t="n"/>
    </row>
    <row r="709">
      <c r="A709" s="29" t="n"/>
      <c r="B709" s="30" t="n"/>
      <c r="C709" s="47" t="n"/>
      <c r="D709" s="32" t="n"/>
      <c r="E709" s="33" t="n"/>
      <c r="F709" s="36" t="n"/>
      <c r="G709" s="33" t="n"/>
      <c r="H709" s="20" t="str">
        <f>IF(AND(ISNUMBER(E709),ISNUMBER(F709)),E709*F709,"")</f>
        <v/>
      </c>
      <c r="I709" s="43" t="str">
        <f>IF(ISNUMBER(H709),ROUND(MAX(F709*'参数'!$C$11,'参数'!$C$12)+'参数'!$C$13,2),"")</f>
        <v/>
      </c>
      <c r="J709" s="43" t="str">
        <f>IF(ISNUMBER(H709),IF(D709="卖",ROUND(H709*N('参数'!$C$14)+F709*N('参数'!$C$15),2),0),"")</f>
        <v/>
      </c>
      <c r="K709" s="23" t="n"/>
      <c r="L709" s="20" t="str">
        <f>IF(ISNUMBER(K709),K709,IF(ISNUMBER(H709),I709+J709,""))</f>
        <v/>
      </c>
      <c r="M709" s="48" t="str">
        <f>IF(AND(ISNUMBER(E709),ISNUMBER(G709),ISNUMBER(F709)),(E709-G709)*IF(D709="卖",-1,1)*F709,"")</f>
        <v/>
      </c>
      <c r="N709" s="49" t="str">
        <f>IF(A709="","",IFERROR(T(INDEX('交易记录'!$C$5:$C$304,MATCH(A709,'交易记录'!$A$5:$A$304,0))),"编号没找到"))</f>
        <v/>
      </c>
      <c r="O709" s="31" t="n"/>
    </row>
    <row r="710">
      <c r="A710" s="29" t="n"/>
      <c r="B710" s="30" t="n"/>
      <c r="C710" s="47" t="n"/>
      <c r="D710" s="32" t="n"/>
      <c r="E710" s="33" t="n"/>
      <c r="F710" s="36" t="n"/>
      <c r="G710" s="33" t="n"/>
      <c r="H710" s="20" t="str">
        <f>IF(AND(ISNUMBER(E710),ISNUMBER(F710)),E710*F710,"")</f>
        <v/>
      </c>
      <c r="I710" s="43" t="str">
        <f>IF(ISNUMBER(H710),ROUND(MAX(F710*'参数'!$C$11,'参数'!$C$12)+'参数'!$C$13,2),"")</f>
        <v/>
      </c>
      <c r="J710" s="43" t="str">
        <f>IF(ISNUMBER(H710),IF(D710="卖",ROUND(H710*N('参数'!$C$14)+F710*N('参数'!$C$15),2),0),"")</f>
        <v/>
      </c>
      <c r="K710" s="23" t="n"/>
      <c r="L710" s="20" t="str">
        <f>IF(ISNUMBER(K710),K710,IF(ISNUMBER(H710),I710+J710,""))</f>
        <v/>
      </c>
      <c r="M710" s="48" t="str">
        <f>IF(AND(ISNUMBER(E710),ISNUMBER(G710),ISNUMBER(F710)),(E710-G710)*IF(D710="卖",-1,1)*F710,"")</f>
        <v/>
      </c>
      <c r="N710" s="49" t="str">
        <f>IF(A710="","",IFERROR(T(INDEX('交易记录'!$C$5:$C$304,MATCH(A710,'交易记录'!$A$5:$A$304,0))),"编号没找到"))</f>
        <v/>
      </c>
      <c r="O710" s="31" t="n"/>
    </row>
    <row r="711">
      <c r="A711" s="29" t="n"/>
      <c r="B711" s="30" t="n"/>
      <c r="C711" s="47" t="n"/>
      <c r="D711" s="32" t="n"/>
      <c r="E711" s="33" t="n"/>
      <c r="F711" s="36" t="n"/>
      <c r="G711" s="33" t="n"/>
      <c r="H711" s="20" t="str">
        <f>IF(AND(ISNUMBER(E711),ISNUMBER(F711)),E711*F711,"")</f>
        <v/>
      </c>
      <c r="I711" s="43" t="str">
        <f>IF(ISNUMBER(H711),ROUND(MAX(F711*'参数'!$C$11,'参数'!$C$12)+'参数'!$C$13,2),"")</f>
        <v/>
      </c>
      <c r="J711" s="43" t="str">
        <f>IF(ISNUMBER(H711),IF(D711="卖",ROUND(H711*N('参数'!$C$14)+F711*N('参数'!$C$15),2),0),"")</f>
        <v/>
      </c>
      <c r="K711" s="23" t="n"/>
      <c r="L711" s="20" t="str">
        <f>IF(ISNUMBER(K711),K711,IF(ISNUMBER(H711),I711+J711,""))</f>
        <v/>
      </c>
      <c r="M711" s="48" t="str">
        <f>IF(AND(ISNUMBER(E711),ISNUMBER(G711),ISNUMBER(F711)),(E711-G711)*IF(D711="卖",-1,1)*F711,"")</f>
        <v/>
      </c>
      <c r="N711" s="49" t="str">
        <f>IF(A711="","",IFERROR(T(INDEX('交易记录'!$C$5:$C$304,MATCH(A711,'交易记录'!$A$5:$A$304,0))),"编号没找到"))</f>
        <v/>
      </c>
      <c r="O711" s="31" t="n"/>
    </row>
    <row r="712">
      <c r="A712" s="29" t="n"/>
      <c r="B712" s="30" t="n"/>
      <c r="C712" s="47" t="n"/>
      <c r="D712" s="32" t="n"/>
      <c r="E712" s="33" t="n"/>
      <c r="F712" s="36" t="n"/>
      <c r="G712" s="33" t="n"/>
      <c r="H712" s="20" t="str">
        <f>IF(AND(ISNUMBER(E712),ISNUMBER(F712)),E712*F712,"")</f>
        <v/>
      </c>
      <c r="I712" s="43" t="str">
        <f>IF(ISNUMBER(H712),ROUND(MAX(F712*'参数'!$C$11,'参数'!$C$12)+'参数'!$C$13,2),"")</f>
        <v/>
      </c>
      <c r="J712" s="43" t="str">
        <f>IF(ISNUMBER(H712),IF(D712="卖",ROUND(H712*N('参数'!$C$14)+F712*N('参数'!$C$15),2),0),"")</f>
        <v/>
      </c>
      <c r="K712" s="23" t="n"/>
      <c r="L712" s="20" t="str">
        <f>IF(ISNUMBER(K712),K712,IF(ISNUMBER(H712),I712+J712,""))</f>
        <v/>
      </c>
      <c r="M712" s="48" t="str">
        <f>IF(AND(ISNUMBER(E712),ISNUMBER(G712),ISNUMBER(F712)),(E712-G712)*IF(D712="卖",-1,1)*F712,"")</f>
        <v/>
      </c>
      <c r="N712" s="49" t="str">
        <f>IF(A712="","",IFERROR(T(INDEX('交易记录'!$C$5:$C$304,MATCH(A712,'交易记录'!$A$5:$A$304,0))),"编号没找到"))</f>
        <v/>
      </c>
      <c r="O712" s="31" t="n"/>
    </row>
    <row r="713">
      <c r="A713" s="29" t="n"/>
      <c r="B713" s="30" t="n"/>
      <c r="C713" s="47" t="n"/>
      <c r="D713" s="32" t="n"/>
      <c r="E713" s="33" t="n"/>
      <c r="F713" s="36" t="n"/>
      <c r="G713" s="33" t="n"/>
      <c r="H713" s="20" t="str">
        <f>IF(AND(ISNUMBER(E713),ISNUMBER(F713)),E713*F713,"")</f>
        <v/>
      </c>
      <c r="I713" s="43" t="str">
        <f>IF(ISNUMBER(H713),ROUND(MAX(F713*'参数'!$C$11,'参数'!$C$12)+'参数'!$C$13,2),"")</f>
        <v/>
      </c>
      <c r="J713" s="43" t="str">
        <f>IF(ISNUMBER(H713),IF(D713="卖",ROUND(H713*N('参数'!$C$14)+F713*N('参数'!$C$15),2),0),"")</f>
        <v/>
      </c>
      <c r="K713" s="23" t="n"/>
      <c r="L713" s="20" t="str">
        <f>IF(ISNUMBER(K713),K713,IF(ISNUMBER(H713),I713+J713,""))</f>
        <v/>
      </c>
      <c r="M713" s="48" t="str">
        <f>IF(AND(ISNUMBER(E713),ISNUMBER(G713),ISNUMBER(F713)),(E713-G713)*IF(D713="卖",-1,1)*F713,"")</f>
        <v/>
      </c>
      <c r="N713" s="49" t="str">
        <f>IF(A713="","",IFERROR(T(INDEX('交易记录'!$C$5:$C$304,MATCH(A713,'交易记录'!$A$5:$A$304,0))),"编号没找到"))</f>
        <v/>
      </c>
      <c r="O713" s="31" t="n"/>
    </row>
    <row r="714">
      <c r="A714" s="29" t="n"/>
      <c r="B714" s="30" t="n"/>
      <c r="C714" s="47" t="n"/>
      <c r="D714" s="32" t="n"/>
      <c r="E714" s="33" t="n"/>
      <c r="F714" s="36" t="n"/>
      <c r="G714" s="33" t="n"/>
      <c r="H714" s="20" t="str">
        <f>IF(AND(ISNUMBER(E714),ISNUMBER(F714)),E714*F714,"")</f>
        <v/>
      </c>
      <c r="I714" s="43" t="str">
        <f>IF(ISNUMBER(H714),ROUND(MAX(F714*'参数'!$C$11,'参数'!$C$12)+'参数'!$C$13,2),"")</f>
        <v/>
      </c>
      <c r="J714" s="43" t="str">
        <f>IF(ISNUMBER(H714),IF(D714="卖",ROUND(H714*N('参数'!$C$14)+F714*N('参数'!$C$15),2),0),"")</f>
        <v/>
      </c>
      <c r="K714" s="23" t="n"/>
      <c r="L714" s="20" t="str">
        <f>IF(ISNUMBER(K714),K714,IF(ISNUMBER(H714),I714+J714,""))</f>
        <v/>
      </c>
      <c r="M714" s="48" t="str">
        <f>IF(AND(ISNUMBER(E714),ISNUMBER(G714),ISNUMBER(F714)),(E714-G714)*IF(D714="卖",-1,1)*F714,"")</f>
        <v/>
      </c>
      <c r="N714" s="49" t="str">
        <f>IF(A714="","",IFERROR(T(INDEX('交易记录'!$C$5:$C$304,MATCH(A714,'交易记录'!$A$5:$A$304,0))),"编号没找到"))</f>
        <v/>
      </c>
      <c r="O714" s="31" t="n"/>
    </row>
    <row r="715">
      <c r="A715" s="29" t="n"/>
      <c r="B715" s="30" t="n"/>
      <c r="C715" s="47" t="n"/>
      <c r="D715" s="32" t="n"/>
      <c r="E715" s="33" t="n"/>
      <c r="F715" s="36" t="n"/>
      <c r="G715" s="33" t="n"/>
      <c r="H715" s="20" t="str">
        <f>IF(AND(ISNUMBER(E715),ISNUMBER(F715)),E715*F715,"")</f>
        <v/>
      </c>
      <c r="I715" s="43" t="str">
        <f>IF(ISNUMBER(H715),ROUND(MAX(F715*'参数'!$C$11,'参数'!$C$12)+'参数'!$C$13,2),"")</f>
        <v/>
      </c>
      <c r="J715" s="43" t="str">
        <f>IF(ISNUMBER(H715),IF(D715="卖",ROUND(H715*N('参数'!$C$14)+F715*N('参数'!$C$15),2),0),"")</f>
        <v/>
      </c>
      <c r="K715" s="23" t="n"/>
      <c r="L715" s="20" t="str">
        <f>IF(ISNUMBER(K715),K715,IF(ISNUMBER(H715),I715+J715,""))</f>
        <v/>
      </c>
      <c r="M715" s="48" t="str">
        <f>IF(AND(ISNUMBER(E715),ISNUMBER(G715),ISNUMBER(F715)),(E715-G715)*IF(D715="卖",-1,1)*F715,"")</f>
        <v/>
      </c>
      <c r="N715" s="49" t="str">
        <f>IF(A715="","",IFERROR(T(INDEX('交易记录'!$C$5:$C$304,MATCH(A715,'交易记录'!$A$5:$A$304,0))),"编号没找到"))</f>
        <v/>
      </c>
      <c r="O715" s="31" t="n"/>
    </row>
    <row r="716">
      <c r="A716" s="29" t="n"/>
      <c r="B716" s="30" t="n"/>
      <c r="C716" s="47" t="n"/>
      <c r="D716" s="32" t="n"/>
      <c r="E716" s="33" t="n"/>
      <c r="F716" s="36" t="n"/>
      <c r="G716" s="33" t="n"/>
      <c r="H716" s="20" t="str">
        <f>IF(AND(ISNUMBER(E716),ISNUMBER(F716)),E716*F716,"")</f>
        <v/>
      </c>
      <c r="I716" s="43" t="str">
        <f>IF(ISNUMBER(H716),ROUND(MAX(F716*'参数'!$C$11,'参数'!$C$12)+'参数'!$C$13,2),"")</f>
        <v/>
      </c>
      <c r="J716" s="43" t="str">
        <f>IF(ISNUMBER(H716),IF(D716="卖",ROUND(H716*N('参数'!$C$14)+F716*N('参数'!$C$15),2),0),"")</f>
        <v/>
      </c>
      <c r="K716" s="23" t="n"/>
      <c r="L716" s="20" t="str">
        <f>IF(ISNUMBER(K716),K716,IF(ISNUMBER(H716),I716+J716,""))</f>
        <v/>
      </c>
      <c r="M716" s="48" t="str">
        <f>IF(AND(ISNUMBER(E716),ISNUMBER(G716),ISNUMBER(F716)),(E716-G716)*IF(D716="卖",-1,1)*F716,"")</f>
        <v/>
      </c>
      <c r="N716" s="49" t="str">
        <f>IF(A716="","",IFERROR(T(INDEX('交易记录'!$C$5:$C$304,MATCH(A716,'交易记录'!$A$5:$A$304,0))),"编号没找到"))</f>
        <v/>
      </c>
      <c r="O716" s="31" t="n"/>
    </row>
    <row r="717">
      <c r="A717" s="29" t="n"/>
      <c r="B717" s="30" t="n"/>
      <c r="C717" s="47" t="n"/>
      <c r="D717" s="32" t="n"/>
      <c r="E717" s="33" t="n"/>
      <c r="F717" s="36" t="n"/>
      <c r="G717" s="33" t="n"/>
      <c r="H717" s="20" t="str">
        <f>IF(AND(ISNUMBER(E717),ISNUMBER(F717)),E717*F717,"")</f>
        <v/>
      </c>
      <c r="I717" s="43" t="str">
        <f>IF(ISNUMBER(H717),ROUND(MAX(F717*'参数'!$C$11,'参数'!$C$12)+'参数'!$C$13,2),"")</f>
        <v/>
      </c>
      <c r="J717" s="43" t="str">
        <f>IF(ISNUMBER(H717),IF(D717="卖",ROUND(H717*N('参数'!$C$14)+F717*N('参数'!$C$15),2),0),"")</f>
        <v/>
      </c>
      <c r="K717" s="23" t="n"/>
      <c r="L717" s="20" t="str">
        <f>IF(ISNUMBER(K717),K717,IF(ISNUMBER(H717),I717+J717,""))</f>
        <v/>
      </c>
      <c r="M717" s="48" t="str">
        <f>IF(AND(ISNUMBER(E717),ISNUMBER(G717),ISNUMBER(F717)),(E717-G717)*IF(D717="卖",-1,1)*F717,"")</f>
        <v/>
      </c>
      <c r="N717" s="49" t="str">
        <f>IF(A717="","",IFERROR(T(INDEX('交易记录'!$C$5:$C$304,MATCH(A717,'交易记录'!$A$5:$A$304,0))),"编号没找到"))</f>
        <v/>
      </c>
      <c r="O717" s="31" t="n"/>
    </row>
    <row r="718">
      <c r="A718" s="29" t="n"/>
      <c r="B718" s="30" t="n"/>
      <c r="C718" s="47" t="n"/>
      <c r="D718" s="32" t="n"/>
      <c r="E718" s="33" t="n"/>
      <c r="F718" s="36" t="n"/>
      <c r="G718" s="33" t="n"/>
      <c r="H718" s="20" t="str">
        <f>IF(AND(ISNUMBER(E718),ISNUMBER(F718)),E718*F718,"")</f>
        <v/>
      </c>
      <c r="I718" s="43" t="str">
        <f>IF(ISNUMBER(H718),ROUND(MAX(F718*'参数'!$C$11,'参数'!$C$12)+'参数'!$C$13,2),"")</f>
        <v/>
      </c>
      <c r="J718" s="43" t="str">
        <f>IF(ISNUMBER(H718),IF(D718="卖",ROUND(H718*N('参数'!$C$14)+F718*N('参数'!$C$15),2),0),"")</f>
        <v/>
      </c>
      <c r="K718" s="23" t="n"/>
      <c r="L718" s="20" t="str">
        <f>IF(ISNUMBER(K718),K718,IF(ISNUMBER(H718),I718+J718,""))</f>
        <v/>
      </c>
      <c r="M718" s="48" t="str">
        <f>IF(AND(ISNUMBER(E718),ISNUMBER(G718),ISNUMBER(F718)),(E718-G718)*IF(D718="卖",-1,1)*F718,"")</f>
        <v/>
      </c>
      <c r="N718" s="49" t="str">
        <f>IF(A718="","",IFERROR(T(INDEX('交易记录'!$C$5:$C$304,MATCH(A718,'交易记录'!$A$5:$A$304,0))),"编号没找到"))</f>
        <v/>
      </c>
      <c r="O718" s="31" t="n"/>
    </row>
    <row r="719">
      <c r="A719" s="29" t="n"/>
      <c r="B719" s="30" t="n"/>
      <c r="C719" s="47" t="n"/>
      <c r="D719" s="32" t="n"/>
      <c r="E719" s="33" t="n"/>
      <c r="F719" s="36" t="n"/>
      <c r="G719" s="33" t="n"/>
      <c r="H719" s="20" t="str">
        <f>IF(AND(ISNUMBER(E719),ISNUMBER(F719)),E719*F719,"")</f>
        <v/>
      </c>
      <c r="I719" s="43" t="str">
        <f>IF(ISNUMBER(H719),ROUND(MAX(F719*'参数'!$C$11,'参数'!$C$12)+'参数'!$C$13,2),"")</f>
        <v/>
      </c>
      <c r="J719" s="43" t="str">
        <f>IF(ISNUMBER(H719),IF(D719="卖",ROUND(H719*N('参数'!$C$14)+F719*N('参数'!$C$15),2),0),"")</f>
        <v/>
      </c>
      <c r="K719" s="23" t="n"/>
      <c r="L719" s="20" t="str">
        <f>IF(ISNUMBER(K719),K719,IF(ISNUMBER(H719),I719+J719,""))</f>
        <v/>
      </c>
      <c r="M719" s="48" t="str">
        <f>IF(AND(ISNUMBER(E719),ISNUMBER(G719),ISNUMBER(F719)),(E719-G719)*IF(D719="卖",-1,1)*F719,"")</f>
        <v/>
      </c>
      <c r="N719" s="49" t="str">
        <f>IF(A719="","",IFERROR(T(INDEX('交易记录'!$C$5:$C$304,MATCH(A719,'交易记录'!$A$5:$A$304,0))),"编号没找到"))</f>
        <v/>
      </c>
      <c r="O719" s="31" t="n"/>
    </row>
    <row r="720">
      <c r="A720" s="29" t="n"/>
      <c r="B720" s="30" t="n"/>
      <c r="C720" s="47" t="n"/>
      <c r="D720" s="32" t="n"/>
      <c r="E720" s="33" t="n"/>
      <c r="F720" s="36" t="n"/>
      <c r="G720" s="33" t="n"/>
      <c r="H720" s="20" t="str">
        <f>IF(AND(ISNUMBER(E720),ISNUMBER(F720)),E720*F720,"")</f>
        <v/>
      </c>
      <c r="I720" s="43" t="str">
        <f>IF(ISNUMBER(H720),ROUND(MAX(F720*'参数'!$C$11,'参数'!$C$12)+'参数'!$C$13,2),"")</f>
        <v/>
      </c>
      <c r="J720" s="43" t="str">
        <f>IF(ISNUMBER(H720),IF(D720="卖",ROUND(H720*N('参数'!$C$14)+F720*N('参数'!$C$15),2),0),"")</f>
        <v/>
      </c>
      <c r="K720" s="23" t="n"/>
      <c r="L720" s="20" t="str">
        <f>IF(ISNUMBER(K720),K720,IF(ISNUMBER(H720),I720+J720,""))</f>
        <v/>
      </c>
      <c r="M720" s="48" t="str">
        <f>IF(AND(ISNUMBER(E720),ISNUMBER(G720),ISNUMBER(F720)),(E720-G720)*IF(D720="卖",-1,1)*F720,"")</f>
        <v/>
      </c>
      <c r="N720" s="49" t="str">
        <f>IF(A720="","",IFERROR(T(INDEX('交易记录'!$C$5:$C$304,MATCH(A720,'交易记录'!$A$5:$A$304,0))),"编号没找到"))</f>
        <v/>
      </c>
      <c r="O720" s="31" t="n"/>
    </row>
    <row r="721">
      <c r="A721" s="29" t="n"/>
      <c r="B721" s="30" t="n"/>
      <c r="C721" s="47" t="n"/>
      <c r="D721" s="32" t="n"/>
      <c r="E721" s="33" t="n"/>
      <c r="F721" s="36" t="n"/>
      <c r="G721" s="33" t="n"/>
      <c r="H721" s="20" t="str">
        <f>IF(AND(ISNUMBER(E721),ISNUMBER(F721)),E721*F721,"")</f>
        <v/>
      </c>
      <c r="I721" s="43" t="str">
        <f>IF(ISNUMBER(H721),ROUND(MAX(F721*'参数'!$C$11,'参数'!$C$12)+'参数'!$C$13,2),"")</f>
        <v/>
      </c>
      <c r="J721" s="43" t="str">
        <f>IF(ISNUMBER(H721),IF(D721="卖",ROUND(H721*N('参数'!$C$14)+F721*N('参数'!$C$15),2),0),"")</f>
        <v/>
      </c>
      <c r="K721" s="23" t="n"/>
      <c r="L721" s="20" t="str">
        <f>IF(ISNUMBER(K721),K721,IF(ISNUMBER(H721),I721+J721,""))</f>
        <v/>
      </c>
      <c r="M721" s="48" t="str">
        <f>IF(AND(ISNUMBER(E721),ISNUMBER(G721),ISNUMBER(F721)),(E721-G721)*IF(D721="卖",-1,1)*F721,"")</f>
        <v/>
      </c>
      <c r="N721" s="49" t="str">
        <f>IF(A721="","",IFERROR(T(INDEX('交易记录'!$C$5:$C$304,MATCH(A721,'交易记录'!$A$5:$A$304,0))),"编号没找到"))</f>
        <v/>
      </c>
      <c r="O721" s="31" t="n"/>
    </row>
    <row r="722">
      <c r="A722" s="29" t="n"/>
      <c r="B722" s="30" t="n"/>
      <c r="C722" s="47" t="n"/>
      <c r="D722" s="32" t="n"/>
      <c r="E722" s="33" t="n"/>
      <c r="F722" s="36" t="n"/>
      <c r="G722" s="33" t="n"/>
      <c r="H722" s="20" t="str">
        <f>IF(AND(ISNUMBER(E722),ISNUMBER(F722)),E722*F722,"")</f>
        <v/>
      </c>
      <c r="I722" s="43" t="str">
        <f>IF(ISNUMBER(H722),ROUND(MAX(F722*'参数'!$C$11,'参数'!$C$12)+'参数'!$C$13,2),"")</f>
        <v/>
      </c>
      <c r="J722" s="43" t="str">
        <f>IF(ISNUMBER(H722),IF(D722="卖",ROUND(H722*N('参数'!$C$14)+F722*N('参数'!$C$15),2),0),"")</f>
        <v/>
      </c>
      <c r="K722" s="23" t="n"/>
      <c r="L722" s="20" t="str">
        <f>IF(ISNUMBER(K722),K722,IF(ISNUMBER(H722),I722+J722,""))</f>
        <v/>
      </c>
      <c r="M722" s="48" t="str">
        <f>IF(AND(ISNUMBER(E722),ISNUMBER(G722),ISNUMBER(F722)),(E722-G722)*IF(D722="卖",-1,1)*F722,"")</f>
        <v/>
      </c>
      <c r="N722" s="49" t="str">
        <f>IF(A722="","",IFERROR(T(INDEX('交易记录'!$C$5:$C$304,MATCH(A722,'交易记录'!$A$5:$A$304,0))),"编号没找到"))</f>
        <v/>
      </c>
      <c r="O722" s="31" t="n"/>
    </row>
    <row r="723">
      <c r="A723" s="29" t="n"/>
      <c r="B723" s="30" t="n"/>
      <c r="C723" s="47" t="n"/>
      <c r="D723" s="32" t="n"/>
      <c r="E723" s="33" t="n"/>
      <c r="F723" s="36" t="n"/>
      <c r="G723" s="33" t="n"/>
      <c r="H723" s="20" t="str">
        <f>IF(AND(ISNUMBER(E723),ISNUMBER(F723)),E723*F723,"")</f>
        <v/>
      </c>
      <c r="I723" s="43" t="str">
        <f>IF(ISNUMBER(H723),ROUND(MAX(F723*'参数'!$C$11,'参数'!$C$12)+'参数'!$C$13,2),"")</f>
        <v/>
      </c>
      <c r="J723" s="43" t="str">
        <f>IF(ISNUMBER(H723),IF(D723="卖",ROUND(H723*N('参数'!$C$14)+F723*N('参数'!$C$15),2),0),"")</f>
        <v/>
      </c>
      <c r="K723" s="23" t="n"/>
      <c r="L723" s="20" t="str">
        <f>IF(ISNUMBER(K723),K723,IF(ISNUMBER(H723),I723+J723,""))</f>
        <v/>
      </c>
      <c r="M723" s="48" t="str">
        <f>IF(AND(ISNUMBER(E723),ISNUMBER(G723),ISNUMBER(F723)),(E723-G723)*IF(D723="卖",-1,1)*F723,"")</f>
        <v/>
      </c>
      <c r="N723" s="49" t="str">
        <f>IF(A723="","",IFERROR(T(INDEX('交易记录'!$C$5:$C$304,MATCH(A723,'交易记录'!$A$5:$A$304,0))),"编号没找到"))</f>
        <v/>
      </c>
      <c r="O723" s="31" t="n"/>
    </row>
    <row r="724">
      <c r="A724" s="29" t="n"/>
      <c r="B724" s="30" t="n"/>
      <c r="C724" s="47" t="n"/>
      <c r="D724" s="32" t="n"/>
      <c r="E724" s="33" t="n"/>
      <c r="F724" s="36" t="n"/>
      <c r="G724" s="33" t="n"/>
      <c r="H724" s="20" t="str">
        <f>IF(AND(ISNUMBER(E724),ISNUMBER(F724)),E724*F724,"")</f>
        <v/>
      </c>
      <c r="I724" s="43" t="str">
        <f>IF(ISNUMBER(H724),ROUND(MAX(F724*'参数'!$C$11,'参数'!$C$12)+'参数'!$C$13,2),"")</f>
        <v/>
      </c>
      <c r="J724" s="43" t="str">
        <f>IF(ISNUMBER(H724),IF(D724="卖",ROUND(H724*N('参数'!$C$14)+F724*N('参数'!$C$15),2),0),"")</f>
        <v/>
      </c>
      <c r="K724" s="23" t="n"/>
      <c r="L724" s="20" t="str">
        <f>IF(ISNUMBER(K724),K724,IF(ISNUMBER(H724),I724+J724,""))</f>
        <v/>
      </c>
      <c r="M724" s="48" t="str">
        <f>IF(AND(ISNUMBER(E724),ISNUMBER(G724),ISNUMBER(F724)),(E724-G724)*IF(D724="卖",-1,1)*F724,"")</f>
        <v/>
      </c>
      <c r="N724" s="49" t="str">
        <f>IF(A724="","",IFERROR(T(INDEX('交易记录'!$C$5:$C$304,MATCH(A724,'交易记录'!$A$5:$A$304,0))),"编号没找到"))</f>
        <v/>
      </c>
      <c r="O724" s="31" t="n"/>
    </row>
    <row r="725">
      <c r="A725" s="29" t="n"/>
      <c r="B725" s="30" t="n"/>
      <c r="C725" s="47" t="n"/>
      <c r="D725" s="32" t="n"/>
      <c r="E725" s="33" t="n"/>
      <c r="F725" s="36" t="n"/>
      <c r="G725" s="33" t="n"/>
      <c r="H725" s="20" t="str">
        <f>IF(AND(ISNUMBER(E725),ISNUMBER(F725)),E725*F725,"")</f>
        <v/>
      </c>
      <c r="I725" s="43" t="str">
        <f>IF(ISNUMBER(H725),ROUND(MAX(F725*'参数'!$C$11,'参数'!$C$12)+'参数'!$C$13,2),"")</f>
        <v/>
      </c>
      <c r="J725" s="43" t="str">
        <f>IF(ISNUMBER(H725),IF(D725="卖",ROUND(H725*N('参数'!$C$14)+F725*N('参数'!$C$15),2),0),"")</f>
        <v/>
      </c>
      <c r="K725" s="23" t="n"/>
      <c r="L725" s="20" t="str">
        <f>IF(ISNUMBER(K725),K725,IF(ISNUMBER(H725),I725+J725,""))</f>
        <v/>
      </c>
      <c r="M725" s="48" t="str">
        <f>IF(AND(ISNUMBER(E725),ISNUMBER(G725),ISNUMBER(F725)),(E725-G725)*IF(D725="卖",-1,1)*F725,"")</f>
        <v/>
      </c>
      <c r="N725" s="49" t="str">
        <f>IF(A725="","",IFERROR(T(INDEX('交易记录'!$C$5:$C$304,MATCH(A725,'交易记录'!$A$5:$A$304,0))),"编号没找到"))</f>
        <v/>
      </c>
      <c r="O725" s="31" t="n"/>
    </row>
    <row r="726">
      <c r="A726" s="29" t="n"/>
      <c r="B726" s="30" t="n"/>
      <c r="C726" s="47" t="n"/>
      <c r="D726" s="32" t="n"/>
      <c r="E726" s="33" t="n"/>
      <c r="F726" s="36" t="n"/>
      <c r="G726" s="33" t="n"/>
      <c r="H726" s="20" t="str">
        <f>IF(AND(ISNUMBER(E726),ISNUMBER(F726)),E726*F726,"")</f>
        <v/>
      </c>
      <c r="I726" s="43" t="str">
        <f>IF(ISNUMBER(H726),ROUND(MAX(F726*'参数'!$C$11,'参数'!$C$12)+'参数'!$C$13,2),"")</f>
        <v/>
      </c>
      <c r="J726" s="43" t="str">
        <f>IF(ISNUMBER(H726),IF(D726="卖",ROUND(H726*N('参数'!$C$14)+F726*N('参数'!$C$15),2),0),"")</f>
        <v/>
      </c>
      <c r="K726" s="23" t="n"/>
      <c r="L726" s="20" t="str">
        <f>IF(ISNUMBER(K726),K726,IF(ISNUMBER(H726),I726+J726,""))</f>
        <v/>
      </c>
      <c r="M726" s="48" t="str">
        <f>IF(AND(ISNUMBER(E726),ISNUMBER(G726),ISNUMBER(F726)),(E726-G726)*IF(D726="卖",-1,1)*F726,"")</f>
        <v/>
      </c>
      <c r="N726" s="49" t="str">
        <f>IF(A726="","",IFERROR(T(INDEX('交易记录'!$C$5:$C$304,MATCH(A726,'交易记录'!$A$5:$A$304,0))),"编号没找到"))</f>
        <v/>
      </c>
      <c r="O726" s="31" t="n"/>
    </row>
    <row r="727">
      <c r="A727" s="29" t="n"/>
      <c r="B727" s="30" t="n"/>
      <c r="C727" s="47" t="n"/>
      <c r="D727" s="32" t="n"/>
      <c r="E727" s="33" t="n"/>
      <c r="F727" s="36" t="n"/>
      <c r="G727" s="33" t="n"/>
      <c r="H727" s="20" t="str">
        <f>IF(AND(ISNUMBER(E727),ISNUMBER(F727)),E727*F727,"")</f>
        <v/>
      </c>
      <c r="I727" s="43" t="str">
        <f>IF(ISNUMBER(H727),ROUND(MAX(F727*'参数'!$C$11,'参数'!$C$12)+'参数'!$C$13,2),"")</f>
        <v/>
      </c>
      <c r="J727" s="43" t="str">
        <f>IF(ISNUMBER(H727),IF(D727="卖",ROUND(H727*N('参数'!$C$14)+F727*N('参数'!$C$15),2),0),"")</f>
        <v/>
      </c>
      <c r="K727" s="23" t="n"/>
      <c r="L727" s="20" t="str">
        <f>IF(ISNUMBER(K727),K727,IF(ISNUMBER(H727),I727+J727,""))</f>
        <v/>
      </c>
      <c r="M727" s="48" t="str">
        <f>IF(AND(ISNUMBER(E727),ISNUMBER(G727),ISNUMBER(F727)),(E727-G727)*IF(D727="卖",-1,1)*F727,"")</f>
        <v/>
      </c>
      <c r="N727" s="49" t="str">
        <f>IF(A727="","",IFERROR(T(INDEX('交易记录'!$C$5:$C$304,MATCH(A727,'交易记录'!$A$5:$A$304,0))),"编号没找到"))</f>
        <v/>
      </c>
      <c r="O727" s="31" t="n"/>
    </row>
    <row r="728">
      <c r="A728" s="29" t="n"/>
      <c r="B728" s="30" t="n"/>
      <c r="C728" s="47" t="n"/>
      <c r="D728" s="32" t="n"/>
      <c r="E728" s="33" t="n"/>
      <c r="F728" s="36" t="n"/>
      <c r="G728" s="33" t="n"/>
      <c r="H728" s="20" t="str">
        <f>IF(AND(ISNUMBER(E728),ISNUMBER(F728)),E728*F728,"")</f>
        <v/>
      </c>
      <c r="I728" s="43" t="str">
        <f>IF(ISNUMBER(H728),ROUND(MAX(F728*'参数'!$C$11,'参数'!$C$12)+'参数'!$C$13,2),"")</f>
        <v/>
      </c>
      <c r="J728" s="43" t="str">
        <f>IF(ISNUMBER(H728),IF(D728="卖",ROUND(H728*N('参数'!$C$14)+F728*N('参数'!$C$15),2),0),"")</f>
        <v/>
      </c>
      <c r="K728" s="23" t="n"/>
      <c r="L728" s="20" t="str">
        <f>IF(ISNUMBER(K728),K728,IF(ISNUMBER(H728),I728+J728,""))</f>
        <v/>
      </c>
      <c r="M728" s="48" t="str">
        <f>IF(AND(ISNUMBER(E728),ISNUMBER(G728),ISNUMBER(F728)),(E728-G728)*IF(D728="卖",-1,1)*F728,"")</f>
        <v/>
      </c>
      <c r="N728" s="49" t="str">
        <f>IF(A728="","",IFERROR(T(INDEX('交易记录'!$C$5:$C$304,MATCH(A728,'交易记录'!$A$5:$A$304,0))),"编号没找到"))</f>
        <v/>
      </c>
      <c r="O728" s="31" t="n"/>
    </row>
    <row r="729">
      <c r="A729" s="29" t="n"/>
      <c r="B729" s="30" t="n"/>
      <c r="C729" s="47" t="n"/>
      <c r="D729" s="32" t="n"/>
      <c r="E729" s="33" t="n"/>
      <c r="F729" s="36" t="n"/>
      <c r="G729" s="33" t="n"/>
      <c r="H729" s="20" t="str">
        <f>IF(AND(ISNUMBER(E729),ISNUMBER(F729)),E729*F729,"")</f>
        <v/>
      </c>
      <c r="I729" s="43" t="str">
        <f>IF(ISNUMBER(H729),ROUND(MAX(F729*'参数'!$C$11,'参数'!$C$12)+'参数'!$C$13,2),"")</f>
        <v/>
      </c>
      <c r="J729" s="43" t="str">
        <f>IF(ISNUMBER(H729),IF(D729="卖",ROUND(H729*N('参数'!$C$14)+F729*N('参数'!$C$15),2),0),"")</f>
        <v/>
      </c>
      <c r="K729" s="23" t="n"/>
      <c r="L729" s="20" t="str">
        <f>IF(ISNUMBER(K729),K729,IF(ISNUMBER(H729),I729+J729,""))</f>
        <v/>
      </c>
      <c r="M729" s="48" t="str">
        <f>IF(AND(ISNUMBER(E729),ISNUMBER(G729),ISNUMBER(F729)),(E729-G729)*IF(D729="卖",-1,1)*F729,"")</f>
        <v/>
      </c>
      <c r="N729" s="49" t="str">
        <f>IF(A729="","",IFERROR(T(INDEX('交易记录'!$C$5:$C$304,MATCH(A729,'交易记录'!$A$5:$A$304,0))),"编号没找到"))</f>
        <v/>
      </c>
      <c r="O729" s="31" t="n"/>
    </row>
    <row r="730">
      <c r="A730" s="29" t="n"/>
      <c r="B730" s="30" t="n"/>
      <c r="C730" s="47" t="n"/>
      <c r="D730" s="32" t="n"/>
      <c r="E730" s="33" t="n"/>
      <c r="F730" s="36" t="n"/>
      <c r="G730" s="33" t="n"/>
      <c r="H730" s="20" t="str">
        <f>IF(AND(ISNUMBER(E730),ISNUMBER(F730)),E730*F730,"")</f>
        <v/>
      </c>
      <c r="I730" s="43" t="str">
        <f>IF(ISNUMBER(H730),ROUND(MAX(F730*'参数'!$C$11,'参数'!$C$12)+'参数'!$C$13,2),"")</f>
        <v/>
      </c>
      <c r="J730" s="43" t="str">
        <f>IF(ISNUMBER(H730),IF(D730="卖",ROUND(H730*N('参数'!$C$14)+F730*N('参数'!$C$15),2),0),"")</f>
        <v/>
      </c>
      <c r="K730" s="23" t="n"/>
      <c r="L730" s="20" t="str">
        <f>IF(ISNUMBER(K730),K730,IF(ISNUMBER(H730),I730+J730,""))</f>
        <v/>
      </c>
      <c r="M730" s="48" t="str">
        <f>IF(AND(ISNUMBER(E730),ISNUMBER(G730),ISNUMBER(F730)),(E730-G730)*IF(D730="卖",-1,1)*F730,"")</f>
        <v/>
      </c>
      <c r="N730" s="49" t="str">
        <f>IF(A730="","",IFERROR(T(INDEX('交易记录'!$C$5:$C$304,MATCH(A730,'交易记录'!$A$5:$A$304,0))),"编号没找到"))</f>
        <v/>
      </c>
      <c r="O730" s="31" t="n"/>
    </row>
    <row r="731">
      <c r="A731" s="29" t="n"/>
      <c r="B731" s="30" t="n"/>
      <c r="C731" s="47" t="n"/>
      <c r="D731" s="32" t="n"/>
      <c r="E731" s="33" t="n"/>
      <c r="F731" s="36" t="n"/>
      <c r="G731" s="33" t="n"/>
      <c r="H731" s="20" t="str">
        <f>IF(AND(ISNUMBER(E731),ISNUMBER(F731)),E731*F731,"")</f>
        <v/>
      </c>
      <c r="I731" s="43" t="str">
        <f>IF(ISNUMBER(H731),ROUND(MAX(F731*'参数'!$C$11,'参数'!$C$12)+'参数'!$C$13,2),"")</f>
        <v/>
      </c>
      <c r="J731" s="43" t="str">
        <f>IF(ISNUMBER(H731),IF(D731="卖",ROUND(H731*N('参数'!$C$14)+F731*N('参数'!$C$15),2),0),"")</f>
        <v/>
      </c>
      <c r="K731" s="23" t="n"/>
      <c r="L731" s="20" t="str">
        <f>IF(ISNUMBER(K731),K731,IF(ISNUMBER(H731),I731+J731,""))</f>
        <v/>
      </c>
      <c r="M731" s="48" t="str">
        <f>IF(AND(ISNUMBER(E731),ISNUMBER(G731),ISNUMBER(F731)),(E731-G731)*IF(D731="卖",-1,1)*F731,"")</f>
        <v/>
      </c>
      <c r="N731" s="49" t="str">
        <f>IF(A731="","",IFERROR(T(INDEX('交易记录'!$C$5:$C$304,MATCH(A731,'交易记录'!$A$5:$A$304,0))),"编号没找到"))</f>
        <v/>
      </c>
      <c r="O731" s="31" t="n"/>
    </row>
    <row r="732">
      <c r="A732" s="29" t="n"/>
      <c r="B732" s="30" t="n"/>
      <c r="C732" s="47" t="n"/>
      <c r="D732" s="32" t="n"/>
      <c r="E732" s="33" t="n"/>
      <c r="F732" s="36" t="n"/>
      <c r="G732" s="33" t="n"/>
      <c r="H732" s="20" t="str">
        <f>IF(AND(ISNUMBER(E732),ISNUMBER(F732)),E732*F732,"")</f>
        <v/>
      </c>
      <c r="I732" s="43" t="str">
        <f>IF(ISNUMBER(H732),ROUND(MAX(F732*'参数'!$C$11,'参数'!$C$12)+'参数'!$C$13,2),"")</f>
        <v/>
      </c>
      <c r="J732" s="43" t="str">
        <f>IF(ISNUMBER(H732),IF(D732="卖",ROUND(H732*N('参数'!$C$14)+F732*N('参数'!$C$15),2),0),"")</f>
        <v/>
      </c>
      <c r="K732" s="23" t="n"/>
      <c r="L732" s="20" t="str">
        <f>IF(ISNUMBER(K732),K732,IF(ISNUMBER(H732),I732+J732,""))</f>
        <v/>
      </c>
      <c r="M732" s="48" t="str">
        <f>IF(AND(ISNUMBER(E732),ISNUMBER(G732),ISNUMBER(F732)),(E732-G732)*IF(D732="卖",-1,1)*F732,"")</f>
        <v/>
      </c>
      <c r="N732" s="49" t="str">
        <f>IF(A732="","",IFERROR(T(INDEX('交易记录'!$C$5:$C$304,MATCH(A732,'交易记录'!$A$5:$A$304,0))),"编号没找到"))</f>
        <v/>
      </c>
      <c r="O732" s="31" t="n"/>
    </row>
    <row r="733">
      <c r="A733" s="29" t="n"/>
      <c r="B733" s="30" t="n"/>
      <c r="C733" s="47" t="n"/>
      <c r="D733" s="32" t="n"/>
      <c r="E733" s="33" t="n"/>
      <c r="F733" s="36" t="n"/>
      <c r="G733" s="33" t="n"/>
      <c r="H733" s="20" t="str">
        <f>IF(AND(ISNUMBER(E733),ISNUMBER(F733)),E733*F733,"")</f>
        <v/>
      </c>
      <c r="I733" s="43" t="str">
        <f>IF(ISNUMBER(H733),ROUND(MAX(F733*'参数'!$C$11,'参数'!$C$12)+'参数'!$C$13,2),"")</f>
        <v/>
      </c>
      <c r="J733" s="43" t="str">
        <f>IF(ISNUMBER(H733),IF(D733="卖",ROUND(H733*N('参数'!$C$14)+F733*N('参数'!$C$15),2),0),"")</f>
        <v/>
      </c>
      <c r="K733" s="23" t="n"/>
      <c r="L733" s="20" t="str">
        <f>IF(ISNUMBER(K733),K733,IF(ISNUMBER(H733),I733+J733,""))</f>
        <v/>
      </c>
      <c r="M733" s="48" t="str">
        <f>IF(AND(ISNUMBER(E733),ISNUMBER(G733),ISNUMBER(F733)),(E733-G733)*IF(D733="卖",-1,1)*F733,"")</f>
        <v/>
      </c>
      <c r="N733" s="49" t="str">
        <f>IF(A733="","",IFERROR(T(INDEX('交易记录'!$C$5:$C$304,MATCH(A733,'交易记录'!$A$5:$A$304,0))),"编号没找到"))</f>
        <v/>
      </c>
      <c r="O733" s="31" t="n"/>
    </row>
    <row r="734">
      <c r="A734" s="29" t="n"/>
      <c r="B734" s="30" t="n"/>
      <c r="C734" s="47" t="n"/>
      <c r="D734" s="32" t="n"/>
      <c r="E734" s="33" t="n"/>
      <c r="F734" s="36" t="n"/>
      <c r="G734" s="33" t="n"/>
      <c r="H734" s="20" t="str">
        <f>IF(AND(ISNUMBER(E734),ISNUMBER(F734)),E734*F734,"")</f>
        <v/>
      </c>
      <c r="I734" s="43" t="str">
        <f>IF(ISNUMBER(H734),ROUND(MAX(F734*'参数'!$C$11,'参数'!$C$12)+'参数'!$C$13,2),"")</f>
        <v/>
      </c>
      <c r="J734" s="43" t="str">
        <f>IF(ISNUMBER(H734),IF(D734="卖",ROUND(H734*N('参数'!$C$14)+F734*N('参数'!$C$15),2),0),"")</f>
        <v/>
      </c>
      <c r="K734" s="23" t="n"/>
      <c r="L734" s="20" t="str">
        <f>IF(ISNUMBER(K734),K734,IF(ISNUMBER(H734),I734+J734,""))</f>
        <v/>
      </c>
      <c r="M734" s="48" t="str">
        <f>IF(AND(ISNUMBER(E734),ISNUMBER(G734),ISNUMBER(F734)),(E734-G734)*IF(D734="卖",-1,1)*F734,"")</f>
        <v/>
      </c>
      <c r="N734" s="49" t="str">
        <f>IF(A734="","",IFERROR(T(INDEX('交易记录'!$C$5:$C$304,MATCH(A734,'交易记录'!$A$5:$A$304,0))),"编号没找到"))</f>
        <v/>
      </c>
      <c r="O734" s="31" t="n"/>
    </row>
    <row r="735">
      <c r="A735" s="29" t="n"/>
      <c r="B735" s="30" t="n"/>
      <c r="C735" s="47" t="n"/>
      <c r="D735" s="32" t="n"/>
      <c r="E735" s="33" t="n"/>
      <c r="F735" s="36" t="n"/>
      <c r="G735" s="33" t="n"/>
      <c r="H735" s="20" t="str">
        <f>IF(AND(ISNUMBER(E735),ISNUMBER(F735)),E735*F735,"")</f>
        <v/>
      </c>
      <c r="I735" s="43" t="str">
        <f>IF(ISNUMBER(H735),ROUND(MAX(F735*'参数'!$C$11,'参数'!$C$12)+'参数'!$C$13,2),"")</f>
        <v/>
      </c>
      <c r="J735" s="43" t="str">
        <f>IF(ISNUMBER(H735),IF(D735="卖",ROUND(H735*N('参数'!$C$14)+F735*N('参数'!$C$15),2),0),"")</f>
        <v/>
      </c>
      <c r="K735" s="23" t="n"/>
      <c r="L735" s="20" t="str">
        <f>IF(ISNUMBER(K735),K735,IF(ISNUMBER(H735),I735+J735,""))</f>
        <v/>
      </c>
      <c r="M735" s="48" t="str">
        <f>IF(AND(ISNUMBER(E735),ISNUMBER(G735),ISNUMBER(F735)),(E735-G735)*IF(D735="卖",-1,1)*F735,"")</f>
        <v/>
      </c>
      <c r="N735" s="49" t="str">
        <f>IF(A735="","",IFERROR(T(INDEX('交易记录'!$C$5:$C$304,MATCH(A735,'交易记录'!$A$5:$A$304,0))),"编号没找到"))</f>
        <v/>
      </c>
      <c r="O735" s="31" t="n"/>
    </row>
    <row r="736">
      <c r="A736" s="29" t="n"/>
      <c r="B736" s="30" t="n"/>
      <c r="C736" s="47" t="n"/>
      <c r="D736" s="32" t="n"/>
      <c r="E736" s="33" t="n"/>
      <c r="F736" s="36" t="n"/>
      <c r="G736" s="33" t="n"/>
      <c r="H736" s="20" t="str">
        <f>IF(AND(ISNUMBER(E736),ISNUMBER(F736)),E736*F736,"")</f>
        <v/>
      </c>
      <c r="I736" s="43" t="str">
        <f>IF(ISNUMBER(H736),ROUND(MAX(F736*'参数'!$C$11,'参数'!$C$12)+'参数'!$C$13,2),"")</f>
        <v/>
      </c>
      <c r="J736" s="43" t="str">
        <f>IF(ISNUMBER(H736),IF(D736="卖",ROUND(H736*N('参数'!$C$14)+F736*N('参数'!$C$15),2),0),"")</f>
        <v/>
      </c>
      <c r="K736" s="23" t="n"/>
      <c r="L736" s="20" t="str">
        <f>IF(ISNUMBER(K736),K736,IF(ISNUMBER(H736),I736+J736,""))</f>
        <v/>
      </c>
      <c r="M736" s="48" t="str">
        <f>IF(AND(ISNUMBER(E736),ISNUMBER(G736),ISNUMBER(F736)),(E736-G736)*IF(D736="卖",-1,1)*F736,"")</f>
        <v/>
      </c>
      <c r="N736" s="49" t="str">
        <f>IF(A736="","",IFERROR(T(INDEX('交易记录'!$C$5:$C$304,MATCH(A736,'交易记录'!$A$5:$A$304,0))),"编号没找到"))</f>
        <v/>
      </c>
      <c r="O736" s="31" t="n"/>
    </row>
    <row r="737">
      <c r="A737" s="29" t="n"/>
      <c r="B737" s="30" t="n"/>
      <c r="C737" s="47" t="n"/>
      <c r="D737" s="32" t="n"/>
      <c r="E737" s="33" t="n"/>
      <c r="F737" s="36" t="n"/>
      <c r="G737" s="33" t="n"/>
      <c r="H737" s="20" t="str">
        <f>IF(AND(ISNUMBER(E737),ISNUMBER(F737)),E737*F737,"")</f>
        <v/>
      </c>
      <c r="I737" s="43" t="str">
        <f>IF(ISNUMBER(H737),ROUND(MAX(F737*'参数'!$C$11,'参数'!$C$12)+'参数'!$C$13,2),"")</f>
        <v/>
      </c>
      <c r="J737" s="43" t="str">
        <f>IF(ISNUMBER(H737),IF(D737="卖",ROUND(H737*N('参数'!$C$14)+F737*N('参数'!$C$15),2),0),"")</f>
        <v/>
      </c>
      <c r="K737" s="23" t="n"/>
      <c r="L737" s="20" t="str">
        <f>IF(ISNUMBER(K737),K737,IF(ISNUMBER(H737),I737+J737,""))</f>
        <v/>
      </c>
      <c r="M737" s="48" t="str">
        <f>IF(AND(ISNUMBER(E737),ISNUMBER(G737),ISNUMBER(F737)),(E737-G737)*IF(D737="卖",-1,1)*F737,"")</f>
        <v/>
      </c>
      <c r="N737" s="49" t="str">
        <f>IF(A737="","",IFERROR(T(INDEX('交易记录'!$C$5:$C$304,MATCH(A737,'交易记录'!$A$5:$A$304,0))),"编号没找到"))</f>
        <v/>
      </c>
      <c r="O737" s="31" t="n"/>
    </row>
    <row r="738">
      <c r="A738" s="29" t="n"/>
      <c r="B738" s="30" t="n"/>
      <c r="C738" s="47" t="n"/>
      <c r="D738" s="32" t="n"/>
      <c r="E738" s="33" t="n"/>
      <c r="F738" s="36" t="n"/>
      <c r="G738" s="33" t="n"/>
      <c r="H738" s="20" t="str">
        <f>IF(AND(ISNUMBER(E738),ISNUMBER(F738)),E738*F738,"")</f>
        <v/>
      </c>
      <c r="I738" s="43" t="str">
        <f>IF(ISNUMBER(H738),ROUND(MAX(F738*'参数'!$C$11,'参数'!$C$12)+'参数'!$C$13,2),"")</f>
        <v/>
      </c>
      <c r="J738" s="43" t="str">
        <f>IF(ISNUMBER(H738),IF(D738="卖",ROUND(H738*N('参数'!$C$14)+F738*N('参数'!$C$15),2),0),"")</f>
        <v/>
      </c>
      <c r="K738" s="23" t="n"/>
      <c r="L738" s="20" t="str">
        <f>IF(ISNUMBER(K738),K738,IF(ISNUMBER(H738),I738+J738,""))</f>
        <v/>
      </c>
      <c r="M738" s="48" t="str">
        <f>IF(AND(ISNUMBER(E738),ISNUMBER(G738),ISNUMBER(F738)),(E738-G738)*IF(D738="卖",-1,1)*F738,"")</f>
        <v/>
      </c>
      <c r="N738" s="49" t="str">
        <f>IF(A738="","",IFERROR(T(INDEX('交易记录'!$C$5:$C$304,MATCH(A738,'交易记录'!$A$5:$A$304,0))),"编号没找到"))</f>
        <v/>
      </c>
      <c r="O738" s="31" t="n"/>
    </row>
    <row r="739">
      <c r="A739" s="29" t="n"/>
      <c r="B739" s="30" t="n"/>
      <c r="C739" s="47" t="n"/>
      <c r="D739" s="32" t="n"/>
      <c r="E739" s="33" t="n"/>
      <c r="F739" s="36" t="n"/>
      <c r="G739" s="33" t="n"/>
      <c r="H739" s="20" t="str">
        <f>IF(AND(ISNUMBER(E739),ISNUMBER(F739)),E739*F739,"")</f>
        <v/>
      </c>
      <c r="I739" s="43" t="str">
        <f>IF(ISNUMBER(H739),ROUND(MAX(F739*'参数'!$C$11,'参数'!$C$12)+'参数'!$C$13,2),"")</f>
        <v/>
      </c>
      <c r="J739" s="43" t="str">
        <f>IF(ISNUMBER(H739),IF(D739="卖",ROUND(H739*N('参数'!$C$14)+F739*N('参数'!$C$15),2),0),"")</f>
        <v/>
      </c>
      <c r="K739" s="23" t="n"/>
      <c r="L739" s="20" t="str">
        <f>IF(ISNUMBER(K739),K739,IF(ISNUMBER(H739),I739+J739,""))</f>
        <v/>
      </c>
      <c r="M739" s="48" t="str">
        <f>IF(AND(ISNUMBER(E739),ISNUMBER(G739),ISNUMBER(F739)),(E739-G739)*IF(D739="卖",-1,1)*F739,"")</f>
        <v/>
      </c>
      <c r="N739" s="49" t="str">
        <f>IF(A739="","",IFERROR(T(INDEX('交易记录'!$C$5:$C$304,MATCH(A739,'交易记录'!$A$5:$A$304,0))),"编号没找到"))</f>
        <v/>
      </c>
      <c r="O739" s="31" t="n"/>
    </row>
    <row r="740">
      <c r="A740" s="29" t="n"/>
      <c r="B740" s="30" t="n"/>
      <c r="C740" s="47" t="n"/>
      <c r="D740" s="32" t="n"/>
      <c r="E740" s="33" t="n"/>
      <c r="F740" s="36" t="n"/>
      <c r="G740" s="33" t="n"/>
      <c r="H740" s="20" t="str">
        <f>IF(AND(ISNUMBER(E740),ISNUMBER(F740)),E740*F740,"")</f>
        <v/>
      </c>
      <c r="I740" s="43" t="str">
        <f>IF(ISNUMBER(H740),ROUND(MAX(F740*'参数'!$C$11,'参数'!$C$12)+'参数'!$C$13,2),"")</f>
        <v/>
      </c>
      <c r="J740" s="43" t="str">
        <f>IF(ISNUMBER(H740),IF(D740="卖",ROUND(H740*N('参数'!$C$14)+F740*N('参数'!$C$15),2),0),"")</f>
        <v/>
      </c>
      <c r="K740" s="23" t="n"/>
      <c r="L740" s="20" t="str">
        <f>IF(ISNUMBER(K740),K740,IF(ISNUMBER(H740),I740+J740,""))</f>
        <v/>
      </c>
      <c r="M740" s="48" t="str">
        <f>IF(AND(ISNUMBER(E740),ISNUMBER(G740),ISNUMBER(F740)),(E740-G740)*IF(D740="卖",-1,1)*F740,"")</f>
        <v/>
      </c>
      <c r="N740" s="49" t="str">
        <f>IF(A740="","",IFERROR(T(INDEX('交易记录'!$C$5:$C$304,MATCH(A740,'交易记录'!$A$5:$A$304,0))),"编号没找到"))</f>
        <v/>
      </c>
      <c r="O740" s="31" t="n"/>
    </row>
    <row r="741">
      <c r="A741" s="29" t="n"/>
      <c r="B741" s="30" t="n"/>
      <c r="C741" s="47" t="n"/>
      <c r="D741" s="32" t="n"/>
      <c r="E741" s="33" t="n"/>
      <c r="F741" s="36" t="n"/>
      <c r="G741" s="33" t="n"/>
      <c r="H741" s="20" t="str">
        <f>IF(AND(ISNUMBER(E741),ISNUMBER(F741)),E741*F741,"")</f>
        <v/>
      </c>
      <c r="I741" s="43" t="str">
        <f>IF(ISNUMBER(H741),ROUND(MAX(F741*'参数'!$C$11,'参数'!$C$12)+'参数'!$C$13,2),"")</f>
        <v/>
      </c>
      <c r="J741" s="43" t="str">
        <f>IF(ISNUMBER(H741),IF(D741="卖",ROUND(H741*N('参数'!$C$14)+F741*N('参数'!$C$15),2),0),"")</f>
        <v/>
      </c>
      <c r="K741" s="23" t="n"/>
      <c r="L741" s="20" t="str">
        <f>IF(ISNUMBER(K741),K741,IF(ISNUMBER(H741),I741+J741,""))</f>
        <v/>
      </c>
      <c r="M741" s="48" t="str">
        <f>IF(AND(ISNUMBER(E741),ISNUMBER(G741),ISNUMBER(F741)),(E741-G741)*IF(D741="卖",-1,1)*F741,"")</f>
        <v/>
      </c>
      <c r="N741" s="49" t="str">
        <f>IF(A741="","",IFERROR(T(INDEX('交易记录'!$C$5:$C$304,MATCH(A741,'交易记录'!$A$5:$A$304,0))),"编号没找到"))</f>
        <v/>
      </c>
      <c r="O741" s="31" t="n"/>
    </row>
    <row r="742">
      <c r="A742" s="29" t="n"/>
      <c r="B742" s="30" t="n"/>
      <c r="C742" s="47" t="n"/>
      <c r="D742" s="32" t="n"/>
      <c r="E742" s="33" t="n"/>
      <c r="F742" s="36" t="n"/>
      <c r="G742" s="33" t="n"/>
      <c r="H742" s="20" t="str">
        <f>IF(AND(ISNUMBER(E742),ISNUMBER(F742)),E742*F742,"")</f>
        <v/>
      </c>
      <c r="I742" s="43" t="str">
        <f>IF(ISNUMBER(H742),ROUND(MAX(F742*'参数'!$C$11,'参数'!$C$12)+'参数'!$C$13,2),"")</f>
        <v/>
      </c>
      <c r="J742" s="43" t="str">
        <f>IF(ISNUMBER(H742),IF(D742="卖",ROUND(H742*N('参数'!$C$14)+F742*N('参数'!$C$15),2),0),"")</f>
        <v/>
      </c>
      <c r="K742" s="23" t="n"/>
      <c r="L742" s="20" t="str">
        <f>IF(ISNUMBER(K742),K742,IF(ISNUMBER(H742),I742+J742,""))</f>
        <v/>
      </c>
      <c r="M742" s="48" t="str">
        <f>IF(AND(ISNUMBER(E742),ISNUMBER(G742),ISNUMBER(F742)),(E742-G742)*IF(D742="卖",-1,1)*F742,"")</f>
        <v/>
      </c>
      <c r="N742" s="49" t="str">
        <f>IF(A742="","",IFERROR(T(INDEX('交易记录'!$C$5:$C$304,MATCH(A742,'交易记录'!$A$5:$A$304,0))),"编号没找到"))</f>
        <v/>
      </c>
      <c r="O742" s="31" t="n"/>
    </row>
    <row r="743">
      <c r="A743" s="29" t="n"/>
      <c r="B743" s="30" t="n"/>
      <c r="C743" s="47" t="n"/>
      <c r="D743" s="32" t="n"/>
      <c r="E743" s="33" t="n"/>
      <c r="F743" s="36" t="n"/>
      <c r="G743" s="33" t="n"/>
      <c r="H743" s="20" t="str">
        <f>IF(AND(ISNUMBER(E743),ISNUMBER(F743)),E743*F743,"")</f>
        <v/>
      </c>
      <c r="I743" s="43" t="str">
        <f>IF(ISNUMBER(H743),ROUND(MAX(F743*'参数'!$C$11,'参数'!$C$12)+'参数'!$C$13,2),"")</f>
        <v/>
      </c>
      <c r="J743" s="43" t="str">
        <f>IF(ISNUMBER(H743),IF(D743="卖",ROUND(H743*N('参数'!$C$14)+F743*N('参数'!$C$15),2),0),"")</f>
        <v/>
      </c>
      <c r="K743" s="23" t="n"/>
      <c r="L743" s="20" t="str">
        <f>IF(ISNUMBER(K743),K743,IF(ISNUMBER(H743),I743+J743,""))</f>
        <v/>
      </c>
      <c r="M743" s="48" t="str">
        <f>IF(AND(ISNUMBER(E743),ISNUMBER(G743),ISNUMBER(F743)),(E743-G743)*IF(D743="卖",-1,1)*F743,"")</f>
        <v/>
      </c>
      <c r="N743" s="49" t="str">
        <f>IF(A743="","",IFERROR(T(INDEX('交易记录'!$C$5:$C$304,MATCH(A743,'交易记录'!$A$5:$A$304,0))),"编号没找到"))</f>
        <v/>
      </c>
      <c r="O743" s="31" t="n"/>
    </row>
    <row r="744">
      <c r="A744" s="29" t="n"/>
      <c r="B744" s="30" t="n"/>
      <c r="C744" s="47" t="n"/>
      <c r="D744" s="32" t="n"/>
      <c r="E744" s="33" t="n"/>
      <c r="F744" s="36" t="n"/>
      <c r="G744" s="33" t="n"/>
      <c r="H744" s="20" t="str">
        <f>IF(AND(ISNUMBER(E744),ISNUMBER(F744)),E744*F744,"")</f>
        <v/>
      </c>
      <c r="I744" s="43" t="str">
        <f>IF(ISNUMBER(H744),ROUND(MAX(F744*'参数'!$C$11,'参数'!$C$12)+'参数'!$C$13,2),"")</f>
        <v/>
      </c>
      <c r="J744" s="43" t="str">
        <f>IF(ISNUMBER(H744),IF(D744="卖",ROUND(H744*N('参数'!$C$14)+F744*N('参数'!$C$15),2),0),"")</f>
        <v/>
      </c>
      <c r="K744" s="23" t="n"/>
      <c r="L744" s="20" t="str">
        <f>IF(ISNUMBER(K744),K744,IF(ISNUMBER(H744),I744+J744,""))</f>
        <v/>
      </c>
      <c r="M744" s="48" t="str">
        <f>IF(AND(ISNUMBER(E744),ISNUMBER(G744),ISNUMBER(F744)),(E744-G744)*IF(D744="卖",-1,1)*F744,"")</f>
        <v/>
      </c>
      <c r="N744" s="49" t="str">
        <f>IF(A744="","",IFERROR(T(INDEX('交易记录'!$C$5:$C$304,MATCH(A744,'交易记录'!$A$5:$A$304,0))),"编号没找到"))</f>
        <v/>
      </c>
      <c r="O744" s="31" t="n"/>
    </row>
    <row r="745">
      <c r="A745" s="29" t="n"/>
      <c r="B745" s="30" t="n"/>
      <c r="C745" s="47" t="n"/>
      <c r="D745" s="32" t="n"/>
      <c r="E745" s="33" t="n"/>
      <c r="F745" s="36" t="n"/>
      <c r="G745" s="33" t="n"/>
      <c r="H745" s="20" t="str">
        <f>IF(AND(ISNUMBER(E745),ISNUMBER(F745)),E745*F745,"")</f>
        <v/>
      </c>
      <c r="I745" s="43" t="str">
        <f>IF(ISNUMBER(H745),ROUND(MAX(F745*'参数'!$C$11,'参数'!$C$12)+'参数'!$C$13,2),"")</f>
        <v/>
      </c>
      <c r="J745" s="43" t="str">
        <f>IF(ISNUMBER(H745),IF(D745="卖",ROUND(H745*N('参数'!$C$14)+F745*N('参数'!$C$15),2),0),"")</f>
        <v/>
      </c>
      <c r="K745" s="23" t="n"/>
      <c r="L745" s="20" t="str">
        <f>IF(ISNUMBER(K745),K745,IF(ISNUMBER(H745),I745+J745,""))</f>
        <v/>
      </c>
      <c r="M745" s="48" t="str">
        <f>IF(AND(ISNUMBER(E745),ISNUMBER(G745),ISNUMBER(F745)),(E745-G745)*IF(D745="卖",-1,1)*F745,"")</f>
        <v/>
      </c>
      <c r="N745" s="49" t="str">
        <f>IF(A745="","",IFERROR(T(INDEX('交易记录'!$C$5:$C$304,MATCH(A745,'交易记录'!$A$5:$A$304,0))),"编号没找到"))</f>
        <v/>
      </c>
      <c r="O745" s="31" t="n"/>
    </row>
    <row r="746">
      <c r="A746" s="29" t="n"/>
      <c r="B746" s="30" t="n"/>
      <c r="C746" s="47" t="n"/>
      <c r="D746" s="32" t="n"/>
      <c r="E746" s="33" t="n"/>
      <c r="F746" s="36" t="n"/>
      <c r="G746" s="33" t="n"/>
      <c r="H746" s="20" t="str">
        <f>IF(AND(ISNUMBER(E746),ISNUMBER(F746)),E746*F746,"")</f>
        <v/>
      </c>
      <c r="I746" s="43" t="str">
        <f>IF(ISNUMBER(H746),ROUND(MAX(F746*'参数'!$C$11,'参数'!$C$12)+'参数'!$C$13,2),"")</f>
        <v/>
      </c>
      <c r="J746" s="43" t="str">
        <f>IF(ISNUMBER(H746),IF(D746="卖",ROUND(H746*N('参数'!$C$14)+F746*N('参数'!$C$15),2),0),"")</f>
        <v/>
      </c>
      <c r="K746" s="23" t="n"/>
      <c r="L746" s="20" t="str">
        <f>IF(ISNUMBER(K746),K746,IF(ISNUMBER(H746),I746+J746,""))</f>
        <v/>
      </c>
      <c r="M746" s="48" t="str">
        <f>IF(AND(ISNUMBER(E746),ISNUMBER(G746),ISNUMBER(F746)),(E746-G746)*IF(D746="卖",-1,1)*F746,"")</f>
        <v/>
      </c>
      <c r="N746" s="49" t="str">
        <f>IF(A746="","",IFERROR(T(INDEX('交易记录'!$C$5:$C$304,MATCH(A746,'交易记录'!$A$5:$A$304,0))),"编号没找到"))</f>
        <v/>
      </c>
      <c r="O746" s="31" t="n"/>
    </row>
    <row r="747">
      <c r="A747" s="29" t="n"/>
      <c r="B747" s="30" t="n"/>
      <c r="C747" s="47" t="n"/>
      <c r="D747" s="32" t="n"/>
      <c r="E747" s="33" t="n"/>
      <c r="F747" s="36" t="n"/>
      <c r="G747" s="33" t="n"/>
      <c r="H747" s="20" t="str">
        <f>IF(AND(ISNUMBER(E747),ISNUMBER(F747)),E747*F747,"")</f>
        <v/>
      </c>
      <c r="I747" s="43" t="str">
        <f>IF(ISNUMBER(H747),ROUND(MAX(F747*'参数'!$C$11,'参数'!$C$12)+'参数'!$C$13,2),"")</f>
        <v/>
      </c>
      <c r="J747" s="43" t="str">
        <f>IF(ISNUMBER(H747),IF(D747="卖",ROUND(H747*N('参数'!$C$14)+F747*N('参数'!$C$15),2),0),"")</f>
        <v/>
      </c>
      <c r="K747" s="23" t="n"/>
      <c r="L747" s="20" t="str">
        <f>IF(ISNUMBER(K747),K747,IF(ISNUMBER(H747),I747+J747,""))</f>
        <v/>
      </c>
      <c r="M747" s="48" t="str">
        <f>IF(AND(ISNUMBER(E747),ISNUMBER(G747),ISNUMBER(F747)),(E747-G747)*IF(D747="卖",-1,1)*F747,"")</f>
        <v/>
      </c>
      <c r="N747" s="49" t="str">
        <f>IF(A747="","",IFERROR(T(INDEX('交易记录'!$C$5:$C$304,MATCH(A747,'交易记录'!$A$5:$A$304,0))),"编号没找到"))</f>
        <v/>
      </c>
      <c r="O747" s="31" t="n"/>
    </row>
    <row r="748">
      <c r="A748" s="29" t="n"/>
      <c r="B748" s="30" t="n"/>
      <c r="C748" s="47" t="n"/>
      <c r="D748" s="32" t="n"/>
      <c r="E748" s="33" t="n"/>
      <c r="F748" s="36" t="n"/>
      <c r="G748" s="33" t="n"/>
      <c r="H748" s="20" t="str">
        <f>IF(AND(ISNUMBER(E748),ISNUMBER(F748)),E748*F748,"")</f>
        <v/>
      </c>
      <c r="I748" s="43" t="str">
        <f>IF(ISNUMBER(H748),ROUND(MAX(F748*'参数'!$C$11,'参数'!$C$12)+'参数'!$C$13,2),"")</f>
        <v/>
      </c>
      <c r="J748" s="43" t="str">
        <f>IF(ISNUMBER(H748),IF(D748="卖",ROUND(H748*N('参数'!$C$14)+F748*N('参数'!$C$15),2),0),"")</f>
        <v/>
      </c>
      <c r="K748" s="23" t="n"/>
      <c r="L748" s="20" t="str">
        <f>IF(ISNUMBER(K748),K748,IF(ISNUMBER(H748),I748+J748,""))</f>
        <v/>
      </c>
      <c r="M748" s="48" t="str">
        <f>IF(AND(ISNUMBER(E748),ISNUMBER(G748),ISNUMBER(F748)),(E748-G748)*IF(D748="卖",-1,1)*F748,"")</f>
        <v/>
      </c>
      <c r="N748" s="49" t="str">
        <f>IF(A748="","",IFERROR(T(INDEX('交易记录'!$C$5:$C$304,MATCH(A748,'交易记录'!$A$5:$A$304,0))),"编号没找到"))</f>
        <v/>
      </c>
      <c r="O748" s="31" t="n"/>
    </row>
    <row r="749">
      <c r="A749" s="29" t="n"/>
      <c r="B749" s="30" t="n"/>
      <c r="C749" s="47" t="n"/>
      <c r="D749" s="32" t="n"/>
      <c r="E749" s="33" t="n"/>
      <c r="F749" s="36" t="n"/>
      <c r="G749" s="33" t="n"/>
      <c r="H749" s="20" t="str">
        <f>IF(AND(ISNUMBER(E749),ISNUMBER(F749)),E749*F749,"")</f>
        <v/>
      </c>
      <c r="I749" s="43" t="str">
        <f>IF(ISNUMBER(H749),ROUND(MAX(F749*'参数'!$C$11,'参数'!$C$12)+'参数'!$C$13,2),"")</f>
        <v/>
      </c>
      <c r="J749" s="43" t="str">
        <f>IF(ISNUMBER(H749),IF(D749="卖",ROUND(H749*N('参数'!$C$14)+F749*N('参数'!$C$15),2),0),"")</f>
        <v/>
      </c>
      <c r="K749" s="23" t="n"/>
      <c r="L749" s="20" t="str">
        <f>IF(ISNUMBER(K749),K749,IF(ISNUMBER(H749),I749+J749,""))</f>
        <v/>
      </c>
      <c r="M749" s="48" t="str">
        <f>IF(AND(ISNUMBER(E749),ISNUMBER(G749),ISNUMBER(F749)),(E749-G749)*IF(D749="卖",-1,1)*F749,"")</f>
        <v/>
      </c>
      <c r="N749" s="49" t="str">
        <f>IF(A749="","",IFERROR(T(INDEX('交易记录'!$C$5:$C$304,MATCH(A749,'交易记录'!$A$5:$A$304,0))),"编号没找到"))</f>
        <v/>
      </c>
      <c r="O749" s="31" t="n"/>
    </row>
    <row r="750">
      <c r="A750" s="29" t="n"/>
      <c r="B750" s="30" t="n"/>
      <c r="C750" s="47" t="n"/>
      <c r="D750" s="32" t="n"/>
      <c r="E750" s="33" t="n"/>
      <c r="F750" s="36" t="n"/>
      <c r="G750" s="33" t="n"/>
      <c r="H750" s="20" t="str">
        <f>IF(AND(ISNUMBER(E750),ISNUMBER(F750)),E750*F750,"")</f>
        <v/>
      </c>
      <c r="I750" s="43" t="str">
        <f>IF(ISNUMBER(H750),ROUND(MAX(F750*'参数'!$C$11,'参数'!$C$12)+'参数'!$C$13,2),"")</f>
        <v/>
      </c>
      <c r="J750" s="43" t="str">
        <f>IF(ISNUMBER(H750),IF(D750="卖",ROUND(H750*N('参数'!$C$14)+F750*N('参数'!$C$15),2),0),"")</f>
        <v/>
      </c>
      <c r="K750" s="23" t="n"/>
      <c r="L750" s="20" t="str">
        <f>IF(ISNUMBER(K750),K750,IF(ISNUMBER(H750),I750+J750,""))</f>
        <v/>
      </c>
      <c r="M750" s="48" t="str">
        <f>IF(AND(ISNUMBER(E750),ISNUMBER(G750),ISNUMBER(F750)),(E750-G750)*IF(D750="卖",-1,1)*F750,"")</f>
        <v/>
      </c>
      <c r="N750" s="49" t="str">
        <f>IF(A750="","",IFERROR(T(INDEX('交易记录'!$C$5:$C$304,MATCH(A750,'交易记录'!$A$5:$A$304,0))),"编号没找到"))</f>
        <v/>
      </c>
      <c r="O750" s="31" t="n"/>
    </row>
    <row r="751">
      <c r="A751" s="29" t="n"/>
      <c r="B751" s="30" t="n"/>
      <c r="C751" s="47" t="n"/>
      <c r="D751" s="32" t="n"/>
      <c r="E751" s="33" t="n"/>
      <c r="F751" s="36" t="n"/>
      <c r="G751" s="33" t="n"/>
      <c r="H751" s="20" t="str">
        <f>IF(AND(ISNUMBER(E751),ISNUMBER(F751)),E751*F751,"")</f>
        <v/>
      </c>
      <c r="I751" s="43" t="str">
        <f>IF(ISNUMBER(H751),ROUND(MAX(F751*'参数'!$C$11,'参数'!$C$12)+'参数'!$C$13,2),"")</f>
        <v/>
      </c>
      <c r="J751" s="43" t="str">
        <f>IF(ISNUMBER(H751),IF(D751="卖",ROUND(H751*N('参数'!$C$14)+F751*N('参数'!$C$15),2),0),"")</f>
        <v/>
      </c>
      <c r="K751" s="23" t="n"/>
      <c r="L751" s="20" t="str">
        <f>IF(ISNUMBER(K751),K751,IF(ISNUMBER(H751),I751+J751,""))</f>
        <v/>
      </c>
      <c r="M751" s="48" t="str">
        <f>IF(AND(ISNUMBER(E751),ISNUMBER(G751),ISNUMBER(F751)),(E751-G751)*IF(D751="卖",-1,1)*F751,"")</f>
        <v/>
      </c>
      <c r="N751" s="49" t="str">
        <f>IF(A751="","",IFERROR(T(INDEX('交易记录'!$C$5:$C$304,MATCH(A751,'交易记录'!$A$5:$A$304,0))),"编号没找到"))</f>
        <v/>
      </c>
      <c r="O751" s="31" t="n"/>
    </row>
    <row r="752">
      <c r="A752" s="29" t="n"/>
      <c r="B752" s="30" t="n"/>
      <c r="C752" s="47" t="n"/>
      <c r="D752" s="32" t="n"/>
      <c r="E752" s="33" t="n"/>
      <c r="F752" s="36" t="n"/>
      <c r="G752" s="33" t="n"/>
      <c r="H752" s="20" t="str">
        <f>IF(AND(ISNUMBER(E752),ISNUMBER(F752)),E752*F752,"")</f>
        <v/>
      </c>
      <c r="I752" s="43" t="str">
        <f>IF(ISNUMBER(H752),ROUND(MAX(F752*'参数'!$C$11,'参数'!$C$12)+'参数'!$C$13,2),"")</f>
        <v/>
      </c>
      <c r="J752" s="43" t="str">
        <f>IF(ISNUMBER(H752),IF(D752="卖",ROUND(H752*N('参数'!$C$14)+F752*N('参数'!$C$15),2),0),"")</f>
        <v/>
      </c>
      <c r="K752" s="23" t="n"/>
      <c r="L752" s="20" t="str">
        <f>IF(ISNUMBER(K752),K752,IF(ISNUMBER(H752),I752+J752,""))</f>
        <v/>
      </c>
      <c r="M752" s="48" t="str">
        <f>IF(AND(ISNUMBER(E752),ISNUMBER(G752),ISNUMBER(F752)),(E752-G752)*IF(D752="卖",-1,1)*F752,"")</f>
        <v/>
      </c>
      <c r="N752" s="49" t="str">
        <f>IF(A752="","",IFERROR(T(INDEX('交易记录'!$C$5:$C$304,MATCH(A752,'交易记录'!$A$5:$A$304,0))),"编号没找到"))</f>
        <v/>
      </c>
      <c r="O752" s="31" t="n"/>
    </row>
    <row r="753">
      <c r="A753" s="29" t="n"/>
      <c r="B753" s="30" t="n"/>
      <c r="C753" s="47" t="n"/>
      <c r="D753" s="32" t="n"/>
      <c r="E753" s="33" t="n"/>
      <c r="F753" s="36" t="n"/>
      <c r="G753" s="33" t="n"/>
      <c r="H753" s="20" t="str">
        <f>IF(AND(ISNUMBER(E753),ISNUMBER(F753)),E753*F753,"")</f>
        <v/>
      </c>
      <c r="I753" s="43" t="str">
        <f>IF(ISNUMBER(H753),ROUND(MAX(F753*'参数'!$C$11,'参数'!$C$12)+'参数'!$C$13,2),"")</f>
        <v/>
      </c>
      <c r="J753" s="43" t="str">
        <f>IF(ISNUMBER(H753),IF(D753="卖",ROUND(H753*N('参数'!$C$14)+F753*N('参数'!$C$15),2),0),"")</f>
        <v/>
      </c>
      <c r="K753" s="23" t="n"/>
      <c r="L753" s="20" t="str">
        <f>IF(ISNUMBER(K753),K753,IF(ISNUMBER(H753),I753+J753,""))</f>
        <v/>
      </c>
      <c r="M753" s="48" t="str">
        <f>IF(AND(ISNUMBER(E753),ISNUMBER(G753),ISNUMBER(F753)),(E753-G753)*IF(D753="卖",-1,1)*F753,"")</f>
        <v/>
      </c>
      <c r="N753" s="49" t="str">
        <f>IF(A753="","",IFERROR(T(INDEX('交易记录'!$C$5:$C$304,MATCH(A753,'交易记录'!$A$5:$A$304,0))),"编号没找到"))</f>
        <v/>
      </c>
      <c r="O753" s="31" t="n"/>
    </row>
    <row r="754">
      <c r="A754" s="29" t="n"/>
      <c r="B754" s="30" t="n"/>
      <c r="C754" s="47" t="n"/>
      <c r="D754" s="32" t="n"/>
      <c r="E754" s="33" t="n"/>
      <c r="F754" s="36" t="n"/>
      <c r="G754" s="33" t="n"/>
      <c r="H754" s="20" t="str">
        <f>IF(AND(ISNUMBER(E754),ISNUMBER(F754)),E754*F754,"")</f>
        <v/>
      </c>
      <c r="I754" s="43" t="str">
        <f>IF(ISNUMBER(H754),ROUND(MAX(F754*'参数'!$C$11,'参数'!$C$12)+'参数'!$C$13,2),"")</f>
        <v/>
      </c>
      <c r="J754" s="43" t="str">
        <f>IF(ISNUMBER(H754),IF(D754="卖",ROUND(H754*N('参数'!$C$14)+F754*N('参数'!$C$15),2),0),"")</f>
        <v/>
      </c>
      <c r="K754" s="23" t="n"/>
      <c r="L754" s="20" t="str">
        <f>IF(ISNUMBER(K754),K754,IF(ISNUMBER(H754),I754+J754,""))</f>
        <v/>
      </c>
      <c r="M754" s="48" t="str">
        <f>IF(AND(ISNUMBER(E754),ISNUMBER(G754),ISNUMBER(F754)),(E754-G754)*IF(D754="卖",-1,1)*F754,"")</f>
        <v/>
      </c>
      <c r="N754" s="49" t="str">
        <f>IF(A754="","",IFERROR(T(INDEX('交易记录'!$C$5:$C$304,MATCH(A754,'交易记录'!$A$5:$A$304,0))),"编号没找到"))</f>
        <v/>
      </c>
      <c r="O754" s="31" t="n"/>
    </row>
    <row r="755">
      <c r="A755" s="29" t="n"/>
      <c r="B755" s="30" t="n"/>
      <c r="C755" s="47" t="n"/>
      <c r="D755" s="32" t="n"/>
      <c r="E755" s="33" t="n"/>
      <c r="F755" s="36" t="n"/>
      <c r="G755" s="33" t="n"/>
      <c r="H755" s="20" t="str">
        <f>IF(AND(ISNUMBER(E755),ISNUMBER(F755)),E755*F755,"")</f>
        <v/>
      </c>
      <c r="I755" s="43" t="str">
        <f>IF(ISNUMBER(H755),ROUND(MAX(F755*'参数'!$C$11,'参数'!$C$12)+'参数'!$C$13,2),"")</f>
        <v/>
      </c>
      <c r="J755" s="43" t="str">
        <f>IF(ISNUMBER(H755),IF(D755="卖",ROUND(H755*N('参数'!$C$14)+F755*N('参数'!$C$15),2),0),"")</f>
        <v/>
      </c>
      <c r="K755" s="23" t="n"/>
      <c r="L755" s="20" t="str">
        <f>IF(ISNUMBER(K755),K755,IF(ISNUMBER(H755),I755+J755,""))</f>
        <v/>
      </c>
      <c r="M755" s="48" t="str">
        <f>IF(AND(ISNUMBER(E755),ISNUMBER(G755),ISNUMBER(F755)),(E755-G755)*IF(D755="卖",-1,1)*F755,"")</f>
        <v/>
      </c>
      <c r="N755" s="49" t="str">
        <f>IF(A755="","",IFERROR(T(INDEX('交易记录'!$C$5:$C$304,MATCH(A755,'交易记录'!$A$5:$A$304,0))),"编号没找到"))</f>
        <v/>
      </c>
      <c r="O755" s="31" t="n"/>
    </row>
    <row r="756">
      <c r="A756" s="29" t="n"/>
      <c r="B756" s="30" t="n"/>
      <c r="C756" s="47" t="n"/>
      <c r="D756" s="32" t="n"/>
      <c r="E756" s="33" t="n"/>
      <c r="F756" s="36" t="n"/>
      <c r="G756" s="33" t="n"/>
      <c r="H756" s="20" t="str">
        <f>IF(AND(ISNUMBER(E756),ISNUMBER(F756)),E756*F756,"")</f>
        <v/>
      </c>
      <c r="I756" s="43" t="str">
        <f>IF(ISNUMBER(H756),ROUND(MAX(F756*'参数'!$C$11,'参数'!$C$12)+'参数'!$C$13,2),"")</f>
        <v/>
      </c>
      <c r="J756" s="43" t="str">
        <f>IF(ISNUMBER(H756),IF(D756="卖",ROUND(H756*N('参数'!$C$14)+F756*N('参数'!$C$15),2),0),"")</f>
        <v/>
      </c>
      <c r="K756" s="23" t="n"/>
      <c r="L756" s="20" t="str">
        <f>IF(ISNUMBER(K756),K756,IF(ISNUMBER(H756),I756+J756,""))</f>
        <v/>
      </c>
      <c r="M756" s="48" t="str">
        <f>IF(AND(ISNUMBER(E756),ISNUMBER(G756),ISNUMBER(F756)),(E756-G756)*IF(D756="卖",-1,1)*F756,"")</f>
        <v/>
      </c>
      <c r="N756" s="49" t="str">
        <f>IF(A756="","",IFERROR(T(INDEX('交易记录'!$C$5:$C$304,MATCH(A756,'交易记录'!$A$5:$A$304,0))),"编号没找到"))</f>
        <v/>
      </c>
      <c r="O756" s="31" t="n"/>
    </row>
    <row r="757">
      <c r="A757" s="29" t="n"/>
      <c r="B757" s="30" t="n"/>
      <c r="C757" s="47" t="n"/>
      <c r="D757" s="32" t="n"/>
      <c r="E757" s="33" t="n"/>
      <c r="F757" s="36" t="n"/>
      <c r="G757" s="33" t="n"/>
      <c r="H757" s="20" t="str">
        <f>IF(AND(ISNUMBER(E757),ISNUMBER(F757)),E757*F757,"")</f>
        <v/>
      </c>
      <c r="I757" s="43" t="str">
        <f>IF(ISNUMBER(H757),ROUND(MAX(F757*'参数'!$C$11,'参数'!$C$12)+'参数'!$C$13,2),"")</f>
        <v/>
      </c>
      <c r="J757" s="43" t="str">
        <f>IF(ISNUMBER(H757),IF(D757="卖",ROUND(H757*N('参数'!$C$14)+F757*N('参数'!$C$15),2),0),"")</f>
        <v/>
      </c>
      <c r="K757" s="23" t="n"/>
      <c r="L757" s="20" t="str">
        <f>IF(ISNUMBER(K757),K757,IF(ISNUMBER(H757),I757+J757,""))</f>
        <v/>
      </c>
      <c r="M757" s="48" t="str">
        <f>IF(AND(ISNUMBER(E757),ISNUMBER(G757),ISNUMBER(F757)),(E757-G757)*IF(D757="卖",-1,1)*F757,"")</f>
        <v/>
      </c>
      <c r="N757" s="49" t="str">
        <f>IF(A757="","",IFERROR(T(INDEX('交易记录'!$C$5:$C$304,MATCH(A757,'交易记录'!$A$5:$A$304,0))),"编号没找到"))</f>
        <v/>
      </c>
      <c r="O757" s="31" t="n"/>
    </row>
    <row r="758">
      <c r="A758" s="29" t="n"/>
      <c r="B758" s="30" t="n"/>
      <c r="C758" s="47" t="n"/>
      <c r="D758" s="32" t="n"/>
      <c r="E758" s="33" t="n"/>
      <c r="F758" s="36" t="n"/>
      <c r="G758" s="33" t="n"/>
      <c r="H758" s="20" t="str">
        <f>IF(AND(ISNUMBER(E758),ISNUMBER(F758)),E758*F758,"")</f>
        <v/>
      </c>
      <c r="I758" s="43" t="str">
        <f>IF(ISNUMBER(H758),ROUND(MAX(F758*'参数'!$C$11,'参数'!$C$12)+'参数'!$C$13,2),"")</f>
        <v/>
      </c>
      <c r="J758" s="43" t="str">
        <f>IF(ISNUMBER(H758),IF(D758="卖",ROUND(H758*N('参数'!$C$14)+F758*N('参数'!$C$15),2),0),"")</f>
        <v/>
      </c>
      <c r="K758" s="23" t="n"/>
      <c r="L758" s="20" t="str">
        <f>IF(ISNUMBER(K758),K758,IF(ISNUMBER(H758),I758+J758,""))</f>
        <v/>
      </c>
      <c r="M758" s="48" t="str">
        <f>IF(AND(ISNUMBER(E758),ISNUMBER(G758),ISNUMBER(F758)),(E758-G758)*IF(D758="卖",-1,1)*F758,"")</f>
        <v/>
      </c>
      <c r="N758" s="49" t="str">
        <f>IF(A758="","",IFERROR(T(INDEX('交易记录'!$C$5:$C$304,MATCH(A758,'交易记录'!$A$5:$A$304,0))),"编号没找到"))</f>
        <v/>
      </c>
      <c r="O758" s="31" t="n"/>
    </row>
    <row r="759">
      <c r="A759" s="29" t="n"/>
      <c r="B759" s="30" t="n"/>
      <c r="C759" s="47" t="n"/>
      <c r="D759" s="32" t="n"/>
      <c r="E759" s="33" t="n"/>
      <c r="F759" s="36" t="n"/>
      <c r="G759" s="33" t="n"/>
      <c r="H759" s="20" t="str">
        <f>IF(AND(ISNUMBER(E759),ISNUMBER(F759)),E759*F759,"")</f>
        <v/>
      </c>
      <c r="I759" s="43" t="str">
        <f>IF(ISNUMBER(H759),ROUND(MAX(F759*'参数'!$C$11,'参数'!$C$12)+'参数'!$C$13,2),"")</f>
        <v/>
      </c>
      <c r="J759" s="43" t="str">
        <f>IF(ISNUMBER(H759),IF(D759="卖",ROUND(H759*N('参数'!$C$14)+F759*N('参数'!$C$15),2),0),"")</f>
        <v/>
      </c>
      <c r="K759" s="23" t="n"/>
      <c r="L759" s="20" t="str">
        <f>IF(ISNUMBER(K759),K759,IF(ISNUMBER(H759),I759+J759,""))</f>
        <v/>
      </c>
      <c r="M759" s="48" t="str">
        <f>IF(AND(ISNUMBER(E759),ISNUMBER(G759),ISNUMBER(F759)),(E759-G759)*IF(D759="卖",-1,1)*F759,"")</f>
        <v/>
      </c>
      <c r="N759" s="49" t="str">
        <f>IF(A759="","",IFERROR(T(INDEX('交易记录'!$C$5:$C$304,MATCH(A759,'交易记录'!$A$5:$A$304,0))),"编号没找到"))</f>
        <v/>
      </c>
      <c r="O759" s="31" t="n"/>
    </row>
    <row r="760">
      <c r="A760" s="29" t="n"/>
      <c r="B760" s="30" t="n"/>
      <c r="C760" s="47" t="n"/>
      <c r="D760" s="32" t="n"/>
      <c r="E760" s="33" t="n"/>
      <c r="F760" s="36" t="n"/>
      <c r="G760" s="33" t="n"/>
      <c r="H760" s="20" t="str">
        <f>IF(AND(ISNUMBER(E760),ISNUMBER(F760)),E760*F760,"")</f>
        <v/>
      </c>
      <c r="I760" s="43" t="str">
        <f>IF(ISNUMBER(H760),ROUND(MAX(F760*'参数'!$C$11,'参数'!$C$12)+'参数'!$C$13,2),"")</f>
        <v/>
      </c>
      <c r="J760" s="43" t="str">
        <f>IF(ISNUMBER(H760),IF(D760="卖",ROUND(H760*N('参数'!$C$14)+F760*N('参数'!$C$15),2),0),"")</f>
        <v/>
      </c>
      <c r="K760" s="23" t="n"/>
      <c r="L760" s="20" t="str">
        <f>IF(ISNUMBER(K760),K760,IF(ISNUMBER(H760),I760+J760,""))</f>
        <v/>
      </c>
      <c r="M760" s="48" t="str">
        <f>IF(AND(ISNUMBER(E760),ISNUMBER(G760),ISNUMBER(F760)),(E760-G760)*IF(D760="卖",-1,1)*F760,"")</f>
        <v/>
      </c>
      <c r="N760" s="49" t="str">
        <f>IF(A760="","",IFERROR(T(INDEX('交易记录'!$C$5:$C$304,MATCH(A760,'交易记录'!$A$5:$A$304,0))),"编号没找到"))</f>
        <v/>
      </c>
      <c r="O760" s="31" t="n"/>
    </row>
    <row r="761">
      <c r="A761" s="29" t="n"/>
      <c r="B761" s="30" t="n"/>
      <c r="C761" s="47" t="n"/>
      <c r="D761" s="32" t="n"/>
      <c r="E761" s="33" t="n"/>
      <c r="F761" s="36" t="n"/>
      <c r="G761" s="33" t="n"/>
      <c r="H761" s="20" t="str">
        <f>IF(AND(ISNUMBER(E761),ISNUMBER(F761)),E761*F761,"")</f>
        <v/>
      </c>
      <c r="I761" s="43" t="str">
        <f>IF(ISNUMBER(H761),ROUND(MAX(F761*'参数'!$C$11,'参数'!$C$12)+'参数'!$C$13,2),"")</f>
        <v/>
      </c>
      <c r="J761" s="43" t="str">
        <f>IF(ISNUMBER(H761),IF(D761="卖",ROUND(H761*N('参数'!$C$14)+F761*N('参数'!$C$15),2),0),"")</f>
        <v/>
      </c>
      <c r="K761" s="23" t="n"/>
      <c r="L761" s="20" t="str">
        <f>IF(ISNUMBER(K761),K761,IF(ISNUMBER(H761),I761+J761,""))</f>
        <v/>
      </c>
      <c r="M761" s="48" t="str">
        <f>IF(AND(ISNUMBER(E761),ISNUMBER(G761),ISNUMBER(F761)),(E761-G761)*IF(D761="卖",-1,1)*F761,"")</f>
        <v/>
      </c>
      <c r="N761" s="49" t="str">
        <f>IF(A761="","",IFERROR(T(INDEX('交易记录'!$C$5:$C$304,MATCH(A761,'交易记录'!$A$5:$A$304,0))),"编号没找到"))</f>
        <v/>
      </c>
      <c r="O761" s="31" t="n"/>
    </row>
    <row r="762">
      <c r="A762" s="29" t="n"/>
      <c r="B762" s="30" t="n"/>
      <c r="C762" s="47" t="n"/>
      <c r="D762" s="32" t="n"/>
      <c r="E762" s="33" t="n"/>
      <c r="F762" s="36" t="n"/>
      <c r="G762" s="33" t="n"/>
      <c r="H762" s="20" t="str">
        <f>IF(AND(ISNUMBER(E762),ISNUMBER(F762)),E762*F762,"")</f>
        <v/>
      </c>
      <c r="I762" s="43" t="str">
        <f>IF(ISNUMBER(H762),ROUND(MAX(F762*'参数'!$C$11,'参数'!$C$12)+'参数'!$C$13,2),"")</f>
        <v/>
      </c>
      <c r="J762" s="43" t="str">
        <f>IF(ISNUMBER(H762),IF(D762="卖",ROUND(H762*N('参数'!$C$14)+F762*N('参数'!$C$15),2),0),"")</f>
        <v/>
      </c>
      <c r="K762" s="23" t="n"/>
      <c r="L762" s="20" t="str">
        <f>IF(ISNUMBER(K762),K762,IF(ISNUMBER(H762),I762+J762,""))</f>
        <v/>
      </c>
      <c r="M762" s="48" t="str">
        <f>IF(AND(ISNUMBER(E762),ISNUMBER(G762),ISNUMBER(F762)),(E762-G762)*IF(D762="卖",-1,1)*F762,"")</f>
        <v/>
      </c>
      <c r="N762" s="49" t="str">
        <f>IF(A762="","",IFERROR(T(INDEX('交易记录'!$C$5:$C$304,MATCH(A762,'交易记录'!$A$5:$A$304,0))),"编号没找到"))</f>
        <v/>
      </c>
      <c r="O762" s="31" t="n"/>
    </row>
    <row r="763">
      <c r="A763" s="29" t="n"/>
      <c r="B763" s="30" t="n"/>
      <c r="C763" s="47" t="n"/>
      <c r="D763" s="32" t="n"/>
      <c r="E763" s="33" t="n"/>
      <c r="F763" s="36" t="n"/>
      <c r="G763" s="33" t="n"/>
      <c r="H763" s="20" t="str">
        <f>IF(AND(ISNUMBER(E763),ISNUMBER(F763)),E763*F763,"")</f>
        <v/>
      </c>
      <c r="I763" s="43" t="str">
        <f>IF(ISNUMBER(H763),ROUND(MAX(F763*'参数'!$C$11,'参数'!$C$12)+'参数'!$C$13,2),"")</f>
        <v/>
      </c>
      <c r="J763" s="43" t="str">
        <f>IF(ISNUMBER(H763),IF(D763="卖",ROUND(H763*N('参数'!$C$14)+F763*N('参数'!$C$15),2),0),"")</f>
        <v/>
      </c>
      <c r="K763" s="23" t="n"/>
      <c r="L763" s="20" t="str">
        <f>IF(ISNUMBER(K763),K763,IF(ISNUMBER(H763),I763+J763,""))</f>
        <v/>
      </c>
      <c r="M763" s="48" t="str">
        <f>IF(AND(ISNUMBER(E763),ISNUMBER(G763),ISNUMBER(F763)),(E763-G763)*IF(D763="卖",-1,1)*F763,"")</f>
        <v/>
      </c>
      <c r="N763" s="49" t="str">
        <f>IF(A763="","",IFERROR(T(INDEX('交易记录'!$C$5:$C$304,MATCH(A763,'交易记录'!$A$5:$A$304,0))),"编号没找到"))</f>
        <v/>
      </c>
      <c r="O763" s="31" t="n"/>
    </row>
    <row r="764">
      <c r="A764" s="29" t="n"/>
      <c r="B764" s="30" t="n"/>
      <c r="C764" s="47" t="n"/>
      <c r="D764" s="32" t="n"/>
      <c r="E764" s="33" t="n"/>
      <c r="F764" s="36" t="n"/>
      <c r="G764" s="33" t="n"/>
      <c r="H764" s="20" t="str">
        <f>IF(AND(ISNUMBER(E764),ISNUMBER(F764)),E764*F764,"")</f>
        <v/>
      </c>
      <c r="I764" s="43" t="str">
        <f>IF(ISNUMBER(H764),ROUND(MAX(F764*'参数'!$C$11,'参数'!$C$12)+'参数'!$C$13,2),"")</f>
        <v/>
      </c>
      <c r="J764" s="43" t="str">
        <f>IF(ISNUMBER(H764),IF(D764="卖",ROUND(H764*N('参数'!$C$14)+F764*N('参数'!$C$15),2),0),"")</f>
        <v/>
      </c>
      <c r="K764" s="23" t="n"/>
      <c r="L764" s="20" t="str">
        <f>IF(ISNUMBER(K764),K764,IF(ISNUMBER(H764),I764+J764,""))</f>
        <v/>
      </c>
      <c r="M764" s="48" t="str">
        <f>IF(AND(ISNUMBER(E764),ISNUMBER(G764),ISNUMBER(F764)),(E764-G764)*IF(D764="卖",-1,1)*F764,"")</f>
        <v/>
      </c>
      <c r="N764" s="49" t="str">
        <f>IF(A764="","",IFERROR(T(INDEX('交易记录'!$C$5:$C$304,MATCH(A764,'交易记录'!$A$5:$A$304,0))),"编号没找到"))</f>
        <v/>
      </c>
      <c r="O764" s="31" t="n"/>
    </row>
    <row r="765">
      <c r="A765" s="29" t="n"/>
      <c r="B765" s="30" t="n"/>
      <c r="C765" s="47" t="n"/>
      <c r="D765" s="32" t="n"/>
      <c r="E765" s="33" t="n"/>
      <c r="F765" s="36" t="n"/>
      <c r="G765" s="33" t="n"/>
      <c r="H765" s="20" t="str">
        <f>IF(AND(ISNUMBER(E765),ISNUMBER(F765)),E765*F765,"")</f>
        <v/>
      </c>
      <c r="I765" s="43" t="str">
        <f>IF(ISNUMBER(H765),ROUND(MAX(F765*'参数'!$C$11,'参数'!$C$12)+'参数'!$C$13,2),"")</f>
        <v/>
      </c>
      <c r="J765" s="43" t="str">
        <f>IF(ISNUMBER(H765),IF(D765="卖",ROUND(H765*N('参数'!$C$14)+F765*N('参数'!$C$15),2),0),"")</f>
        <v/>
      </c>
      <c r="K765" s="23" t="n"/>
      <c r="L765" s="20" t="str">
        <f>IF(ISNUMBER(K765),K765,IF(ISNUMBER(H765),I765+J765,""))</f>
        <v/>
      </c>
      <c r="M765" s="48" t="str">
        <f>IF(AND(ISNUMBER(E765),ISNUMBER(G765),ISNUMBER(F765)),(E765-G765)*IF(D765="卖",-1,1)*F765,"")</f>
        <v/>
      </c>
      <c r="N765" s="49" t="str">
        <f>IF(A765="","",IFERROR(T(INDEX('交易记录'!$C$5:$C$304,MATCH(A765,'交易记录'!$A$5:$A$304,0))),"编号没找到"))</f>
        <v/>
      </c>
      <c r="O765" s="31" t="n"/>
    </row>
    <row r="766">
      <c r="A766" s="29" t="n"/>
      <c r="B766" s="30" t="n"/>
      <c r="C766" s="47" t="n"/>
      <c r="D766" s="32" t="n"/>
      <c r="E766" s="33" t="n"/>
      <c r="F766" s="36" t="n"/>
      <c r="G766" s="33" t="n"/>
      <c r="H766" s="20" t="str">
        <f>IF(AND(ISNUMBER(E766),ISNUMBER(F766)),E766*F766,"")</f>
        <v/>
      </c>
      <c r="I766" s="43" t="str">
        <f>IF(ISNUMBER(H766),ROUND(MAX(F766*'参数'!$C$11,'参数'!$C$12)+'参数'!$C$13,2),"")</f>
        <v/>
      </c>
      <c r="J766" s="43" t="str">
        <f>IF(ISNUMBER(H766),IF(D766="卖",ROUND(H766*N('参数'!$C$14)+F766*N('参数'!$C$15),2),0),"")</f>
        <v/>
      </c>
      <c r="K766" s="23" t="n"/>
      <c r="L766" s="20" t="str">
        <f>IF(ISNUMBER(K766),K766,IF(ISNUMBER(H766),I766+J766,""))</f>
        <v/>
      </c>
      <c r="M766" s="48" t="str">
        <f>IF(AND(ISNUMBER(E766),ISNUMBER(G766),ISNUMBER(F766)),(E766-G766)*IF(D766="卖",-1,1)*F766,"")</f>
        <v/>
      </c>
      <c r="N766" s="49" t="str">
        <f>IF(A766="","",IFERROR(T(INDEX('交易记录'!$C$5:$C$304,MATCH(A766,'交易记录'!$A$5:$A$304,0))),"编号没找到"))</f>
        <v/>
      </c>
      <c r="O766" s="31" t="n"/>
    </row>
    <row r="767">
      <c r="A767" s="29" t="n"/>
      <c r="B767" s="30" t="n"/>
      <c r="C767" s="47" t="n"/>
      <c r="D767" s="32" t="n"/>
      <c r="E767" s="33" t="n"/>
      <c r="F767" s="36" t="n"/>
      <c r="G767" s="33" t="n"/>
      <c r="H767" s="20" t="str">
        <f>IF(AND(ISNUMBER(E767),ISNUMBER(F767)),E767*F767,"")</f>
        <v/>
      </c>
      <c r="I767" s="43" t="str">
        <f>IF(ISNUMBER(H767),ROUND(MAX(F767*'参数'!$C$11,'参数'!$C$12)+'参数'!$C$13,2),"")</f>
        <v/>
      </c>
      <c r="J767" s="43" t="str">
        <f>IF(ISNUMBER(H767),IF(D767="卖",ROUND(H767*N('参数'!$C$14)+F767*N('参数'!$C$15),2),0),"")</f>
        <v/>
      </c>
      <c r="K767" s="23" t="n"/>
      <c r="L767" s="20" t="str">
        <f>IF(ISNUMBER(K767),K767,IF(ISNUMBER(H767),I767+J767,""))</f>
        <v/>
      </c>
      <c r="M767" s="48" t="str">
        <f>IF(AND(ISNUMBER(E767),ISNUMBER(G767),ISNUMBER(F767)),(E767-G767)*IF(D767="卖",-1,1)*F767,"")</f>
        <v/>
      </c>
      <c r="N767" s="49" t="str">
        <f>IF(A767="","",IFERROR(T(INDEX('交易记录'!$C$5:$C$304,MATCH(A767,'交易记录'!$A$5:$A$304,0))),"编号没找到"))</f>
        <v/>
      </c>
      <c r="O767" s="31" t="n"/>
    </row>
    <row r="768">
      <c r="A768" s="29" t="n"/>
      <c r="B768" s="30" t="n"/>
      <c r="C768" s="47" t="n"/>
      <c r="D768" s="32" t="n"/>
      <c r="E768" s="33" t="n"/>
      <c r="F768" s="36" t="n"/>
      <c r="G768" s="33" t="n"/>
      <c r="H768" s="20" t="str">
        <f>IF(AND(ISNUMBER(E768),ISNUMBER(F768)),E768*F768,"")</f>
        <v/>
      </c>
      <c r="I768" s="43" t="str">
        <f>IF(ISNUMBER(H768),ROUND(MAX(F768*'参数'!$C$11,'参数'!$C$12)+'参数'!$C$13,2),"")</f>
        <v/>
      </c>
      <c r="J768" s="43" t="str">
        <f>IF(ISNUMBER(H768),IF(D768="卖",ROUND(H768*N('参数'!$C$14)+F768*N('参数'!$C$15),2),0),"")</f>
        <v/>
      </c>
      <c r="K768" s="23" t="n"/>
      <c r="L768" s="20" t="str">
        <f>IF(ISNUMBER(K768),K768,IF(ISNUMBER(H768),I768+J768,""))</f>
        <v/>
      </c>
      <c r="M768" s="48" t="str">
        <f>IF(AND(ISNUMBER(E768),ISNUMBER(G768),ISNUMBER(F768)),(E768-G768)*IF(D768="卖",-1,1)*F768,"")</f>
        <v/>
      </c>
      <c r="N768" s="49" t="str">
        <f>IF(A768="","",IFERROR(T(INDEX('交易记录'!$C$5:$C$304,MATCH(A768,'交易记录'!$A$5:$A$304,0))),"编号没找到"))</f>
        <v/>
      </c>
      <c r="O768" s="31" t="n"/>
    </row>
    <row r="769">
      <c r="A769" s="29" t="n"/>
      <c r="B769" s="30" t="n"/>
      <c r="C769" s="47" t="n"/>
      <c r="D769" s="32" t="n"/>
      <c r="E769" s="33" t="n"/>
      <c r="F769" s="36" t="n"/>
      <c r="G769" s="33" t="n"/>
      <c r="H769" s="20" t="str">
        <f>IF(AND(ISNUMBER(E769),ISNUMBER(F769)),E769*F769,"")</f>
        <v/>
      </c>
      <c r="I769" s="43" t="str">
        <f>IF(ISNUMBER(H769),ROUND(MAX(F769*'参数'!$C$11,'参数'!$C$12)+'参数'!$C$13,2),"")</f>
        <v/>
      </c>
      <c r="J769" s="43" t="str">
        <f>IF(ISNUMBER(H769),IF(D769="卖",ROUND(H769*N('参数'!$C$14)+F769*N('参数'!$C$15),2),0),"")</f>
        <v/>
      </c>
      <c r="K769" s="23" t="n"/>
      <c r="L769" s="20" t="str">
        <f>IF(ISNUMBER(K769),K769,IF(ISNUMBER(H769),I769+J769,""))</f>
        <v/>
      </c>
      <c r="M769" s="48" t="str">
        <f>IF(AND(ISNUMBER(E769),ISNUMBER(G769),ISNUMBER(F769)),(E769-G769)*IF(D769="卖",-1,1)*F769,"")</f>
        <v/>
      </c>
      <c r="N769" s="49" t="str">
        <f>IF(A769="","",IFERROR(T(INDEX('交易记录'!$C$5:$C$304,MATCH(A769,'交易记录'!$A$5:$A$304,0))),"编号没找到"))</f>
        <v/>
      </c>
      <c r="O769" s="31" t="n"/>
    </row>
    <row r="770">
      <c r="A770" s="29" t="n"/>
      <c r="B770" s="30" t="n"/>
      <c r="C770" s="47" t="n"/>
      <c r="D770" s="32" t="n"/>
      <c r="E770" s="33" t="n"/>
      <c r="F770" s="36" t="n"/>
      <c r="G770" s="33" t="n"/>
      <c r="H770" s="20" t="str">
        <f>IF(AND(ISNUMBER(E770),ISNUMBER(F770)),E770*F770,"")</f>
        <v/>
      </c>
      <c r="I770" s="43" t="str">
        <f>IF(ISNUMBER(H770),ROUND(MAX(F770*'参数'!$C$11,'参数'!$C$12)+'参数'!$C$13,2),"")</f>
        <v/>
      </c>
      <c r="J770" s="43" t="str">
        <f>IF(ISNUMBER(H770),IF(D770="卖",ROUND(H770*N('参数'!$C$14)+F770*N('参数'!$C$15),2),0),"")</f>
        <v/>
      </c>
      <c r="K770" s="23" t="n"/>
      <c r="L770" s="20" t="str">
        <f>IF(ISNUMBER(K770),K770,IF(ISNUMBER(H770),I770+J770,""))</f>
        <v/>
      </c>
      <c r="M770" s="48" t="str">
        <f>IF(AND(ISNUMBER(E770),ISNUMBER(G770),ISNUMBER(F770)),(E770-G770)*IF(D770="卖",-1,1)*F770,"")</f>
        <v/>
      </c>
      <c r="N770" s="49" t="str">
        <f>IF(A770="","",IFERROR(T(INDEX('交易记录'!$C$5:$C$304,MATCH(A770,'交易记录'!$A$5:$A$304,0))),"编号没找到"))</f>
        <v/>
      </c>
      <c r="O770" s="31" t="n"/>
    </row>
    <row r="771">
      <c r="A771" s="29" t="n"/>
      <c r="B771" s="30" t="n"/>
      <c r="C771" s="47" t="n"/>
      <c r="D771" s="32" t="n"/>
      <c r="E771" s="33" t="n"/>
      <c r="F771" s="36" t="n"/>
      <c r="G771" s="33" t="n"/>
      <c r="H771" s="20" t="str">
        <f>IF(AND(ISNUMBER(E771),ISNUMBER(F771)),E771*F771,"")</f>
        <v/>
      </c>
      <c r="I771" s="43" t="str">
        <f>IF(ISNUMBER(H771),ROUND(MAX(F771*'参数'!$C$11,'参数'!$C$12)+'参数'!$C$13,2),"")</f>
        <v/>
      </c>
      <c r="J771" s="43" t="str">
        <f>IF(ISNUMBER(H771),IF(D771="卖",ROUND(H771*N('参数'!$C$14)+F771*N('参数'!$C$15),2),0),"")</f>
        <v/>
      </c>
      <c r="K771" s="23" t="n"/>
      <c r="L771" s="20" t="str">
        <f>IF(ISNUMBER(K771),K771,IF(ISNUMBER(H771),I771+J771,""))</f>
        <v/>
      </c>
      <c r="M771" s="48" t="str">
        <f>IF(AND(ISNUMBER(E771),ISNUMBER(G771),ISNUMBER(F771)),(E771-G771)*IF(D771="卖",-1,1)*F771,"")</f>
        <v/>
      </c>
      <c r="N771" s="49" t="str">
        <f>IF(A771="","",IFERROR(T(INDEX('交易记录'!$C$5:$C$304,MATCH(A771,'交易记录'!$A$5:$A$304,0))),"编号没找到"))</f>
        <v/>
      </c>
      <c r="O771" s="31" t="n"/>
    </row>
    <row r="772">
      <c r="A772" s="29" t="n"/>
      <c r="B772" s="30" t="n"/>
      <c r="C772" s="47" t="n"/>
      <c r="D772" s="32" t="n"/>
      <c r="E772" s="33" t="n"/>
      <c r="F772" s="36" t="n"/>
      <c r="G772" s="33" t="n"/>
      <c r="H772" s="20" t="str">
        <f>IF(AND(ISNUMBER(E772),ISNUMBER(F772)),E772*F772,"")</f>
        <v/>
      </c>
      <c r="I772" s="43" t="str">
        <f>IF(ISNUMBER(H772),ROUND(MAX(F772*'参数'!$C$11,'参数'!$C$12)+'参数'!$C$13,2),"")</f>
        <v/>
      </c>
      <c r="J772" s="43" t="str">
        <f>IF(ISNUMBER(H772),IF(D772="卖",ROUND(H772*N('参数'!$C$14)+F772*N('参数'!$C$15),2),0),"")</f>
        <v/>
      </c>
      <c r="K772" s="23" t="n"/>
      <c r="L772" s="20" t="str">
        <f>IF(ISNUMBER(K772),K772,IF(ISNUMBER(H772),I772+J772,""))</f>
        <v/>
      </c>
      <c r="M772" s="48" t="str">
        <f>IF(AND(ISNUMBER(E772),ISNUMBER(G772),ISNUMBER(F772)),(E772-G772)*IF(D772="卖",-1,1)*F772,"")</f>
        <v/>
      </c>
      <c r="N772" s="49" t="str">
        <f>IF(A772="","",IFERROR(T(INDEX('交易记录'!$C$5:$C$304,MATCH(A772,'交易记录'!$A$5:$A$304,0))),"编号没找到"))</f>
        <v/>
      </c>
      <c r="O772" s="31" t="n"/>
    </row>
    <row r="773">
      <c r="A773" s="29" t="n"/>
      <c r="B773" s="30" t="n"/>
      <c r="C773" s="47" t="n"/>
      <c r="D773" s="32" t="n"/>
      <c r="E773" s="33" t="n"/>
      <c r="F773" s="36" t="n"/>
      <c r="G773" s="33" t="n"/>
      <c r="H773" s="20" t="str">
        <f>IF(AND(ISNUMBER(E773),ISNUMBER(F773)),E773*F773,"")</f>
        <v/>
      </c>
      <c r="I773" s="43" t="str">
        <f>IF(ISNUMBER(H773),ROUND(MAX(F773*'参数'!$C$11,'参数'!$C$12)+'参数'!$C$13,2),"")</f>
        <v/>
      </c>
      <c r="J773" s="43" t="str">
        <f>IF(ISNUMBER(H773),IF(D773="卖",ROUND(H773*N('参数'!$C$14)+F773*N('参数'!$C$15),2),0),"")</f>
        <v/>
      </c>
      <c r="K773" s="23" t="n"/>
      <c r="L773" s="20" t="str">
        <f>IF(ISNUMBER(K773),K773,IF(ISNUMBER(H773),I773+J773,""))</f>
        <v/>
      </c>
      <c r="M773" s="48" t="str">
        <f>IF(AND(ISNUMBER(E773),ISNUMBER(G773),ISNUMBER(F773)),(E773-G773)*IF(D773="卖",-1,1)*F773,"")</f>
        <v/>
      </c>
      <c r="N773" s="49" t="str">
        <f>IF(A773="","",IFERROR(T(INDEX('交易记录'!$C$5:$C$304,MATCH(A773,'交易记录'!$A$5:$A$304,0))),"编号没找到"))</f>
        <v/>
      </c>
      <c r="O773" s="31" t="n"/>
    </row>
    <row r="774">
      <c r="A774" s="29" t="n"/>
      <c r="B774" s="30" t="n"/>
      <c r="C774" s="47" t="n"/>
      <c r="D774" s="32" t="n"/>
      <c r="E774" s="33" t="n"/>
      <c r="F774" s="36" t="n"/>
      <c r="G774" s="33" t="n"/>
      <c r="H774" s="20" t="str">
        <f>IF(AND(ISNUMBER(E774),ISNUMBER(F774)),E774*F774,"")</f>
        <v/>
      </c>
      <c r="I774" s="43" t="str">
        <f>IF(ISNUMBER(H774),ROUND(MAX(F774*'参数'!$C$11,'参数'!$C$12)+'参数'!$C$13,2),"")</f>
        <v/>
      </c>
      <c r="J774" s="43" t="str">
        <f>IF(ISNUMBER(H774),IF(D774="卖",ROUND(H774*N('参数'!$C$14)+F774*N('参数'!$C$15),2),0),"")</f>
        <v/>
      </c>
      <c r="K774" s="23" t="n"/>
      <c r="L774" s="20" t="str">
        <f>IF(ISNUMBER(K774),K774,IF(ISNUMBER(H774),I774+J774,""))</f>
        <v/>
      </c>
      <c r="M774" s="48" t="str">
        <f>IF(AND(ISNUMBER(E774),ISNUMBER(G774),ISNUMBER(F774)),(E774-G774)*IF(D774="卖",-1,1)*F774,"")</f>
        <v/>
      </c>
      <c r="N774" s="49" t="str">
        <f>IF(A774="","",IFERROR(T(INDEX('交易记录'!$C$5:$C$304,MATCH(A774,'交易记录'!$A$5:$A$304,0))),"编号没找到"))</f>
        <v/>
      </c>
      <c r="O774" s="31" t="n"/>
    </row>
    <row r="775">
      <c r="A775" s="29" t="n"/>
      <c r="B775" s="30" t="n"/>
      <c r="C775" s="47" t="n"/>
      <c r="D775" s="32" t="n"/>
      <c r="E775" s="33" t="n"/>
      <c r="F775" s="36" t="n"/>
      <c r="G775" s="33" t="n"/>
      <c r="H775" s="20" t="str">
        <f>IF(AND(ISNUMBER(E775),ISNUMBER(F775)),E775*F775,"")</f>
        <v/>
      </c>
      <c r="I775" s="43" t="str">
        <f>IF(ISNUMBER(H775),ROUND(MAX(F775*'参数'!$C$11,'参数'!$C$12)+'参数'!$C$13,2),"")</f>
        <v/>
      </c>
      <c r="J775" s="43" t="str">
        <f>IF(ISNUMBER(H775),IF(D775="卖",ROUND(H775*N('参数'!$C$14)+F775*N('参数'!$C$15),2),0),"")</f>
        <v/>
      </c>
      <c r="K775" s="23" t="n"/>
      <c r="L775" s="20" t="str">
        <f>IF(ISNUMBER(K775),K775,IF(ISNUMBER(H775),I775+J775,""))</f>
        <v/>
      </c>
      <c r="M775" s="48" t="str">
        <f>IF(AND(ISNUMBER(E775),ISNUMBER(G775),ISNUMBER(F775)),(E775-G775)*IF(D775="卖",-1,1)*F775,"")</f>
        <v/>
      </c>
      <c r="N775" s="49" t="str">
        <f>IF(A775="","",IFERROR(T(INDEX('交易记录'!$C$5:$C$304,MATCH(A775,'交易记录'!$A$5:$A$304,0))),"编号没找到"))</f>
        <v/>
      </c>
      <c r="O775" s="31" t="n"/>
    </row>
    <row r="776">
      <c r="A776" s="29" t="n"/>
      <c r="B776" s="30" t="n"/>
      <c r="C776" s="47" t="n"/>
      <c r="D776" s="32" t="n"/>
      <c r="E776" s="33" t="n"/>
      <c r="F776" s="36" t="n"/>
      <c r="G776" s="33" t="n"/>
      <c r="H776" s="20" t="str">
        <f>IF(AND(ISNUMBER(E776),ISNUMBER(F776)),E776*F776,"")</f>
        <v/>
      </c>
      <c r="I776" s="43" t="str">
        <f>IF(ISNUMBER(H776),ROUND(MAX(F776*'参数'!$C$11,'参数'!$C$12)+'参数'!$C$13,2),"")</f>
        <v/>
      </c>
      <c r="J776" s="43" t="str">
        <f>IF(ISNUMBER(H776),IF(D776="卖",ROUND(H776*N('参数'!$C$14)+F776*N('参数'!$C$15),2),0),"")</f>
        <v/>
      </c>
      <c r="K776" s="23" t="n"/>
      <c r="L776" s="20" t="str">
        <f>IF(ISNUMBER(K776),K776,IF(ISNUMBER(H776),I776+J776,""))</f>
        <v/>
      </c>
      <c r="M776" s="48" t="str">
        <f>IF(AND(ISNUMBER(E776),ISNUMBER(G776),ISNUMBER(F776)),(E776-G776)*IF(D776="卖",-1,1)*F776,"")</f>
        <v/>
      </c>
      <c r="N776" s="49" t="str">
        <f>IF(A776="","",IFERROR(T(INDEX('交易记录'!$C$5:$C$304,MATCH(A776,'交易记录'!$A$5:$A$304,0))),"编号没找到"))</f>
        <v/>
      </c>
      <c r="O776" s="31" t="n"/>
    </row>
    <row r="777">
      <c r="A777" s="29" t="n"/>
      <c r="B777" s="30" t="n"/>
      <c r="C777" s="47" t="n"/>
      <c r="D777" s="32" t="n"/>
      <c r="E777" s="33" t="n"/>
      <c r="F777" s="36" t="n"/>
      <c r="G777" s="33" t="n"/>
      <c r="H777" s="20" t="str">
        <f>IF(AND(ISNUMBER(E777),ISNUMBER(F777)),E777*F777,"")</f>
        <v/>
      </c>
      <c r="I777" s="43" t="str">
        <f>IF(ISNUMBER(H777),ROUND(MAX(F777*'参数'!$C$11,'参数'!$C$12)+'参数'!$C$13,2),"")</f>
        <v/>
      </c>
      <c r="J777" s="43" t="str">
        <f>IF(ISNUMBER(H777),IF(D777="卖",ROUND(H777*N('参数'!$C$14)+F777*N('参数'!$C$15),2),0),"")</f>
        <v/>
      </c>
      <c r="K777" s="23" t="n"/>
      <c r="L777" s="20" t="str">
        <f>IF(ISNUMBER(K777),K777,IF(ISNUMBER(H777),I777+J777,""))</f>
        <v/>
      </c>
      <c r="M777" s="48" t="str">
        <f>IF(AND(ISNUMBER(E777),ISNUMBER(G777),ISNUMBER(F777)),(E777-G777)*IF(D777="卖",-1,1)*F777,"")</f>
        <v/>
      </c>
      <c r="N777" s="49" t="str">
        <f>IF(A777="","",IFERROR(T(INDEX('交易记录'!$C$5:$C$304,MATCH(A777,'交易记录'!$A$5:$A$304,0))),"编号没找到"))</f>
        <v/>
      </c>
      <c r="O777" s="31" t="n"/>
    </row>
    <row r="778">
      <c r="A778" s="29" t="n"/>
      <c r="B778" s="30" t="n"/>
      <c r="C778" s="47" t="n"/>
      <c r="D778" s="32" t="n"/>
      <c r="E778" s="33" t="n"/>
      <c r="F778" s="36" t="n"/>
      <c r="G778" s="33" t="n"/>
      <c r="H778" s="20" t="str">
        <f>IF(AND(ISNUMBER(E778),ISNUMBER(F778)),E778*F778,"")</f>
        <v/>
      </c>
      <c r="I778" s="43" t="str">
        <f>IF(ISNUMBER(H778),ROUND(MAX(F778*'参数'!$C$11,'参数'!$C$12)+'参数'!$C$13,2),"")</f>
        <v/>
      </c>
      <c r="J778" s="43" t="str">
        <f>IF(ISNUMBER(H778),IF(D778="卖",ROUND(H778*N('参数'!$C$14)+F778*N('参数'!$C$15),2),0),"")</f>
        <v/>
      </c>
      <c r="K778" s="23" t="n"/>
      <c r="L778" s="20" t="str">
        <f>IF(ISNUMBER(K778),K778,IF(ISNUMBER(H778),I778+J778,""))</f>
        <v/>
      </c>
      <c r="M778" s="48" t="str">
        <f>IF(AND(ISNUMBER(E778),ISNUMBER(G778),ISNUMBER(F778)),(E778-G778)*IF(D778="卖",-1,1)*F778,"")</f>
        <v/>
      </c>
      <c r="N778" s="49" t="str">
        <f>IF(A778="","",IFERROR(T(INDEX('交易记录'!$C$5:$C$304,MATCH(A778,'交易记录'!$A$5:$A$304,0))),"编号没找到"))</f>
        <v/>
      </c>
      <c r="O778" s="31" t="n"/>
    </row>
    <row r="779">
      <c r="A779" s="29" t="n"/>
      <c r="B779" s="30" t="n"/>
      <c r="C779" s="47" t="n"/>
      <c r="D779" s="32" t="n"/>
      <c r="E779" s="33" t="n"/>
      <c r="F779" s="36" t="n"/>
      <c r="G779" s="33" t="n"/>
      <c r="H779" s="20" t="str">
        <f>IF(AND(ISNUMBER(E779),ISNUMBER(F779)),E779*F779,"")</f>
        <v/>
      </c>
      <c r="I779" s="43" t="str">
        <f>IF(ISNUMBER(H779),ROUND(MAX(F779*'参数'!$C$11,'参数'!$C$12)+'参数'!$C$13,2),"")</f>
        <v/>
      </c>
      <c r="J779" s="43" t="str">
        <f>IF(ISNUMBER(H779),IF(D779="卖",ROUND(H779*N('参数'!$C$14)+F779*N('参数'!$C$15),2),0),"")</f>
        <v/>
      </c>
      <c r="K779" s="23" t="n"/>
      <c r="L779" s="20" t="str">
        <f>IF(ISNUMBER(K779),K779,IF(ISNUMBER(H779),I779+J779,""))</f>
        <v/>
      </c>
      <c r="M779" s="48" t="str">
        <f>IF(AND(ISNUMBER(E779),ISNUMBER(G779),ISNUMBER(F779)),(E779-G779)*IF(D779="卖",-1,1)*F779,"")</f>
        <v/>
      </c>
      <c r="N779" s="49" t="str">
        <f>IF(A779="","",IFERROR(T(INDEX('交易记录'!$C$5:$C$304,MATCH(A779,'交易记录'!$A$5:$A$304,0))),"编号没找到"))</f>
        <v/>
      </c>
      <c r="O779" s="31" t="n"/>
    </row>
    <row r="780">
      <c r="A780" s="29" t="n"/>
      <c r="B780" s="30" t="n"/>
      <c r="C780" s="47" t="n"/>
      <c r="D780" s="32" t="n"/>
      <c r="E780" s="33" t="n"/>
      <c r="F780" s="36" t="n"/>
      <c r="G780" s="33" t="n"/>
      <c r="H780" s="20" t="str">
        <f>IF(AND(ISNUMBER(E780),ISNUMBER(F780)),E780*F780,"")</f>
        <v/>
      </c>
      <c r="I780" s="43" t="str">
        <f>IF(ISNUMBER(H780),ROUND(MAX(F780*'参数'!$C$11,'参数'!$C$12)+'参数'!$C$13,2),"")</f>
        <v/>
      </c>
      <c r="J780" s="43" t="str">
        <f>IF(ISNUMBER(H780),IF(D780="卖",ROUND(H780*N('参数'!$C$14)+F780*N('参数'!$C$15),2),0),"")</f>
        <v/>
      </c>
      <c r="K780" s="23" t="n"/>
      <c r="L780" s="20" t="str">
        <f>IF(ISNUMBER(K780),K780,IF(ISNUMBER(H780),I780+J780,""))</f>
        <v/>
      </c>
      <c r="M780" s="48" t="str">
        <f>IF(AND(ISNUMBER(E780),ISNUMBER(G780),ISNUMBER(F780)),(E780-G780)*IF(D780="卖",-1,1)*F780,"")</f>
        <v/>
      </c>
      <c r="N780" s="49" t="str">
        <f>IF(A780="","",IFERROR(T(INDEX('交易记录'!$C$5:$C$304,MATCH(A780,'交易记录'!$A$5:$A$304,0))),"编号没找到"))</f>
        <v/>
      </c>
      <c r="O780" s="31" t="n"/>
    </row>
    <row r="781">
      <c r="A781" s="29" t="n"/>
      <c r="B781" s="30" t="n"/>
      <c r="C781" s="47" t="n"/>
      <c r="D781" s="32" t="n"/>
      <c r="E781" s="33" t="n"/>
      <c r="F781" s="36" t="n"/>
      <c r="G781" s="33" t="n"/>
      <c r="H781" s="20" t="str">
        <f>IF(AND(ISNUMBER(E781),ISNUMBER(F781)),E781*F781,"")</f>
        <v/>
      </c>
      <c r="I781" s="43" t="str">
        <f>IF(ISNUMBER(H781),ROUND(MAX(F781*'参数'!$C$11,'参数'!$C$12)+'参数'!$C$13,2),"")</f>
        <v/>
      </c>
      <c r="J781" s="43" t="str">
        <f>IF(ISNUMBER(H781),IF(D781="卖",ROUND(H781*N('参数'!$C$14)+F781*N('参数'!$C$15),2),0),"")</f>
        <v/>
      </c>
      <c r="K781" s="23" t="n"/>
      <c r="L781" s="20" t="str">
        <f>IF(ISNUMBER(K781),K781,IF(ISNUMBER(H781),I781+J781,""))</f>
        <v/>
      </c>
      <c r="M781" s="48" t="str">
        <f>IF(AND(ISNUMBER(E781),ISNUMBER(G781),ISNUMBER(F781)),(E781-G781)*IF(D781="卖",-1,1)*F781,"")</f>
        <v/>
      </c>
      <c r="N781" s="49" t="str">
        <f>IF(A781="","",IFERROR(T(INDEX('交易记录'!$C$5:$C$304,MATCH(A781,'交易记录'!$A$5:$A$304,0))),"编号没找到"))</f>
        <v/>
      </c>
      <c r="O781" s="31" t="n"/>
    </row>
    <row r="782">
      <c r="A782" s="29" t="n"/>
      <c r="B782" s="30" t="n"/>
      <c r="C782" s="47" t="n"/>
      <c r="D782" s="32" t="n"/>
      <c r="E782" s="33" t="n"/>
      <c r="F782" s="36" t="n"/>
      <c r="G782" s="33" t="n"/>
      <c r="H782" s="20" t="str">
        <f>IF(AND(ISNUMBER(E782),ISNUMBER(F782)),E782*F782,"")</f>
        <v/>
      </c>
      <c r="I782" s="43" t="str">
        <f>IF(ISNUMBER(H782),ROUND(MAX(F782*'参数'!$C$11,'参数'!$C$12)+'参数'!$C$13,2),"")</f>
        <v/>
      </c>
      <c r="J782" s="43" t="str">
        <f>IF(ISNUMBER(H782),IF(D782="卖",ROUND(H782*N('参数'!$C$14)+F782*N('参数'!$C$15),2),0),"")</f>
        <v/>
      </c>
      <c r="K782" s="23" t="n"/>
      <c r="L782" s="20" t="str">
        <f>IF(ISNUMBER(K782),K782,IF(ISNUMBER(H782),I782+J782,""))</f>
        <v/>
      </c>
      <c r="M782" s="48" t="str">
        <f>IF(AND(ISNUMBER(E782),ISNUMBER(G782),ISNUMBER(F782)),(E782-G782)*IF(D782="卖",-1,1)*F782,"")</f>
        <v/>
      </c>
      <c r="N782" s="49" t="str">
        <f>IF(A782="","",IFERROR(T(INDEX('交易记录'!$C$5:$C$304,MATCH(A782,'交易记录'!$A$5:$A$304,0))),"编号没找到"))</f>
        <v/>
      </c>
      <c r="O782" s="31" t="n"/>
    </row>
    <row r="783">
      <c r="A783" s="29" t="n"/>
      <c r="B783" s="30" t="n"/>
      <c r="C783" s="47" t="n"/>
      <c r="D783" s="32" t="n"/>
      <c r="E783" s="33" t="n"/>
      <c r="F783" s="36" t="n"/>
      <c r="G783" s="33" t="n"/>
      <c r="H783" s="20" t="str">
        <f>IF(AND(ISNUMBER(E783),ISNUMBER(F783)),E783*F783,"")</f>
        <v/>
      </c>
      <c r="I783" s="43" t="str">
        <f>IF(ISNUMBER(H783),ROUND(MAX(F783*'参数'!$C$11,'参数'!$C$12)+'参数'!$C$13,2),"")</f>
        <v/>
      </c>
      <c r="J783" s="43" t="str">
        <f>IF(ISNUMBER(H783),IF(D783="卖",ROUND(H783*N('参数'!$C$14)+F783*N('参数'!$C$15),2),0),"")</f>
        <v/>
      </c>
      <c r="K783" s="23" t="n"/>
      <c r="L783" s="20" t="str">
        <f>IF(ISNUMBER(K783),K783,IF(ISNUMBER(H783),I783+J783,""))</f>
        <v/>
      </c>
      <c r="M783" s="48" t="str">
        <f>IF(AND(ISNUMBER(E783),ISNUMBER(G783),ISNUMBER(F783)),(E783-G783)*IF(D783="卖",-1,1)*F783,"")</f>
        <v/>
      </c>
      <c r="N783" s="49" t="str">
        <f>IF(A783="","",IFERROR(T(INDEX('交易记录'!$C$5:$C$304,MATCH(A783,'交易记录'!$A$5:$A$304,0))),"编号没找到"))</f>
        <v/>
      </c>
      <c r="O783" s="31" t="n"/>
    </row>
    <row r="784">
      <c r="A784" s="29" t="n"/>
      <c r="B784" s="30" t="n"/>
      <c r="C784" s="47" t="n"/>
      <c r="D784" s="32" t="n"/>
      <c r="E784" s="33" t="n"/>
      <c r="F784" s="36" t="n"/>
      <c r="G784" s="33" t="n"/>
      <c r="H784" s="20" t="str">
        <f>IF(AND(ISNUMBER(E784),ISNUMBER(F784)),E784*F784,"")</f>
        <v/>
      </c>
      <c r="I784" s="43" t="str">
        <f>IF(ISNUMBER(H784),ROUND(MAX(F784*'参数'!$C$11,'参数'!$C$12)+'参数'!$C$13,2),"")</f>
        <v/>
      </c>
      <c r="J784" s="43" t="str">
        <f>IF(ISNUMBER(H784),IF(D784="卖",ROUND(H784*N('参数'!$C$14)+F784*N('参数'!$C$15),2),0),"")</f>
        <v/>
      </c>
      <c r="K784" s="23" t="n"/>
      <c r="L784" s="20" t="str">
        <f>IF(ISNUMBER(K784),K784,IF(ISNUMBER(H784),I784+J784,""))</f>
        <v/>
      </c>
      <c r="M784" s="48" t="str">
        <f>IF(AND(ISNUMBER(E784),ISNUMBER(G784),ISNUMBER(F784)),(E784-G784)*IF(D784="卖",-1,1)*F784,"")</f>
        <v/>
      </c>
      <c r="N784" s="49" t="str">
        <f>IF(A784="","",IFERROR(T(INDEX('交易记录'!$C$5:$C$304,MATCH(A784,'交易记录'!$A$5:$A$304,0))),"编号没找到"))</f>
        <v/>
      </c>
      <c r="O784" s="31" t="n"/>
    </row>
    <row r="785">
      <c r="A785" s="29" t="n"/>
      <c r="B785" s="30" t="n"/>
      <c r="C785" s="47" t="n"/>
      <c r="D785" s="32" t="n"/>
      <c r="E785" s="33" t="n"/>
      <c r="F785" s="36" t="n"/>
      <c r="G785" s="33" t="n"/>
      <c r="H785" s="20" t="str">
        <f>IF(AND(ISNUMBER(E785),ISNUMBER(F785)),E785*F785,"")</f>
        <v/>
      </c>
      <c r="I785" s="43" t="str">
        <f>IF(ISNUMBER(H785),ROUND(MAX(F785*'参数'!$C$11,'参数'!$C$12)+'参数'!$C$13,2),"")</f>
        <v/>
      </c>
      <c r="J785" s="43" t="str">
        <f>IF(ISNUMBER(H785),IF(D785="卖",ROUND(H785*N('参数'!$C$14)+F785*N('参数'!$C$15),2),0),"")</f>
        <v/>
      </c>
      <c r="K785" s="23" t="n"/>
      <c r="L785" s="20" t="str">
        <f>IF(ISNUMBER(K785),K785,IF(ISNUMBER(H785),I785+J785,""))</f>
        <v/>
      </c>
      <c r="M785" s="48" t="str">
        <f>IF(AND(ISNUMBER(E785),ISNUMBER(G785),ISNUMBER(F785)),(E785-G785)*IF(D785="卖",-1,1)*F785,"")</f>
        <v/>
      </c>
      <c r="N785" s="49" t="str">
        <f>IF(A785="","",IFERROR(T(INDEX('交易记录'!$C$5:$C$304,MATCH(A785,'交易记录'!$A$5:$A$304,0))),"编号没找到"))</f>
        <v/>
      </c>
      <c r="O785" s="31" t="n"/>
    </row>
    <row r="786">
      <c r="A786" s="29" t="n"/>
      <c r="B786" s="30" t="n"/>
      <c r="C786" s="47" t="n"/>
      <c r="D786" s="32" t="n"/>
      <c r="E786" s="33" t="n"/>
      <c r="F786" s="36" t="n"/>
      <c r="G786" s="33" t="n"/>
      <c r="H786" s="20" t="str">
        <f>IF(AND(ISNUMBER(E786),ISNUMBER(F786)),E786*F786,"")</f>
        <v/>
      </c>
      <c r="I786" s="43" t="str">
        <f>IF(ISNUMBER(H786),ROUND(MAX(F786*'参数'!$C$11,'参数'!$C$12)+'参数'!$C$13,2),"")</f>
        <v/>
      </c>
      <c r="J786" s="43" t="str">
        <f>IF(ISNUMBER(H786),IF(D786="卖",ROUND(H786*N('参数'!$C$14)+F786*N('参数'!$C$15),2),0),"")</f>
        <v/>
      </c>
      <c r="K786" s="23" t="n"/>
      <c r="L786" s="20" t="str">
        <f>IF(ISNUMBER(K786),K786,IF(ISNUMBER(H786),I786+J786,""))</f>
        <v/>
      </c>
      <c r="M786" s="48" t="str">
        <f>IF(AND(ISNUMBER(E786),ISNUMBER(G786),ISNUMBER(F786)),(E786-G786)*IF(D786="卖",-1,1)*F786,"")</f>
        <v/>
      </c>
      <c r="N786" s="49" t="str">
        <f>IF(A786="","",IFERROR(T(INDEX('交易记录'!$C$5:$C$304,MATCH(A786,'交易记录'!$A$5:$A$304,0))),"编号没找到"))</f>
        <v/>
      </c>
      <c r="O786" s="31" t="n"/>
    </row>
    <row r="787">
      <c r="A787" s="29" t="n"/>
      <c r="B787" s="30" t="n"/>
      <c r="C787" s="47" t="n"/>
      <c r="D787" s="32" t="n"/>
      <c r="E787" s="33" t="n"/>
      <c r="F787" s="36" t="n"/>
      <c r="G787" s="33" t="n"/>
      <c r="H787" s="20" t="str">
        <f>IF(AND(ISNUMBER(E787),ISNUMBER(F787)),E787*F787,"")</f>
        <v/>
      </c>
      <c r="I787" s="43" t="str">
        <f>IF(ISNUMBER(H787),ROUND(MAX(F787*'参数'!$C$11,'参数'!$C$12)+'参数'!$C$13,2),"")</f>
        <v/>
      </c>
      <c r="J787" s="43" t="str">
        <f>IF(ISNUMBER(H787),IF(D787="卖",ROUND(H787*N('参数'!$C$14)+F787*N('参数'!$C$15),2),0),"")</f>
        <v/>
      </c>
      <c r="K787" s="23" t="n"/>
      <c r="L787" s="20" t="str">
        <f>IF(ISNUMBER(K787),K787,IF(ISNUMBER(H787),I787+J787,""))</f>
        <v/>
      </c>
      <c r="M787" s="48" t="str">
        <f>IF(AND(ISNUMBER(E787),ISNUMBER(G787),ISNUMBER(F787)),(E787-G787)*IF(D787="卖",-1,1)*F787,"")</f>
        <v/>
      </c>
      <c r="N787" s="49" t="str">
        <f>IF(A787="","",IFERROR(T(INDEX('交易记录'!$C$5:$C$304,MATCH(A787,'交易记录'!$A$5:$A$304,0))),"编号没找到"))</f>
        <v/>
      </c>
      <c r="O787" s="31" t="n"/>
    </row>
    <row r="788">
      <c r="A788" s="29" t="n"/>
      <c r="B788" s="30" t="n"/>
      <c r="C788" s="47" t="n"/>
      <c r="D788" s="32" t="n"/>
      <c r="E788" s="33" t="n"/>
      <c r="F788" s="36" t="n"/>
      <c r="G788" s="33" t="n"/>
      <c r="H788" s="20" t="str">
        <f>IF(AND(ISNUMBER(E788),ISNUMBER(F788)),E788*F788,"")</f>
        <v/>
      </c>
      <c r="I788" s="43" t="str">
        <f>IF(ISNUMBER(H788),ROUND(MAX(F788*'参数'!$C$11,'参数'!$C$12)+'参数'!$C$13,2),"")</f>
        <v/>
      </c>
      <c r="J788" s="43" t="str">
        <f>IF(ISNUMBER(H788),IF(D788="卖",ROUND(H788*N('参数'!$C$14)+F788*N('参数'!$C$15),2),0),"")</f>
        <v/>
      </c>
      <c r="K788" s="23" t="n"/>
      <c r="L788" s="20" t="str">
        <f>IF(ISNUMBER(K788),K788,IF(ISNUMBER(H788),I788+J788,""))</f>
        <v/>
      </c>
      <c r="M788" s="48" t="str">
        <f>IF(AND(ISNUMBER(E788),ISNUMBER(G788),ISNUMBER(F788)),(E788-G788)*IF(D788="卖",-1,1)*F788,"")</f>
        <v/>
      </c>
      <c r="N788" s="49" t="str">
        <f>IF(A788="","",IFERROR(T(INDEX('交易记录'!$C$5:$C$304,MATCH(A788,'交易记录'!$A$5:$A$304,0))),"编号没找到"))</f>
        <v/>
      </c>
      <c r="O788" s="31" t="n"/>
    </row>
    <row r="789">
      <c r="A789" s="29" t="n"/>
      <c r="B789" s="30" t="n"/>
      <c r="C789" s="47" t="n"/>
      <c r="D789" s="32" t="n"/>
      <c r="E789" s="33" t="n"/>
      <c r="F789" s="36" t="n"/>
      <c r="G789" s="33" t="n"/>
      <c r="H789" s="20" t="str">
        <f>IF(AND(ISNUMBER(E789),ISNUMBER(F789)),E789*F789,"")</f>
        <v/>
      </c>
      <c r="I789" s="43" t="str">
        <f>IF(ISNUMBER(H789),ROUND(MAX(F789*'参数'!$C$11,'参数'!$C$12)+'参数'!$C$13,2),"")</f>
        <v/>
      </c>
      <c r="J789" s="43" t="str">
        <f>IF(ISNUMBER(H789),IF(D789="卖",ROUND(H789*N('参数'!$C$14)+F789*N('参数'!$C$15),2),0),"")</f>
        <v/>
      </c>
      <c r="K789" s="23" t="n"/>
      <c r="L789" s="20" t="str">
        <f>IF(ISNUMBER(K789),K789,IF(ISNUMBER(H789),I789+J789,""))</f>
        <v/>
      </c>
      <c r="M789" s="48" t="str">
        <f>IF(AND(ISNUMBER(E789),ISNUMBER(G789),ISNUMBER(F789)),(E789-G789)*IF(D789="卖",-1,1)*F789,"")</f>
        <v/>
      </c>
      <c r="N789" s="49" t="str">
        <f>IF(A789="","",IFERROR(T(INDEX('交易记录'!$C$5:$C$304,MATCH(A789,'交易记录'!$A$5:$A$304,0))),"编号没找到"))</f>
        <v/>
      </c>
      <c r="O789" s="31" t="n"/>
    </row>
    <row r="790">
      <c r="A790" s="29" t="n"/>
      <c r="B790" s="30" t="n"/>
      <c r="C790" s="47" t="n"/>
      <c r="D790" s="32" t="n"/>
      <c r="E790" s="33" t="n"/>
      <c r="F790" s="36" t="n"/>
      <c r="G790" s="33" t="n"/>
      <c r="H790" s="20" t="str">
        <f>IF(AND(ISNUMBER(E790),ISNUMBER(F790)),E790*F790,"")</f>
        <v/>
      </c>
      <c r="I790" s="43" t="str">
        <f>IF(ISNUMBER(H790),ROUND(MAX(F790*'参数'!$C$11,'参数'!$C$12)+'参数'!$C$13,2),"")</f>
        <v/>
      </c>
      <c r="J790" s="43" t="str">
        <f>IF(ISNUMBER(H790),IF(D790="卖",ROUND(H790*N('参数'!$C$14)+F790*N('参数'!$C$15),2),0),"")</f>
        <v/>
      </c>
      <c r="K790" s="23" t="n"/>
      <c r="L790" s="20" t="str">
        <f>IF(ISNUMBER(K790),K790,IF(ISNUMBER(H790),I790+J790,""))</f>
        <v/>
      </c>
      <c r="M790" s="48" t="str">
        <f>IF(AND(ISNUMBER(E790),ISNUMBER(G790),ISNUMBER(F790)),(E790-G790)*IF(D790="卖",-1,1)*F790,"")</f>
        <v/>
      </c>
      <c r="N790" s="49" t="str">
        <f>IF(A790="","",IFERROR(T(INDEX('交易记录'!$C$5:$C$304,MATCH(A790,'交易记录'!$A$5:$A$304,0))),"编号没找到"))</f>
        <v/>
      </c>
      <c r="O790" s="31" t="n"/>
    </row>
    <row r="791">
      <c r="A791" s="29" t="n"/>
      <c r="B791" s="30" t="n"/>
      <c r="C791" s="47" t="n"/>
      <c r="D791" s="32" t="n"/>
      <c r="E791" s="33" t="n"/>
      <c r="F791" s="36" t="n"/>
      <c r="G791" s="33" t="n"/>
      <c r="H791" s="20" t="str">
        <f>IF(AND(ISNUMBER(E791),ISNUMBER(F791)),E791*F791,"")</f>
        <v/>
      </c>
      <c r="I791" s="43" t="str">
        <f>IF(ISNUMBER(H791),ROUND(MAX(F791*'参数'!$C$11,'参数'!$C$12)+'参数'!$C$13,2),"")</f>
        <v/>
      </c>
      <c r="J791" s="43" t="str">
        <f>IF(ISNUMBER(H791),IF(D791="卖",ROUND(H791*N('参数'!$C$14)+F791*N('参数'!$C$15),2),0),"")</f>
        <v/>
      </c>
      <c r="K791" s="23" t="n"/>
      <c r="L791" s="20" t="str">
        <f>IF(ISNUMBER(K791),K791,IF(ISNUMBER(H791),I791+J791,""))</f>
        <v/>
      </c>
      <c r="M791" s="48" t="str">
        <f>IF(AND(ISNUMBER(E791),ISNUMBER(G791),ISNUMBER(F791)),(E791-G791)*IF(D791="卖",-1,1)*F791,"")</f>
        <v/>
      </c>
      <c r="N791" s="49" t="str">
        <f>IF(A791="","",IFERROR(T(INDEX('交易记录'!$C$5:$C$304,MATCH(A791,'交易记录'!$A$5:$A$304,0))),"编号没找到"))</f>
        <v/>
      </c>
      <c r="O791" s="31" t="n"/>
    </row>
    <row r="792">
      <c r="A792" s="29" t="n"/>
      <c r="B792" s="30" t="n"/>
      <c r="C792" s="47" t="n"/>
      <c r="D792" s="32" t="n"/>
      <c r="E792" s="33" t="n"/>
      <c r="F792" s="36" t="n"/>
      <c r="G792" s="33" t="n"/>
      <c r="H792" s="20" t="str">
        <f>IF(AND(ISNUMBER(E792),ISNUMBER(F792)),E792*F792,"")</f>
        <v/>
      </c>
      <c r="I792" s="43" t="str">
        <f>IF(ISNUMBER(H792),ROUND(MAX(F792*'参数'!$C$11,'参数'!$C$12)+'参数'!$C$13,2),"")</f>
        <v/>
      </c>
      <c r="J792" s="43" t="str">
        <f>IF(ISNUMBER(H792),IF(D792="卖",ROUND(H792*N('参数'!$C$14)+F792*N('参数'!$C$15),2),0),"")</f>
        <v/>
      </c>
      <c r="K792" s="23" t="n"/>
      <c r="L792" s="20" t="str">
        <f>IF(ISNUMBER(K792),K792,IF(ISNUMBER(H792),I792+J792,""))</f>
        <v/>
      </c>
      <c r="M792" s="48" t="str">
        <f>IF(AND(ISNUMBER(E792),ISNUMBER(G792),ISNUMBER(F792)),(E792-G792)*IF(D792="卖",-1,1)*F792,"")</f>
        <v/>
      </c>
      <c r="N792" s="49" t="str">
        <f>IF(A792="","",IFERROR(T(INDEX('交易记录'!$C$5:$C$304,MATCH(A792,'交易记录'!$A$5:$A$304,0))),"编号没找到"))</f>
        <v/>
      </c>
      <c r="O792" s="31" t="n"/>
    </row>
    <row r="793">
      <c r="A793" s="29" t="n"/>
      <c r="B793" s="30" t="n"/>
      <c r="C793" s="47" t="n"/>
      <c r="D793" s="32" t="n"/>
      <c r="E793" s="33" t="n"/>
      <c r="F793" s="36" t="n"/>
      <c r="G793" s="33" t="n"/>
      <c r="H793" s="20" t="str">
        <f>IF(AND(ISNUMBER(E793),ISNUMBER(F793)),E793*F793,"")</f>
        <v/>
      </c>
      <c r="I793" s="43" t="str">
        <f>IF(ISNUMBER(H793),ROUND(MAX(F793*'参数'!$C$11,'参数'!$C$12)+'参数'!$C$13,2),"")</f>
        <v/>
      </c>
      <c r="J793" s="43" t="str">
        <f>IF(ISNUMBER(H793),IF(D793="卖",ROUND(H793*N('参数'!$C$14)+F793*N('参数'!$C$15),2),0),"")</f>
        <v/>
      </c>
      <c r="K793" s="23" t="n"/>
      <c r="L793" s="20" t="str">
        <f>IF(ISNUMBER(K793),K793,IF(ISNUMBER(H793),I793+J793,""))</f>
        <v/>
      </c>
      <c r="M793" s="48" t="str">
        <f>IF(AND(ISNUMBER(E793),ISNUMBER(G793),ISNUMBER(F793)),(E793-G793)*IF(D793="卖",-1,1)*F793,"")</f>
        <v/>
      </c>
      <c r="N793" s="49" t="str">
        <f>IF(A793="","",IFERROR(T(INDEX('交易记录'!$C$5:$C$304,MATCH(A793,'交易记录'!$A$5:$A$304,0))),"编号没找到"))</f>
        <v/>
      </c>
      <c r="O793" s="31" t="n"/>
    </row>
    <row r="794">
      <c r="A794" s="29" t="n"/>
      <c r="B794" s="30" t="n"/>
      <c r="C794" s="47" t="n"/>
      <c r="D794" s="32" t="n"/>
      <c r="E794" s="33" t="n"/>
      <c r="F794" s="36" t="n"/>
      <c r="G794" s="33" t="n"/>
      <c r="H794" s="20" t="str">
        <f>IF(AND(ISNUMBER(E794),ISNUMBER(F794)),E794*F794,"")</f>
        <v/>
      </c>
      <c r="I794" s="43" t="str">
        <f>IF(ISNUMBER(H794),ROUND(MAX(F794*'参数'!$C$11,'参数'!$C$12)+'参数'!$C$13,2),"")</f>
        <v/>
      </c>
      <c r="J794" s="43" t="str">
        <f>IF(ISNUMBER(H794),IF(D794="卖",ROUND(H794*N('参数'!$C$14)+F794*N('参数'!$C$15),2),0),"")</f>
        <v/>
      </c>
      <c r="K794" s="23" t="n"/>
      <c r="L794" s="20" t="str">
        <f>IF(ISNUMBER(K794),K794,IF(ISNUMBER(H794),I794+J794,""))</f>
        <v/>
      </c>
      <c r="M794" s="48" t="str">
        <f>IF(AND(ISNUMBER(E794),ISNUMBER(G794),ISNUMBER(F794)),(E794-G794)*IF(D794="卖",-1,1)*F794,"")</f>
        <v/>
      </c>
      <c r="N794" s="49" t="str">
        <f>IF(A794="","",IFERROR(T(INDEX('交易记录'!$C$5:$C$304,MATCH(A794,'交易记录'!$A$5:$A$304,0))),"编号没找到"))</f>
        <v/>
      </c>
      <c r="O794" s="31" t="n"/>
    </row>
    <row r="795">
      <c r="A795" s="29" t="n"/>
      <c r="B795" s="30" t="n"/>
      <c r="C795" s="47" t="n"/>
      <c r="D795" s="32" t="n"/>
      <c r="E795" s="33" t="n"/>
      <c r="F795" s="36" t="n"/>
      <c r="G795" s="33" t="n"/>
      <c r="H795" s="20" t="str">
        <f>IF(AND(ISNUMBER(E795),ISNUMBER(F795)),E795*F795,"")</f>
        <v/>
      </c>
      <c r="I795" s="43" t="str">
        <f>IF(ISNUMBER(H795),ROUND(MAX(F795*'参数'!$C$11,'参数'!$C$12)+'参数'!$C$13,2),"")</f>
        <v/>
      </c>
      <c r="J795" s="43" t="str">
        <f>IF(ISNUMBER(H795),IF(D795="卖",ROUND(H795*N('参数'!$C$14)+F795*N('参数'!$C$15),2),0),"")</f>
        <v/>
      </c>
      <c r="K795" s="23" t="n"/>
      <c r="L795" s="20" t="str">
        <f>IF(ISNUMBER(K795),K795,IF(ISNUMBER(H795),I795+J795,""))</f>
        <v/>
      </c>
      <c r="M795" s="48" t="str">
        <f>IF(AND(ISNUMBER(E795),ISNUMBER(G795),ISNUMBER(F795)),(E795-G795)*IF(D795="卖",-1,1)*F795,"")</f>
        <v/>
      </c>
      <c r="N795" s="49" t="str">
        <f>IF(A795="","",IFERROR(T(INDEX('交易记录'!$C$5:$C$304,MATCH(A795,'交易记录'!$A$5:$A$304,0))),"编号没找到"))</f>
        <v/>
      </c>
      <c r="O795" s="31" t="n"/>
    </row>
    <row r="796">
      <c r="A796" s="29" t="n"/>
      <c r="B796" s="30" t="n"/>
      <c r="C796" s="47" t="n"/>
      <c r="D796" s="32" t="n"/>
      <c r="E796" s="33" t="n"/>
      <c r="F796" s="36" t="n"/>
      <c r="G796" s="33" t="n"/>
      <c r="H796" s="20" t="str">
        <f>IF(AND(ISNUMBER(E796),ISNUMBER(F796)),E796*F796,"")</f>
        <v/>
      </c>
      <c r="I796" s="43" t="str">
        <f>IF(ISNUMBER(H796),ROUND(MAX(F796*'参数'!$C$11,'参数'!$C$12)+'参数'!$C$13,2),"")</f>
        <v/>
      </c>
      <c r="J796" s="43" t="str">
        <f>IF(ISNUMBER(H796),IF(D796="卖",ROUND(H796*N('参数'!$C$14)+F796*N('参数'!$C$15),2),0),"")</f>
        <v/>
      </c>
      <c r="K796" s="23" t="n"/>
      <c r="L796" s="20" t="str">
        <f>IF(ISNUMBER(K796),K796,IF(ISNUMBER(H796),I796+J796,""))</f>
        <v/>
      </c>
      <c r="M796" s="48" t="str">
        <f>IF(AND(ISNUMBER(E796),ISNUMBER(G796),ISNUMBER(F796)),(E796-G796)*IF(D796="卖",-1,1)*F796,"")</f>
        <v/>
      </c>
      <c r="N796" s="49" t="str">
        <f>IF(A796="","",IFERROR(T(INDEX('交易记录'!$C$5:$C$304,MATCH(A796,'交易记录'!$A$5:$A$304,0))),"编号没找到"))</f>
        <v/>
      </c>
      <c r="O796" s="31" t="n"/>
    </row>
    <row r="797">
      <c r="A797" s="29" t="n"/>
      <c r="B797" s="30" t="n"/>
      <c r="C797" s="47" t="n"/>
      <c r="D797" s="32" t="n"/>
      <c r="E797" s="33" t="n"/>
      <c r="F797" s="36" t="n"/>
      <c r="G797" s="33" t="n"/>
      <c r="H797" s="20" t="str">
        <f>IF(AND(ISNUMBER(E797),ISNUMBER(F797)),E797*F797,"")</f>
        <v/>
      </c>
      <c r="I797" s="43" t="str">
        <f>IF(ISNUMBER(H797),ROUND(MAX(F797*'参数'!$C$11,'参数'!$C$12)+'参数'!$C$13,2),"")</f>
        <v/>
      </c>
      <c r="J797" s="43" t="str">
        <f>IF(ISNUMBER(H797),IF(D797="卖",ROUND(H797*N('参数'!$C$14)+F797*N('参数'!$C$15),2),0),"")</f>
        <v/>
      </c>
      <c r="K797" s="23" t="n"/>
      <c r="L797" s="20" t="str">
        <f>IF(ISNUMBER(K797),K797,IF(ISNUMBER(H797),I797+J797,""))</f>
        <v/>
      </c>
      <c r="M797" s="48" t="str">
        <f>IF(AND(ISNUMBER(E797),ISNUMBER(G797),ISNUMBER(F797)),(E797-G797)*IF(D797="卖",-1,1)*F797,"")</f>
        <v/>
      </c>
      <c r="N797" s="49" t="str">
        <f>IF(A797="","",IFERROR(T(INDEX('交易记录'!$C$5:$C$304,MATCH(A797,'交易记录'!$A$5:$A$304,0))),"编号没找到"))</f>
        <v/>
      </c>
      <c r="O797" s="31" t="n"/>
    </row>
    <row r="798">
      <c r="A798" s="29" t="n"/>
      <c r="B798" s="30" t="n"/>
      <c r="C798" s="47" t="n"/>
      <c r="D798" s="32" t="n"/>
      <c r="E798" s="33" t="n"/>
      <c r="F798" s="36" t="n"/>
      <c r="G798" s="33" t="n"/>
      <c r="H798" s="20" t="str">
        <f>IF(AND(ISNUMBER(E798),ISNUMBER(F798)),E798*F798,"")</f>
        <v/>
      </c>
      <c r="I798" s="43" t="str">
        <f>IF(ISNUMBER(H798),ROUND(MAX(F798*'参数'!$C$11,'参数'!$C$12)+'参数'!$C$13,2),"")</f>
        <v/>
      </c>
      <c r="J798" s="43" t="str">
        <f>IF(ISNUMBER(H798),IF(D798="卖",ROUND(H798*N('参数'!$C$14)+F798*N('参数'!$C$15),2),0),"")</f>
        <v/>
      </c>
      <c r="K798" s="23" t="n"/>
      <c r="L798" s="20" t="str">
        <f>IF(ISNUMBER(K798),K798,IF(ISNUMBER(H798),I798+J798,""))</f>
        <v/>
      </c>
      <c r="M798" s="48" t="str">
        <f>IF(AND(ISNUMBER(E798),ISNUMBER(G798),ISNUMBER(F798)),(E798-G798)*IF(D798="卖",-1,1)*F798,"")</f>
        <v/>
      </c>
      <c r="N798" s="49" t="str">
        <f>IF(A798="","",IFERROR(T(INDEX('交易记录'!$C$5:$C$304,MATCH(A798,'交易记录'!$A$5:$A$304,0))),"编号没找到"))</f>
        <v/>
      </c>
      <c r="O798" s="31" t="n"/>
    </row>
    <row r="799">
      <c r="A799" s="29" t="n"/>
      <c r="B799" s="30" t="n"/>
      <c r="C799" s="47" t="n"/>
      <c r="D799" s="32" t="n"/>
      <c r="E799" s="33" t="n"/>
      <c r="F799" s="36" t="n"/>
      <c r="G799" s="33" t="n"/>
      <c r="H799" s="20" t="str">
        <f>IF(AND(ISNUMBER(E799),ISNUMBER(F799)),E799*F799,"")</f>
        <v/>
      </c>
      <c r="I799" s="43" t="str">
        <f>IF(ISNUMBER(H799),ROUND(MAX(F799*'参数'!$C$11,'参数'!$C$12)+'参数'!$C$13,2),"")</f>
        <v/>
      </c>
      <c r="J799" s="43" t="str">
        <f>IF(ISNUMBER(H799),IF(D799="卖",ROUND(H799*N('参数'!$C$14)+F799*N('参数'!$C$15),2),0),"")</f>
        <v/>
      </c>
      <c r="K799" s="23" t="n"/>
      <c r="L799" s="20" t="str">
        <f>IF(ISNUMBER(K799),K799,IF(ISNUMBER(H799),I799+J799,""))</f>
        <v/>
      </c>
      <c r="M799" s="48" t="str">
        <f>IF(AND(ISNUMBER(E799),ISNUMBER(G799),ISNUMBER(F799)),(E799-G799)*IF(D799="卖",-1,1)*F799,"")</f>
        <v/>
      </c>
      <c r="N799" s="49" t="str">
        <f>IF(A799="","",IFERROR(T(INDEX('交易记录'!$C$5:$C$304,MATCH(A799,'交易记录'!$A$5:$A$304,0))),"编号没找到"))</f>
        <v/>
      </c>
      <c r="O799" s="31" t="n"/>
    </row>
    <row r="800">
      <c r="A800" s="29" t="n"/>
      <c r="B800" s="30" t="n"/>
      <c r="C800" s="47" t="n"/>
      <c r="D800" s="32" t="n"/>
      <c r="E800" s="33" t="n"/>
      <c r="F800" s="36" t="n"/>
      <c r="G800" s="33" t="n"/>
      <c r="H800" s="20" t="str">
        <f>IF(AND(ISNUMBER(E800),ISNUMBER(F800)),E800*F800,"")</f>
        <v/>
      </c>
      <c r="I800" s="43" t="str">
        <f>IF(ISNUMBER(H800),ROUND(MAX(F800*'参数'!$C$11,'参数'!$C$12)+'参数'!$C$13,2),"")</f>
        <v/>
      </c>
      <c r="J800" s="43" t="str">
        <f>IF(ISNUMBER(H800),IF(D800="卖",ROUND(H800*N('参数'!$C$14)+F800*N('参数'!$C$15),2),0),"")</f>
        <v/>
      </c>
      <c r="K800" s="23" t="n"/>
      <c r="L800" s="20" t="str">
        <f>IF(ISNUMBER(K800),K800,IF(ISNUMBER(H800),I800+J800,""))</f>
        <v/>
      </c>
      <c r="M800" s="48" t="str">
        <f>IF(AND(ISNUMBER(E800),ISNUMBER(G800),ISNUMBER(F800)),(E800-G800)*IF(D800="卖",-1,1)*F800,"")</f>
        <v/>
      </c>
      <c r="N800" s="49" t="str">
        <f>IF(A800="","",IFERROR(T(INDEX('交易记录'!$C$5:$C$304,MATCH(A800,'交易记录'!$A$5:$A$304,0))),"编号没找到"))</f>
        <v/>
      </c>
      <c r="O800" s="31" t="n"/>
    </row>
    <row r="801">
      <c r="A801" s="29" t="n"/>
      <c r="B801" s="30" t="n"/>
      <c r="C801" s="47" t="n"/>
      <c r="D801" s="32" t="n"/>
      <c r="E801" s="33" t="n"/>
      <c r="F801" s="36" t="n"/>
      <c r="G801" s="33" t="n"/>
      <c r="H801" s="20" t="str">
        <f>IF(AND(ISNUMBER(E801),ISNUMBER(F801)),E801*F801,"")</f>
        <v/>
      </c>
      <c r="I801" s="43" t="str">
        <f>IF(ISNUMBER(H801),ROUND(MAX(F801*'参数'!$C$11,'参数'!$C$12)+'参数'!$C$13,2),"")</f>
        <v/>
      </c>
      <c r="J801" s="43" t="str">
        <f>IF(ISNUMBER(H801),IF(D801="卖",ROUND(H801*N('参数'!$C$14)+F801*N('参数'!$C$15),2),0),"")</f>
        <v/>
      </c>
      <c r="K801" s="23" t="n"/>
      <c r="L801" s="20" t="str">
        <f>IF(ISNUMBER(K801),K801,IF(ISNUMBER(H801),I801+J801,""))</f>
        <v/>
      </c>
      <c r="M801" s="48" t="str">
        <f>IF(AND(ISNUMBER(E801),ISNUMBER(G801),ISNUMBER(F801)),(E801-G801)*IF(D801="卖",-1,1)*F801,"")</f>
        <v/>
      </c>
      <c r="N801" s="49" t="str">
        <f>IF(A801="","",IFERROR(T(INDEX('交易记录'!$C$5:$C$304,MATCH(A801,'交易记录'!$A$5:$A$304,0))),"编号没找到"))</f>
        <v/>
      </c>
      <c r="O801" s="31" t="n"/>
    </row>
    <row r="802">
      <c r="A802" s="29" t="n"/>
      <c r="B802" s="30" t="n"/>
      <c r="C802" s="47" t="n"/>
      <c r="D802" s="32" t="n"/>
      <c r="E802" s="33" t="n"/>
      <c r="F802" s="36" t="n"/>
      <c r="G802" s="33" t="n"/>
      <c r="H802" s="20" t="str">
        <f>IF(AND(ISNUMBER(E802),ISNUMBER(F802)),E802*F802,"")</f>
        <v/>
      </c>
      <c r="I802" s="43" t="str">
        <f>IF(ISNUMBER(H802),ROUND(MAX(F802*'参数'!$C$11,'参数'!$C$12)+'参数'!$C$13,2),"")</f>
        <v/>
      </c>
      <c r="J802" s="43" t="str">
        <f>IF(ISNUMBER(H802),IF(D802="卖",ROUND(H802*N('参数'!$C$14)+F802*N('参数'!$C$15),2),0),"")</f>
        <v/>
      </c>
      <c r="K802" s="23" t="n"/>
      <c r="L802" s="20" t="str">
        <f>IF(ISNUMBER(K802),K802,IF(ISNUMBER(H802),I802+J802,""))</f>
        <v/>
      </c>
      <c r="M802" s="48" t="str">
        <f>IF(AND(ISNUMBER(E802),ISNUMBER(G802),ISNUMBER(F802)),(E802-G802)*IF(D802="卖",-1,1)*F802,"")</f>
        <v/>
      </c>
      <c r="N802" s="49" t="str">
        <f>IF(A802="","",IFERROR(T(INDEX('交易记录'!$C$5:$C$304,MATCH(A802,'交易记录'!$A$5:$A$304,0))),"编号没找到"))</f>
        <v/>
      </c>
      <c r="O802" s="31" t="n"/>
    </row>
    <row r="803">
      <c r="A803" s="29" t="n"/>
      <c r="B803" s="30" t="n"/>
      <c r="C803" s="47" t="n"/>
      <c r="D803" s="32" t="n"/>
      <c r="E803" s="33" t="n"/>
      <c r="F803" s="36" t="n"/>
      <c r="G803" s="33" t="n"/>
      <c r="H803" s="20" t="str">
        <f>IF(AND(ISNUMBER(E803),ISNUMBER(F803)),E803*F803,"")</f>
        <v/>
      </c>
      <c r="I803" s="43" t="str">
        <f>IF(ISNUMBER(H803),ROUND(MAX(F803*'参数'!$C$11,'参数'!$C$12)+'参数'!$C$13,2),"")</f>
        <v/>
      </c>
      <c r="J803" s="43" t="str">
        <f>IF(ISNUMBER(H803),IF(D803="卖",ROUND(H803*N('参数'!$C$14)+F803*N('参数'!$C$15),2),0),"")</f>
        <v/>
      </c>
      <c r="K803" s="23" t="n"/>
      <c r="L803" s="20" t="str">
        <f>IF(ISNUMBER(K803),K803,IF(ISNUMBER(H803),I803+J803,""))</f>
        <v/>
      </c>
      <c r="M803" s="48" t="str">
        <f>IF(AND(ISNUMBER(E803),ISNUMBER(G803),ISNUMBER(F803)),(E803-G803)*IF(D803="卖",-1,1)*F803,"")</f>
        <v/>
      </c>
      <c r="N803" s="49" t="str">
        <f>IF(A803="","",IFERROR(T(INDEX('交易记录'!$C$5:$C$304,MATCH(A803,'交易记录'!$A$5:$A$304,0))),"编号没找到"))</f>
        <v/>
      </c>
      <c r="O803" s="31" t="n"/>
    </row>
    <row r="804">
      <c r="A804" s="29" t="n"/>
      <c r="B804" s="30" t="n"/>
      <c r="C804" s="47" t="n"/>
      <c r="D804" s="32" t="n"/>
      <c r="E804" s="33" t="n"/>
      <c r="F804" s="36" t="n"/>
      <c r="G804" s="33" t="n"/>
      <c r="H804" s="20" t="str">
        <f>IF(AND(ISNUMBER(E804),ISNUMBER(F804)),E804*F804,"")</f>
        <v/>
      </c>
      <c r="I804" s="43" t="str">
        <f>IF(ISNUMBER(H804),ROUND(MAX(F804*'参数'!$C$11,'参数'!$C$12)+'参数'!$C$13,2),"")</f>
        <v/>
      </c>
      <c r="J804" s="43" t="str">
        <f>IF(ISNUMBER(H804),IF(D804="卖",ROUND(H804*N('参数'!$C$14)+F804*N('参数'!$C$15),2),0),"")</f>
        <v/>
      </c>
      <c r="K804" s="23" t="n"/>
      <c r="L804" s="20" t="str">
        <f>IF(ISNUMBER(K804),K804,IF(ISNUMBER(H804),I804+J804,""))</f>
        <v/>
      </c>
      <c r="M804" s="48" t="str">
        <f>IF(AND(ISNUMBER(E804),ISNUMBER(G804),ISNUMBER(F804)),(E804-G804)*IF(D804="卖",-1,1)*F804,"")</f>
        <v/>
      </c>
      <c r="N804" s="49" t="str">
        <f>IF(A804="","",IFERROR(T(INDEX('交易记录'!$C$5:$C$304,MATCH(A804,'交易记录'!$A$5:$A$304,0))),"编号没找到"))</f>
        <v/>
      </c>
      <c r="O804" s="31" t="n"/>
    </row>
  </sheetData>
  <mergeCells count="6">
    <mergeCell ref="N3:O3"/>
    <mergeCell ref="A2:O2"/>
    <mergeCell ref="A3:G3"/>
    <mergeCell ref="A1:L1"/>
    <mergeCell ref="M1:O1"/>
    <mergeCell ref="H3:M3"/>
  </mergeCells>
  <conditionalFormatting sqref="N5:N804">
    <cfRule type="cellIs" priority="1" operator="equal" dxfId="3">
      <formula>"编号没找到"</formula>
    </cfRule>
  </conditionalFormatting>
  <dataValidations count="3">
    <dataValidation sqref="A5:A804" showDropDown="0" showInputMessage="0" showErrorMessage="1" allowBlank="1" errorTitle="格式不对" error="编号请用数字，和交易记录里的编号一致。" type="whole" errorStyle="stop" operator="greaterThanOrEqual">
      <formula1>1</formula1>
    </dataValidation>
    <dataValidation sqref="B5:B80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5:D804" showDropDown="0" showInputMessage="0" showErrorMessage="1" allowBlank="1" errorTitle="不在选项里" error="请从下拉里选；要加新选项，先去参数页的下拉选项里加。" type="list" errorStyle="stop">
      <formula1>'参数'!$H$22:$H$33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</worksheet>
</file>

<file path=xl/worksheets/sheet5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V206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.5" customWidth="1" min="2" max="2"/>
    <col width="8" customWidth="1" min="3" max="3"/>
    <col width="6" customWidth="1" min="4" max="4"/>
    <col width="6" customWidth="1" min="5" max="5"/>
    <col width="7.5" customWidth="1" min="6" max="6"/>
    <col width="10.5" customWidth="1" min="7" max="7"/>
    <col width="7" customWidth="1" min="8" max="8"/>
    <col width="5" customWidth="1" min="9" max="9"/>
    <col width="7.5" customWidth="1" min="10" max="10"/>
    <col width="7" customWidth="1" min="11" max="11"/>
    <col width="10.5" customWidth="1" min="12" max="12"/>
    <col width="8.5" customWidth="1" min="13" max="13"/>
    <col width="7" customWidth="1" min="14" max="14"/>
    <col width="7" customWidth="1" min="15" max="15"/>
    <col width="7.5" customWidth="1" min="16" max="16"/>
    <col width="7" customWidth="1" min="17" max="17"/>
    <col width="8" customWidth="1" min="18" max="18"/>
    <col width="8" customWidth="1" min="19" max="19"/>
    <col width="9" customWidth="1" min="20" max="20"/>
    <col width="6.5" customWidth="1" min="21" max="21"/>
    <col width="24" customWidth="1" min="22" max="22"/>
  </cols>
  <sheetData>
    <row r="1" ht="30" customHeight="1">
      <c r="A1" s="13" t="inlineStr">
        <is>
          <t>期权（可选）：一张合约一行</t>
        </is>
      </c>
      <c r="T1" s="14" t="inlineStr">
        <is>
          <t>TradeLearn · XtradingTime 交易内训</t>
        </is>
      </c>
    </row>
    <row r="2" ht="20" customHeight="1">
      <c r="A2" s="2" t="inlineStr">
        <is>
          <t>不做期权可以不管这一页。权利金按每股填，一张按 100 股算。买方的 1R 默认是付出去的全部权利金加开仓费，写了「计划最多亏」就按你写的算。离到期 7 天以内会标黄。</t>
        </is>
      </c>
    </row>
    <row r="3" ht="20" customHeight="1">
      <c r="A3" s="50" t="inlineStr">
        <is>
          <t>今天（默认今天，可以改）</t>
        </is>
      </c>
      <c r="B3" s="50" t="n"/>
      <c r="C3" s="50" t="n"/>
      <c r="D3" s="51">
        <f>TODAY()</f>
        <v>46308.0</v>
      </c>
      <c r="E3" s="51" t="n"/>
      <c r="G3" s="52" t="inlineStr">
        <is>
          <t>已平仓（张数行）</t>
        </is>
      </c>
      <c r="H3" s="52" t="n"/>
      <c r="I3" s="42">
        <f>COUNT(T7:T206)</f>
        <v>0</v>
      </c>
      <c r="J3" s="52" t="inlineStr">
        <is>
          <t>合计净盈亏</t>
        </is>
      </c>
      <c r="K3" s="52" t="n"/>
      <c r="L3" s="53" t="str">
        <f>IF(COUNT(T7:T206)=0,"",SUM(T7:T206))</f>
        <v/>
      </c>
      <c r="M3" s="53" t="n"/>
      <c r="N3" s="52" t="inlineStr">
        <is>
          <t>平均净R</t>
        </is>
      </c>
      <c r="O3" s="52" t="n"/>
      <c r="P3" s="45" t="str">
        <f>IF(COUNT(U7:U206)=0,"",AVERAGE(U7:U206))</f>
        <v/>
      </c>
    </row>
    <row r="4" ht="6" customHeight="1"/>
    <row r="5" ht="18" customHeight="1">
      <c r="A5" s="28" t="inlineStr">
        <is>
          <t>开仓</t>
        </is>
      </c>
      <c r="B5" s="28" t="n"/>
      <c r="C5" s="28" t="n"/>
      <c r="D5" s="28" t="n"/>
      <c r="E5" s="28" t="n"/>
      <c r="F5" s="28" t="n"/>
      <c r="G5" s="28" t="n"/>
      <c r="H5" s="28" t="n"/>
      <c r="I5" s="28" t="n"/>
      <c r="J5" s="28" t="n"/>
      <c r="K5" s="28" t="n"/>
      <c r="L5" s="28" t="inlineStr">
        <is>
          <t>平仓</t>
        </is>
      </c>
      <c r="M5" s="28" t="n"/>
      <c r="N5" s="28" t="n"/>
      <c r="O5" s="28" t="n"/>
      <c r="P5" s="28" t="inlineStr">
        <is>
          <t>结果</t>
        </is>
      </c>
      <c r="Q5" s="28" t="n"/>
      <c r="R5" s="28" t="n"/>
      <c r="S5" s="28" t="n"/>
      <c r="T5" s="28" t="n"/>
      <c r="U5" s="28" t="n"/>
      <c r="V5" s="28" t="inlineStr">
        <is>
          <t>备注</t>
        </is>
      </c>
    </row>
    <row r="6" ht="67" customHeight="1">
      <c r="A6" s="26" t="inlineStr">
        <is>
          <t>编号</t>
        </is>
      </c>
      <c r="B6" s="26" t="inlineStr">
        <is>
          <t>开仓日</t>
        </is>
      </c>
      <c r="C6" s="26" t="inlineStr">
        <is>
          <t>标的</t>
        </is>
      </c>
      <c r="D6" s="26" t="inlineStr">
        <is>
          <t>看涨 / 看跌</t>
        </is>
      </c>
      <c r="E6" s="26" t="inlineStr">
        <is>
          <t>买方 / 卖方</t>
        </is>
      </c>
      <c r="F6" s="26" t="inlineStr">
        <is>
          <t>行权价</t>
        </is>
      </c>
      <c r="G6" s="26" t="inlineStr">
        <is>
          <t>到期日</t>
        </is>
      </c>
      <c r="H6" s="26" t="inlineStr">
        <is>
          <t>开仓时离到期（天）</t>
        </is>
      </c>
      <c r="I6" s="26" t="inlineStr">
        <is>
          <t>张数</t>
        </is>
      </c>
      <c r="J6" s="26" t="inlineStr">
        <is>
          <t>开仓权利金（每股）</t>
        </is>
      </c>
      <c r="K6" s="26" t="inlineStr">
        <is>
          <t>开仓隐含波动率</t>
        </is>
      </c>
      <c r="L6" s="26" t="inlineStr">
        <is>
          <t>平仓日</t>
        </is>
      </c>
      <c r="M6" s="26" t="inlineStr">
        <is>
          <t>平仓权利金（每股，到期作废填 0）</t>
        </is>
      </c>
      <c r="N6" s="26" t="inlineStr">
        <is>
          <t>平仓隐含波动率</t>
        </is>
      </c>
      <c r="O6" s="26" t="inlineStr">
        <is>
          <t>现在离到期（天）</t>
        </is>
      </c>
      <c r="P6" s="26" t="inlineStr">
        <is>
          <t>费用估算</t>
        </is>
      </c>
      <c r="Q6" s="26" t="inlineStr">
        <is>
          <t>实际费用</t>
        </is>
      </c>
      <c r="R6" s="26" t="inlineStr">
        <is>
          <t>计划最多亏（卖方必填）</t>
        </is>
      </c>
      <c r="S6" s="26" t="inlineStr">
        <is>
          <t>1R</t>
        </is>
      </c>
      <c r="T6" s="26" t="inlineStr">
        <is>
          <t>净盈亏</t>
        </is>
      </c>
      <c r="U6" s="26" t="inlineStr">
        <is>
          <t>净R</t>
        </is>
      </c>
      <c r="V6" s="26" t="inlineStr">
        <is>
          <t>为什么开、怎么走的</t>
        </is>
      </c>
    </row>
    <row r="7">
      <c r="A7" s="29" t="n"/>
      <c r="B7" s="30" t="n"/>
      <c r="C7" s="31" t="n"/>
      <c r="D7" s="32" t="n"/>
      <c r="E7" s="32" t="n"/>
      <c r="F7" s="54" t="n"/>
      <c r="G7" s="30" t="n"/>
      <c r="H7" s="42" t="str">
        <f>IF(AND(ISNUMBER(G7),ISNUMBER(B7)),G7-B7,"")</f>
        <v/>
      </c>
      <c r="I7" s="29" t="n"/>
      <c r="J7" s="54" t="n"/>
      <c r="K7" s="18" t="n"/>
      <c r="L7" s="30" t="n"/>
      <c r="M7" s="54" t="n"/>
      <c r="N7" s="18" t="n"/>
      <c r="O7" s="42" t="str">
        <f>IF(OR(ISNUMBER(L7),NOT(ISNUMBER(G7))),"",G7-$D$3)</f>
        <v/>
      </c>
      <c r="P7" s="20" t="str">
        <f>IF(N(I7)=0,"",I7*'参数'!$C$16*IF(ISNUMBER(L7),IF(N(M7)=0,1,2),1))</f>
        <v/>
      </c>
      <c r="Q7" s="23" t="n"/>
      <c r="R7" s="23" t="n"/>
      <c r="S7" s="20" t="str">
        <f>IF(ISNUMBER(R7),R7,IF(AND(E7="买方",ISNUMBER(J7),N(I7)&gt;0),J7*100*I7+I7*'参数'!$C$16,""))</f>
        <v/>
      </c>
      <c r="T7" s="53" t="str">
        <f>IF(AND(ISNUMBER(L7),ISNUMBER(M7),ISNUMBER(J7),N(I7)&gt;0),IF(E7="卖方",J7-M7,M7-J7)*100*I7-IF(ISNUMBER(Q7),Q7,P7),"")</f>
        <v/>
      </c>
      <c r="U7" s="45" t="str">
        <f>IF(AND(ISNUMBER(T7),N(S7)&gt;0),T7/S7,"")</f>
        <v/>
      </c>
      <c r="V7" s="31" t="n"/>
    </row>
    <row r="8">
      <c r="A8" s="29" t="n"/>
      <c r="B8" s="30" t="n"/>
      <c r="C8" s="31" t="n"/>
      <c r="D8" s="32" t="n"/>
      <c r="E8" s="32" t="n"/>
      <c r="F8" s="54" t="n"/>
      <c r="G8" s="30" t="n"/>
      <c r="H8" s="42" t="str">
        <f>IF(AND(ISNUMBER(G8),ISNUMBER(B8)),G8-B8,"")</f>
        <v/>
      </c>
      <c r="I8" s="29" t="n"/>
      <c r="J8" s="54" t="n"/>
      <c r="K8" s="18" t="n"/>
      <c r="L8" s="30" t="n"/>
      <c r="M8" s="54" t="n"/>
      <c r="N8" s="18" t="n"/>
      <c r="O8" s="42" t="str">
        <f>IF(OR(ISNUMBER(L8),NOT(ISNUMBER(G8))),"",G8-$D$3)</f>
        <v/>
      </c>
      <c r="P8" s="20" t="str">
        <f>IF(N(I8)=0,"",I8*'参数'!$C$16*IF(ISNUMBER(L8),IF(N(M8)=0,1,2),1))</f>
        <v/>
      </c>
      <c r="Q8" s="23" t="n"/>
      <c r="R8" s="23" t="n"/>
      <c r="S8" s="20" t="str">
        <f>IF(ISNUMBER(R8),R8,IF(AND(E8="买方",ISNUMBER(J8),N(I8)&gt;0),J8*100*I8+I8*'参数'!$C$16,""))</f>
        <v/>
      </c>
      <c r="T8" s="53" t="str">
        <f>IF(AND(ISNUMBER(L8),ISNUMBER(M8),ISNUMBER(J8),N(I8)&gt;0),IF(E8="卖方",J8-M8,M8-J8)*100*I8-IF(ISNUMBER(Q8),Q8,P8),"")</f>
        <v/>
      </c>
      <c r="U8" s="45" t="str">
        <f>IF(AND(ISNUMBER(T8),N(S8)&gt;0),T8/S8,"")</f>
        <v/>
      </c>
      <c r="V8" s="31" t="n"/>
    </row>
    <row r="9">
      <c r="A9" s="29" t="n"/>
      <c r="B9" s="30" t="n"/>
      <c r="C9" s="31" t="n"/>
      <c r="D9" s="32" t="n"/>
      <c r="E9" s="32" t="n"/>
      <c r="F9" s="54" t="n"/>
      <c r="G9" s="30" t="n"/>
      <c r="H9" s="42" t="str">
        <f>IF(AND(ISNUMBER(G9),ISNUMBER(B9)),G9-B9,"")</f>
        <v/>
      </c>
      <c r="I9" s="29" t="n"/>
      <c r="J9" s="54" t="n"/>
      <c r="K9" s="18" t="n"/>
      <c r="L9" s="30" t="n"/>
      <c r="M9" s="54" t="n"/>
      <c r="N9" s="18" t="n"/>
      <c r="O9" s="42" t="str">
        <f>IF(OR(ISNUMBER(L9),NOT(ISNUMBER(G9))),"",G9-$D$3)</f>
        <v/>
      </c>
      <c r="P9" s="20" t="str">
        <f>IF(N(I9)=0,"",I9*'参数'!$C$16*IF(ISNUMBER(L9),IF(N(M9)=0,1,2),1))</f>
        <v/>
      </c>
      <c r="Q9" s="23" t="n"/>
      <c r="R9" s="23" t="n"/>
      <c r="S9" s="20" t="str">
        <f>IF(ISNUMBER(R9),R9,IF(AND(E9="买方",ISNUMBER(J9),N(I9)&gt;0),J9*100*I9+I9*'参数'!$C$16,""))</f>
        <v/>
      </c>
      <c r="T9" s="53" t="str">
        <f>IF(AND(ISNUMBER(L9),ISNUMBER(M9),ISNUMBER(J9),N(I9)&gt;0),IF(E9="卖方",J9-M9,M9-J9)*100*I9-IF(ISNUMBER(Q9),Q9,P9),"")</f>
        <v/>
      </c>
      <c r="U9" s="45" t="str">
        <f>IF(AND(ISNUMBER(T9),N(S9)&gt;0),T9/S9,"")</f>
        <v/>
      </c>
      <c r="V9" s="31" t="n"/>
    </row>
    <row r="10">
      <c r="A10" s="29" t="n"/>
      <c r="B10" s="30" t="n"/>
      <c r="C10" s="31" t="n"/>
      <c r="D10" s="32" t="n"/>
      <c r="E10" s="32" t="n"/>
      <c r="F10" s="54" t="n"/>
      <c r="G10" s="30" t="n"/>
      <c r="H10" s="42" t="str">
        <f>IF(AND(ISNUMBER(G10),ISNUMBER(B10)),G10-B10,"")</f>
        <v/>
      </c>
      <c r="I10" s="29" t="n"/>
      <c r="J10" s="54" t="n"/>
      <c r="K10" s="18" t="n"/>
      <c r="L10" s="30" t="n"/>
      <c r="M10" s="54" t="n"/>
      <c r="N10" s="18" t="n"/>
      <c r="O10" s="42" t="str">
        <f>IF(OR(ISNUMBER(L10),NOT(ISNUMBER(G10))),"",G10-$D$3)</f>
        <v/>
      </c>
      <c r="P10" s="20" t="str">
        <f>IF(N(I10)=0,"",I10*'参数'!$C$16*IF(ISNUMBER(L10),IF(N(M10)=0,1,2),1))</f>
        <v/>
      </c>
      <c r="Q10" s="23" t="n"/>
      <c r="R10" s="23" t="n"/>
      <c r="S10" s="20" t="str">
        <f>IF(ISNUMBER(R10),R10,IF(AND(E10="买方",ISNUMBER(J10),N(I10)&gt;0),J10*100*I10+I10*'参数'!$C$16,""))</f>
        <v/>
      </c>
      <c r="T10" s="53" t="str">
        <f>IF(AND(ISNUMBER(L10),ISNUMBER(M10),ISNUMBER(J10),N(I10)&gt;0),IF(E10="卖方",J10-M10,M10-J10)*100*I10-IF(ISNUMBER(Q10),Q10,P10),"")</f>
        <v/>
      </c>
      <c r="U10" s="45" t="str">
        <f>IF(AND(ISNUMBER(T10),N(S10)&gt;0),T10/S10,"")</f>
        <v/>
      </c>
      <c r="V10" s="31" t="n"/>
    </row>
    <row r="11">
      <c r="A11" s="29" t="n"/>
      <c r="B11" s="30" t="n"/>
      <c r="C11" s="31" t="n"/>
      <c r="D11" s="32" t="n"/>
      <c r="E11" s="32" t="n"/>
      <c r="F11" s="54" t="n"/>
      <c r="G11" s="30" t="n"/>
      <c r="H11" s="42" t="str">
        <f>IF(AND(ISNUMBER(G11),ISNUMBER(B11)),G11-B11,"")</f>
        <v/>
      </c>
      <c r="I11" s="29" t="n"/>
      <c r="J11" s="54" t="n"/>
      <c r="K11" s="18" t="n"/>
      <c r="L11" s="30" t="n"/>
      <c r="M11" s="54" t="n"/>
      <c r="N11" s="18" t="n"/>
      <c r="O11" s="42" t="str">
        <f>IF(OR(ISNUMBER(L11),NOT(ISNUMBER(G11))),"",G11-$D$3)</f>
        <v/>
      </c>
      <c r="P11" s="20" t="str">
        <f>IF(N(I11)=0,"",I11*'参数'!$C$16*IF(ISNUMBER(L11),IF(N(M11)=0,1,2),1))</f>
        <v/>
      </c>
      <c r="Q11" s="23" t="n"/>
      <c r="R11" s="23" t="n"/>
      <c r="S11" s="20" t="str">
        <f>IF(ISNUMBER(R11),R11,IF(AND(E11="买方",ISNUMBER(J11),N(I11)&gt;0),J11*100*I11+I11*'参数'!$C$16,""))</f>
        <v/>
      </c>
      <c r="T11" s="53" t="str">
        <f>IF(AND(ISNUMBER(L11),ISNUMBER(M11),ISNUMBER(J11),N(I11)&gt;0),IF(E11="卖方",J11-M11,M11-J11)*100*I11-IF(ISNUMBER(Q11),Q11,P11),"")</f>
        <v/>
      </c>
      <c r="U11" s="45" t="str">
        <f>IF(AND(ISNUMBER(T11),N(S11)&gt;0),T11/S11,"")</f>
        <v/>
      </c>
      <c r="V11" s="31" t="n"/>
    </row>
    <row r="12">
      <c r="A12" s="29" t="n"/>
      <c r="B12" s="30" t="n"/>
      <c r="C12" s="31" t="n"/>
      <c r="D12" s="32" t="n"/>
      <c r="E12" s="32" t="n"/>
      <c r="F12" s="54" t="n"/>
      <c r="G12" s="30" t="n"/>
      <c r="H12" s="42" t="str">
        <f>IF(AND(ISNUMBER(G12),ISNUMBER(B12)),G12-B12,"")</f>
        <v/>
      </c>
      <c r="I12" s="29" t="n"/>
      <c r="J12" s="54" t="n"/>
      <c r="K12" s="18" t="n"/>
      <c r="L12" s="30" t="n"/>
      <c r="M12" s="54" t="n"/>
      <c r="N12" s="18" t="n"/>
      <c r="O12" s="42" t="str">
        <f>IF(OR(ISNUMBER(L12),NOT(ISNUMBER(G12))),"",G12-$D$3)</f>
        <v/>
      </c>
      <c r="P12" s="20" t="str">
        <f>IF(N(I12)=0,"",I12*'参数'!$C$16*IF(ISNUMBER(L12),IF(N(M12)=0,1,2),1))</f>
        <v/>
      </c>
      <c r="Q12" s="23" t="n"/>
      <c r="R12" s="23" t="n"/>
      <c r="S12" s="20" t="str">
        <f>IF(ISNUMBER(R12),R12,IF(AND(E12="买方",ISNUMBER(J12),N(I12)&gt;0),J12*100*I12+I12*'参数'!$C$16,""))</f>
        <v/>
      </c>
      <c r="T12" s="53" t="str">
        <f>IF(AND(ISNUMBER(L12),ISNUMBER(M12),ISNUMBER(J12),N(I12)&gt;0),IF(E12="卖方",J12-M12,M12-J12)*100*I12-IF(ISNUMBER(Q12),Q12,P12),"")</f>
        <v/>
      </c>
      <c r="U12" s="45" t="str">
        <f>IF(AND(ISNUMBER(T12),N(S12)&gt;0),T12/S12,"")</f>
        <v/>
      </c>
      <c r="V12" s="31" t="n"/>
    </row>
    <row r="13">
      <c r="A13" s="29" t="n"/>
      <c r="B13" s="30" t="n"/>
      <c r="C13" s="31" t="n"/>
      <c r="D13" s="32" t="n"/>
      <c r="E13" s="32" t="n"/>
      <c r="F13" s="54" t="n"/>
      <c r="G13" s="30" t="n"/>
      <c r="H13" s="42" t="str">
        <f>IF(AND(ISNUMBER(G13),ISNUMBER(B13)),G13-B13,"")</f>
        <v/>
      </c>
      <c r="I13" s="29" t="n"/>
      <c r="J13" s="54" t="n"/>
      <c r="K13" s="18" t="n"/>
      <c r="L13" s="30" t="n"/>
      <c r="M13" s="54" t="n"/>
      <c r="N13" s="18" t="n"/>
      <c r="O13" s="42" t="str">
        <f>IF(OR(ISNUMBER(L13),NOT(ISNUMBER(G13))),"",G13-$D$3)</f>
        <v/>
      </c>
      <c r="P13" s="20" t="str">
        <f>IF(N(I13)=0,"",I13*'参数'!$C$16*IF(ISNUMBER(L13),IF(N(M13)=0,1,2),1))</f>
        <v/>
      </c>
      <c r="Q13" s="23" t="n"/>
      <c r="R13" s="23" t="n"/>
      <c r="S13" s="20" t="str">
        <f>IF(ISNUMBER(R13),R13,IF(AND(E13="买方",ISNUMBER(J13),N(I13)&gt;0),J13*100*I13+I13*'参数'!$C$16,""))</f>
        <v/>
      </c>
      <c r="T13" s="53" t="str">
        <f>IF(AND(ISNUMBER(L13),ISNUMBER(M13),ISNUMBER(J13),N(I13)&gt;0),IF(E13="卖方",J13-M13,M13-J13)*100*I13-IF(ISNUMBER(Q13),Q13,P13),"")</f>
        <v/>
      </c>
      <c r="U13" s="45" t="str">
        <f>IF(AND(ISNUMBER(T13),N(S13)&gt;0),T13/S13,"")</f>
        <v/>
      </c>
      <c r="V13" s="31" t="n"/>
    </row>
    <row r="14">
      <c r="A14" s="29" t="n"/>
      <c r="B14" s="30" t="n"/>
      <c r="C14" s="31" t="n"/>
      <c r="D14" s="32" t="n"/>
      <c r="E14" s="32" t="n"/>
      <c r="F14" s="54" t="n"/>
      <c r="G14" s="30" t="n"/>
      <c r="H14" s="42" t="str">
        <f>IF(AND(ISNUMBER(G14),ISNUMBER(B14)),G14-B14,"")</f>
        <v/>
      </c>
      <c r="I14" s="29" t="n"/>
      <c r="J14" s="54" t="n"/>
      <c r="K14" s="18" t="n"/>
      <c r="L14" s="30" t="n"/>
      <c r="M14" s="54" t="n"/>
      <c r="N14" s="18" t="n"/>
      <c r="O14" s="42" t="str">
        <f>IF(OR(ISNUMBER(L14),NOT(ISNUMBER(G14))),"",G14-$D$3)</f>
        <v/>
      </c>
      <c r="P14" s="20" t="str">
        <f>IF(N(I14)=0,"",I14*'参数'!$C$16*IF(ISNUMBER(L14),IF(N(M14)=0,1,2),1))</f>
        <v/>
      </c>
      <c r="Q14" s="23" t="n"/>
      <c r="R14" s="23" t="n"/>
      <c r="S14" s="20" t="str">
        <f>IF(ISNUMBER(R14),R14,IF(AND(E14="买方",ISNUMBER(J14),N(I14)&gt;0),J14*100*I14+I14*'参数'!$C$16,""))</f>
        <v/>
      </c>
      <c r="T14" s="53" t="str">
        <f>IF(AND(ISNUMBER(L14),ISNUMBER(M14),ISNUMBER(J14),N(I14)&gt;0),IF(E14="卖方",J14-M14,M14-J14)*100*I14-IF(ISNUMBER(Q14),Q14,P14),"")</f>
        <v/>
      </c>
      <c r="U14" s="45" t="str">
        <f>IF(AND(ISNUMBER(T14),N(S14)&gt;0),T14/S14,"")</f>
        <v/>
      </c>
      <c r="V14" s="31" t="n"/>
    </row>
    <row r="15">
      <c r="A15" s="29" t="n"/>
      <c r="B15" s="30" t="n"/>
      <c r="C15" s="31" t="n"/>
      <c r="D15" s="32" t="n"/>
      <c r="E15" s="32" t="n"/>
      <c r="F15" s="54" t="n"/>
      <c r="G15" s="30" t="n"/>
      <c r="H15" s="42" t="str">
        <f>IF(AND(ISNUMBER(G15),ISNUMBER(B15)),G15-B15,"")</f>
        <v/>
      </c>
      <c r="I15" s="29" t="n"/>
      <c r="J15" s="54" t="n"/>
      <c r="K15" s="18" t="n"/>
      <c r="L15" s="30" t="n"/>
      <c r="M15" s="54" t="n"/>
      <c r="N15" s="18" t="n"/>
      <c r="O15" s="42" t="str">
        <f>IF(OR(ISNUMBER(L15),NOT(ISNUMBER(G15))),"",G15-$D$3)</f>
        <v/>
      </c>
      <c r="P15" s="20" t="str">
        <f>IF(N(I15)=0,"",I15*'参数'!$C$16*IF(ISNUMBER(L15),IF(N(M15)=0,1,2),1))</f>
        <v/>
      </c>
      <c r="Q15" s="23" t="n"/>
      <c r="R15" s="23" t="n"/>
      <c r="S15" s="20" t="str">
        <f>IF(ISNUMBER(R15),R15,IF(AND(E15="买方",ISNUMBER(J15),N(I15)&gt;0),J15*100*I15+I15*'参数'!$C$16,""))</f>
        <v/>
      </c>
      <c r="T15" s="53" t="str">
        <f>IF(AND(ISNUMBER(L15),ISNUMBER(M15),ISNUMBER(J15),N(I15)&gt;0),IF(E15="卖方",J15-M15,M15-J15)*100*I15-IF(ISNUMBER(Q15),Q15,P15),"")</f>
        <v/>
      </c>
      <c r="U15" s="45" t="str">
        <f>IF(AND(ISNUMBER(T15),N(S15)&gt;0),T15/S15,"")</f>
        <v/>
      </c>
      <c r="V15" s="31" t="n"/>
    </row>
    <row r="16">
      <c r="A16" s="29" t="n"/>
      <c r="B16" s="30" t="n"/>
      <c r="C16" s="31" t="n"/>
      <c r="D16" s="32" t="n"/>
      <c r="E16" s="32" t="n"/>
      <c r="F16" s="54" t="n"/>
      <c r="G16" s="30" t="n"/>
      <c r="H16" s="42" t="str">
        <f>IF(AND(ISNUMBER(G16),ISNUMBER(B16)),G16-B16,"")</f>
        <v/>
      </c>
      <c r="I16" s="29" t="n"/>
      <c r="J16" s="54" t="n"/>
      <c r="K16" s="18" t="n"/>
      <c r="L16" s="30" t="n"/>
      <c r="M16" s="54" t="n"/>
      <c r="N16" s="18" t="n"/>
      <c r="O16" s="42" t="str">
        <f>IF(OR(ISNUMBER(L16),NOT(ISNUMBER(G16))),"",G16-$D$3)</f>
        <v/>
      </c>
      <c r="P16" s="20" t="str">
        <f>IF(N(I16)=0,"",I16*'参数'!$C$16*IF(ISNUMBER(L16),IF(N(M16)=0,1,2),1))</f>
        <v/>
      </c>
      <c r="Q16" s="23" t="n"/>
      <c r="R16" s="23" t="n"/>
      <c r="S16" s="20" t="str">
        <f>IF(ISNUMBER(R16),R16,IF(AND(E16="买方",ISNUMBER(J16),N(I16)&gt;0),J16*100*I16+I16*'参数'!$C$16,""))</f>
        <v/>
      </c>
      <c r="T16" s="53" t="str">
        <f>IF(AND(ISNUMBER(L16),ISNUMBER(M16),ISNUMBER(J16),N(I16)&gt;0),IF(E16="卖方",J16-M16,M16-J16)*100*I16-IF(ISNUMBER(Q16),Q16,P16),"")</f>
        <v/>
      </c>
      <c r="U16" s="45" t="str">
        <f>IF(AND(ISNUMBER(T16),N(S16)&gt;0),T16/S16,"")</f>
        <v/>
      </c>
      <c r="V16" s="31" t="n"/>
    </row>
    <row r="17">
      <c r="A17" s="29" t="n"/>
      <c r="B17" s="30" t="n"/>
      <c r="C17" s="31" t="n"/>
      <c r="D17" s="32" t="n"/>
      <c r="E17" s="32" t="n"/>
      <c r="F17" s="54" t="n"/>
      <c r="G17" s="30" t="n"/>
      <c r="H17" s="42" t="str">
        <f>IF(AND(ISNUMBER(G17),ISNUMBER(B17)),G17-B17,"")</f>
        <v/>
      </c>
      <c r="I17" s="29" t="n"/>
      <c r="J17" s="54" t="n"/>
      <c r="K17" s="18" t="n"/>
      <c r="L17" s="30" t="n"/>
      <c r="M17" s="54" t="n"/>
      <c r="N17" s="18" t="n"/>
      <c r="O17" s="42" t="str">
        <f>IF(OR(ISNUMBER(L17),NOT(ISNUMBER(G17))),"",G17-$D$3)</f>
        <v/>
      </c>
      <c r="P17" s="20" t="str">
        <f>IF(N(I17)=0,"",I17*'参数'!$C$16*IF(ISNUMBER(L17),IF(N(M17)=0,1,2),1))</f>
        <v/>
      </c>
      <c r="Q17" s="23" t="n"/>
      <c r="R17" s="23" t="n"/>
      <c r="S17" s="20" t="str">
        <f>IF(ISNUMBER(R17),R17,IF(AND(E17="买方",ISNUMBER(J17),N(I17)&gt;0),J17*100*I17+I17*'参数'!$C$16,""))</f>
        <v/>
      </c>
      <c r="T17" s="53" t="str">
        <f>IF(AND(ISNUMBER(L17),ISNUMBER(M17),ISNUMBER(J17),N(I17)&gt;0),IF(E17="卖方",J17-M17,M17-J17)*100*I17-IF(ISNUMBER(Q17),Q17,P17),"")</f>
        <v/>
      </c>
      <c r="U17" s="45" t="str">
        <f>IF(AND(ISNUMBER(T17),N(S17)&gt;0),T17/S17,"")</f>
        <v/>
      </c>
      <c r="V17" s="31" t="n"/>
    </row>
    <row r="18">
      <c r="A18" s="29" t="n"/>
      <c r="B18" s="30" t="n"/>
      <c r="C18" s="31" t="n"/>
      <c r="D18" s="32" t="n"/>
      <c r="E18" s="32" t="n"/>
      <c r="F18" s="54" t="n"/>
      <c r="G18" s="30" t="n"/>
      <c r="H18" s="42" t="str">
        <f>IF(AND(ISNUMBER(G18),ISNUMBER(B18)),G18-B18,"")</f>
        <v/>
      </c>
      <c r="I18" s="29" t="n"/>
      <c r="J18" s="54" t="n"/>
      <c r="K18" s="18" t="n"/>
      <c r="L18" s="30" t="n"/>
      <c r="M18" s="54" t="n"/>
      <c r="N18" s="18" t="n"/>
      <c r="O18" s="42" t="str">
        <f>IF(OR(ISNUMBER(L18),NOT(ISNUMBER(G18))),"",G18-$D$3)</f>
        <v/>
      </c>
      <c r="P18" s="20" t="str">
        <f>IF(N(I18)=0,"",I18*'参数'!$C$16*IF(ISNUMBER(L18),IF(N(M18)=0,1,2),1))</f>
        <v/>
      </c>
      <c r="Q18" s="23" t="n"/>
      <c r="R18" s="23" t="n"/>
      <c r="S18" s="20" t="str">
        <f>IF(ISNUMBER(R18),R18,IF(AND(E18="买方",ISNUMBER(J18),N(I18)&gt;0),J18*100*I18+I18*'参数'!$C$16,""))</f>
        <v/>
      </c>
      <c r="T18" s="53" t="str">
        <f>IF(AND(ISNUMBER(L18),ISNUMBER(M18),ISNUMBER(J18),N(I18)&gt;0),IF(E18="卖方",J18-M18,M18-J18)*100*I18-IF(ISNUMBER(Q18),Q18,P18),"")</f>
        <v/>
      </c>
      <c r="U18" s="45" t="str">
        <f>IF(AND(ISNUMBER(T18),N(S18)&gt;0),T18/S18,"")</f>
        <v/>
      </c>
      <c r="V18" s="31" t="n"/>
    </row>
    <row r="19">
      <c r="A19" s="29" t="n"/>
      <c r="B19" s="30" t="n"/>
      <c r="C19" s="31" t="n"/>
      <c r="D19" s="32" t="n"/>
      <c r="E19" s="32" t="n"/>
      <c r="F19" s="54" t="n"/>
      <c r="G19" s="30" t="n"/>
      <c r="H19" s="42" t="str">
        <f>IF(AND(ISNUMBER(G19),ISNUMBER(B19)),G19-B19,"")</f>
        <v/>
      </c>
      <c r="I19" s="29" t="n"/>
      <c r="J19" s="54" t="n"/>
      <c r="K19" s="18" t="n"/>
      <c r="L19" s="30" t="n"/>
      <c r="M19" s="54" t="n"/>
      <c r="N19" s="18" t="n"/>
      <c r="O19" s="42" t="str">
        <f>IF(OR(ISNUMBER(L19),NOT(ISNUMBER(G19))),"",G19-$D$3)</f>
        <v/>
      </c>
      <c r="P19" s="20" t="str">
        <f>IF(N(I19)=0,"",I19*'参数'!$C$16*IF(ISNUMBER(L19),IF(N(M19)=0,1,2),1))</f>
        <v/>
      </c>
      <c r="Q19" s="23" t="n"/>
      <c r="R19" s="23" t="n"/>
      <c r="S19" s="20" t="str">
        <f>IF(ISNUMBER(R19),R19,IF(AND(E19="买方",ISNUMBER(J19),N(I19)&gt;0),J19*100*I19+I19*'参数'!$C$16,""))</f>
        <v/>
      </c>
      <c r="T19" s="53" t="str">
        <f>IF(AND(ISNUMBER(L19),ISNUMBER(M19),ISNUMBER(J19),N(I19)&gt;0),IF(E19="卖方",J19-M19,M19-J19)*100*I19-IF(ISNUMBER(Q19),Q19,P19),"")</f>
        <v/>
      </c>
      <c r="U19" s="45" t="str">
        <f>IF(AND(ISNUMBER(T19),N(S19)&gt;0),T19/S19,"")</f>
        <v/>
      </c>
      <c r="V19" s="31" t="n"/>
    </row>
    <row r="20">
      <c r="A20" s="29" t="n"/>
      <c r="B20" s="30" t="n"/>
      <c r="C20" s="31" t="n"/>
      <c r="D20" s="32" t="n"/>
      <c r="E20" s="32" t="n"/>
      <c r="F20" s="54" t="n"/>
      <c r="G20" s="30" t="n"/>
      <c r="H20" s="42" t="str">
        <f>IF(AND(ISNUMBER(G20),ISNUMBER(B20)),G20-B20,"")</f>
        <v/>
      </c>
      <c r="I20" s="29" t="n"/>
      <c r="J20" s="54" t="n"/>
      <c r="K20" s="18" t="n"/>
      <c r="L20" s="30" t="n"/>
      <c r="M20" s="54" t="n"/>
      <c r="N20" s="18" t="n"/>
      <c r="O20" s="42" t="str">
        <f>IF(OR(ISNUMBER(L20),NOT(ISNUMBER(G20))),"",G20-$D$3)</f>
        <v/>
      </c>
      <c r="P20" s="20" t="str">
        <f>IF(N(I20)=0,"",I20*'参数'!$C$16*IF(ISNUMBER(L20),IF(N(M20)=0,1,2),1))</f>
        <v/>
      </c>
      <c r="Q20" s="23" t="n"/>
      <c r="R20" s="23" t="n"/>
      <c r="S20" s="20" t="str">
        <f>IF(ISNUMBER(R20),R20,IF(AND(E20="买方",ISNUMBER(J20),N(I20)&gt;0),J20*100*I20+I20*'参数'!$C$16,""))</f>
        <v/>
      </c>
      <c r="T20" s="53" t="str">
        <f>IF(AND(ISNUMBER(L20),ISNUMBER(M20),ISNUMBER(J20),N(I20)&gt;0),IF(E20="卖方",J20-M20,M20-J20)*100*I20-IF(ISNUMBER(Q20),Q20,P20),"")</f>
        <v/>
      </c>
      <c r="U20" s="45" t="str">
        <f>IF(AND(ISNUMBER(T20),N(S20)&gt;0),T20/S20,"")</f>
        <v/>
      </c>
      <c r="V20" s="31" t="n"/>
    </row>
    <row r="21">
      <c r="A21" s="29" t="n"/>
      <c r="B21" s="30" t="n"/>
      <c r="C21" s="31" t="n"/>
      <c r="D21" s="32" t="n"/>
      <c r="E21" s="32" t="n"/>
      <c r="F21" s="54" t="n"/>
      <c r="G21" s="30" t="n"/>
      <c r="H21" s="42" t="str">
        <f>IF(AND(ISNUMBER(G21),ISNUMBER(B21)),G21-B21,"")</f>
        <v/>
      </c>
      <c r="I21" s="29" t="n"/>
      <c r="J21" s="54" t="n"/>
      <c r="K21" s="18" t="n"/>
      <c r="L21" s="30" t="n"/>
      <c r="M21" s="54" t="n"/>
      <c r="N21" s="18" t="n"/>
      <c r="O21" s="42" t="str">
        <f>IF(OR(ISNUMBER(L21),NOT(ISNUMBER(G21))),"",G21-$D$3)</f>
        <v/>
      </c>
      <c r="P21" s="20" t="str">
        <f>IF(N(I21)=0,"",I21*'参数'!$C$16*IF(ISNUMBER(L21),IF(N(M21)=0,1,2),1))</f>
        <v/>
      </c>
      <c r="Q21" s="23" t="n"/>
      <c r="R21" s="23" t="n"/>
      <c r="S21" s="20" t="str">
        <f>IF(ISNUMBER(R21),R21,IF(AND(E21="买方",ISNUMBER(J21),N(I21)&gt;0),J21*100*I21+I21*'参数'!$C$16,""))</f>
        <v/>
      </c>
      <c r="T21" s="53" t="str">
        <f>IF(AND(ISNUMBER(L21),ISNUMBER(M21),ISNUMBER(J21),N(I21)&gt;0),IF(E21="卖方",J21-M21,M21-J21)*100*I21-IF(ISNUMBER(Q21),Q21,P21),"")</f>
        <v/>
      </c>
      <c r="U21" s="45" t="str">
        <f>IF(AND(ISNUMBER(T21),N(S21)&gt;0),T21/S21,"")</f>
        <v/>
      </c>
      <c r="V21" s="31" t="n"/>
    </row>
    <row r="22">
      <c r="A22" s="29" t="n"/>
      <c r="B22" s="30" t="n"/>
      <c r="C22" s="31" t="n"/>
      <c r="D22" s="32" t="n"/>
      <c r="E22" s="32" t="n"/>
      <c r="F22" s="54" t="n"/>
      <c r="G22" s="30" t="n"/>
      <c r="H22" s="42" t="str">
        <f>IF(AND(ISNUMBER(G22),ISNUMBER(B22)),G22-B22,"")</f>
        <v/>
      </c>
      <c r="I22" s="29" t="n"/>
      <c r="J22" s="54" t="n"/>
      <c r="K22" s="18" t="n"/>
      <c r="L22" s="30" t="n"/>
      <c r="M22" s="54" t="n"/>
      <c r="N22" s="18" t="n"/>
      <c r="O22" s="42" t="str">
        <f>IF(OR(ISNUMBER(L22),NOT(ISNUMBER(G22))),"",G22-$D$3)</f>
        <v/>
      </c>
      <c r="P22" s="20" t="str">
        <f>IF(N(I22)=0,"",I22*'参数'!$C$16*IF(ISNUMBER(L22),IF(N(M22)=0,1,2),1))</f>
        <v/>
      </c>
      <c r="Q22" s="23" t="n"/>
      <c r="R22" s="23" t="n"/>
      <c r="S22" s="20" t="str">
        <f>IF(ISNUMBER(R22),R22,IF(AND(E22="买方",ISNUMBER(J22),N(I22)&gt;0),J22*100*I22+I22*'参数'!$C$16,""))</f>
        <v/>
      </c>
      <c r="T22" s="53" t="str">
        <f>IF(AND(ISNUMBER(L22),ISNUMBER(M22),ISNUMBER(J22),N(I22)&gt;0),IF(E22="卖方",J22-M22,M22-J22)*100*I22-IF(ISNUMBER(Q22),Q22,P22),"")</f>
        <v/>
      </c>
      <c r="U22" s="45" t="str">
        <f>IF(AND(ISNUMBER(T22),N(S22)&gt;0),T22/S22,"")</f>
        <v/>
      </c>
      <c r="V22" s="31" t="n"/>
    </row>
    <row r="23">
      <c r="A23" s="29" t="n"/>
      <c r="B23" s="30" t="n"/>
      <c r="C23" s="31" t="n"/>
      <c r="D23" s="32" t="n"/>
      <c r="E23" s="32" t="n"/>
      <c r="F23" s="54" t="n"/>
      <c r="G23" s="30" t="n"/>
      <c r="H23" s="42" t="str">
        <f>IF(AND(ISNUMBER(G23),ISNUMBER(B23)),G23-B23,"")</f>
        <v/>
      </c>
      <c r="I23" s="29" t="n"/>
      <c r="J23" s="54" t="n"/>
      <c r="K23" s="18" t="n"/>
      <c r="L23" s="30" t="n"/>
      <c r="M23" s="54" t="n"/>
      <c r="N23" s="18" t="n"/>
      <c r="O23" s="42" t="str">
        <f>IF(OR(ISNUMBER(L23),NOT(ISNUMBER(G23))),"",G23-$D$3)</f>
        <v/>
      </c>
      <c r="P23" s="20" t="str">
        <f>IF(N(I23)=0,"",I23*'参数'!$C$16*IF(ISNUMBER(L23),IF(N(M23)=0,1,2),1))</f>
        <v/>
      </c>
      <c r="Q23" s="23" t="n"/>
      <c r="R23" s="23" t="n"/>
      <c r="S23" s="20" t="str">
        <f>IF(ISNUMBER(R23),R23,IF(AND(E23="买方",ISNUMBER(J23),N(I23)&gt;0),J23*100*I23+I23*'参数'!$C$16,""))</f>
        <v/>
      </c>
      <c r="T23" s="53" t="str">
        <f>IF(AND(ISNUMBER(L23),ISNUMBER(M23),ISNUMBER(J23),N(I23)&gt;0),IF(E23="卖方",J23-M23,M23-J23)*100*I23-IF(ISNUMBER(Q23),Q23,P23),"")</f>
        <v/>
      </c>
      <c r="U23" s="45" t="str">
        <f>IF(AND(ISNUMBER(T23),N(S23)&gt;0),T23/S23,"")</f>
        <v/>
      </c>
      <c r="V23" s="31" t="n"/>
    </row>
    <row r="24">
      <c r="A24" s="29" t="n"/>
      <c r="B24" s="30" t="n"/>
      <c r="C24" s="31" t="n"/>
      <c r="D24" s="32" t="n"/>
      <c r="E24" s="32" t="n"/>
      <c r="F24" s="54" t="n"/>
      <c r="G24" s="30" t="n"/>
      <c r="H24" s="42" t="str">
        <f>IF(AND(ISNUMBER(G24),ISNUMBER(B24)),G24-B24,"")</f>
        <v/>
      </c>
      <c r="I24" s="29" t="n"/>
      <c r="J24" s="54" t="n"/>
      <c r="K24" s="18" t="n"/>
      <c r="L24" s="30" t="n"/>
      <c r="M24" s="54" t="n"/>
      <c r="N24" s="18" t="n"/>
      <c r="O24" s="42" t="str">
        <f>IF(OR(ISNUMBER(L24),NOT(ISNUMBER(G24))),"",G24-$D$3)</f>
        <v/>
      </c>
      <c r="P24" s="20" t="str">
        <f>IF(N(I24)=0,"",I24*'参数'!$C$16*IF(ISNUMBER(L24),IF(N(M24)=0,1,2),1))</f>
        <v/>
      </c>
      <c r="Q24" s="23" t="n"/>
      <c r="R24" s="23" t="n"/>
      <c r="S24" s="20" t="str">
        <f>IF(ISNUMBER(R24),R24,IF(AND(E24="买方",ISNUMBER(J24),N(I24)&gt;0),J24*100*I24+I24*'参数'!$C$16,""))</f>
        <v/>
      </c>
      <c r="T24" s="53" t="str">
        <f>IF(AND(ISNUMBER(L24),ISNUMBER(M24),ISNUMBER(J24),N(I24)&gt;0),IF(E24="卖方",J24-M24,M24-J24)*100*I24-IF(ISNUMBER(Q24),Q24,P24),"")</f>
        <v/>
      </c>
      <c r="U24" s="45" t="str">
        <f>IF(AND(ISNUMBER(T24),N(S24)&gt;0),T24/S24,"")</f>
        <v/>
      </c>
      <c r="V24" s="31" t="n"/>
    </row>
    <row r="25">
      <c r="A25" s="29" t="n"/>
      <c r="B25" s="30" t="n"/>
      <c r="C25" s="31" t="n"/>
      <c r="D25" s="32" t="n"/>
      <c r="E25" s="32" t="n"/>
      <c r="F25" s="54" t="n"/>
      <c r="G25" s="30" t="n"/>
      <c r="H25" s="42" t="str">
        <f>IF(AND(ISNUMBER(G25),ISNUMBER(B25)),G25-B25,"")</f>
        <v/>
      </c>
      <c r="I25" s="29" t="n"/>
      <c r="J25" s="54" t="n"/>
      <c r="K25" s="18" t="n"/>
      <c r="L25" s="30" t="n"/>
      <c r="M25" s="54" t="n"/>
      <c r="N25" s="18" t="n"/>
      <c r="O25" s="42" t="str">
        <f>IF(OR(ISNUMBER(L25),NOT(ISNUMBER(G25))),"",G25-$D$3)</f>
        <v/>
      </c>
      <c r="P25" s="20" t="str">
        <f>IF(N(I25)=0,"",I25*'参数'!$C$16*IF(ISNUMBER(L25),IF(N(M25)=0,1,2),1))</f>
        <v/>
      </c>
      <c r="Q25" s="23" t="n"/>
      <c r="R25" s="23" t="n"/>
      <c r="S25" s="20" t="str">
        <f>IF(ISNUMBER(R25),R25,IF(AND(E25="买方",ISNUMBER(J25),N(I25)&gt;0),J25*100*I25+I25*'参数'!$C$16,""))</f>
        <v/>
      </c>
      <c r="T25" s="53" t="str">
        <f>IF(AND(ISNUMBER(L25),ISNUMBER(M25),ISNUMBER(J25),N(I25)&gt;0),IF(E25="卖方",J25-M25,M25-J25)*100*I25-IF(ISNUMBER(Q25),Q25,P25),"")</f>
        <v/>
      </c>
      <c r="U25" s="45" t="str">
        <f>IF(AND(ISNUMBER(T25),N(S25)&gt;0),T25/S25,"")</f>
        <v/>
      </c>
      <c r="V25" s="31" t="n"/>
    </row>
    <row r="26">
      <c r="A26" s="29" t="n"/>
      <c r="B26" s="30" t="n"/>
      <c r="C26" s="31" t="n"/>
      <c r="D26" s="32" t="n"/>
      <c r="E26" s="32" t="n"/>
      <c r="F26" s="54" t="n"/>
      <c r="G26" s="30" t="n"/>
      <c r="H26" s="42" t="str">
        <f>IF(AND(ISNUMBER(G26),ISNUMBER(B26)),G26-B26,"")</f>
        <v/>
      </c>
      <c r="I26" s="29" t="n"/>
      <c r="J26" s="54" t="n"/>
      <c r="K26" s="18" t="n"/>
      <c r="L26" s="30" t="n"/>
      <c r="M26" s="54" t="n"/>
      <c r="N26" s="18" t="n"/>
      <c r="O26" s="42" t="str">
        <f>IF(OR(ISNUMBER(L26),NOT(ISNUMBER(G26))),"",G26-$D$3)</f>
        <v/>
      </c>
      <c r="P26" s="20" t="str">
        <f>IF(N(I26)=0,"",I26*'参数'!$C$16*IF(ISNUMBER(L26),IF(N(M26)=0,1,2),1))</f>
        <v/>
      </c>
      <c r="Q26" s="23" t="n"/>
      <c r="R26" s="23" t="n"/>
      <c r="S26" s="20" t="str">
        <f>IF(ISNUMBER(R26),R26,IF(AND(E26="买方",ISNUMBER(J26),N(I26)&gt;0),J26*100*I26+I26*'参数'!$C$16,""))</f>
        <v/>
      </c>
      <c r="T26" s="53" t="str">
        <f>IF(AND(ISNUMBER(L26),ISNUMBER(M26),ISNUMBER(J26),N(I26)&gt;0),IF(E26="卖方",J26-M26,M26-J26)*100*I26-IF(ISNUMBER(Q26),Q26,P26),"")</f>
        <v/>
      </c>
      <c r="U26" s="45" t="str">
        <f>IF(AND(ISNUMBER(T26),N(S26)&gt;0),T26/S26,"")</f>
        <v/>
      </c>
      <c r="V26" s="31" t="n"/>
    </row>
    <row r="27">
      <c r="A27" s="29" t="n"/>
      <c r="B27" s="30" t="n"/>
      <c r="C27" s="31" t="n"/>
      <c r="D27" s="32" t="n"/>
      <c r="E27" s="32" t="n"/>
      <c r="F27" s="54" t="n"/>
      <c r="G27" s="30" t="n"/>
      <c r="H27" s="42" t="str">
        <f>IF(AND(ISNUMBER(G27),ISNUMBER(B27)),G27-B27,"")</f>
        <v/>
      </c>
      <c r="I27" s="29" t="n"/>
      <c r="J27" s="54" t="n"/>
      <c r="K27" s="18" t="n"/>
      <c r="L27" s="30" t="n"/>
      <c r="M27" s="54" t="n"/>
      <c r="N27" s="18" t="n"/>
      <c r="O27" s="42" t="str">
        <f>IF(OR(ISNUMBER(L27),NOT(ISNUMBER(G27))),"",G27-$D$3)</f>
        <v/>
      </c>
      <c r="P27" s="20" t="str">
        <f>IF(N(I27)=0,"",I27*'参数'!$C$16*IF(ISNUMBER(L27),IF(N(M27)=0,1,2),1))</f>
        <v/>
      </c>
      <c r="Q27" s="23" t="n"/>
      <c r="R27" s="23" t="n"/>
      <c r="S27" s="20" t="str">
        <f>IF(ISNUMBER(R27),R27,IF(AND(E27="买方",ISNUMBER(J27),N(I27)&gt;0),J27*100*I27+I27*'参数'!$C$16,""))</f>
        <v/>
      </c>
      <c r="T27" s="53" t="str">
        <f>IF(AND(ISNUMBER(L27),ISNUMBER(M27),ISNUMBER(J27),N(I27)&gt;0),IF(E27="卖方",J27-M27,M27-J27)*100*I27-IF(ISNUMBER(Q27),Q27,P27),"")</f>
        <v/>
      </c>
      <c r="U27" s="45" t="str">
        <f>IF(AND(ISNUMBER(T27),N(S27)&gt;0),T27/S27,"")</f>
        <v/>
      </c>
      <c r="V27" s="31" t="n"/>
    </row>
    <row r="28">
      <c r="A28" s="29" t="n"/>
      <c r="B28" s="30" t="n"/>
      <c r="C28" s="31" t="n"/>
      <c r="D28" s="32" t="n"/>
      <c r="E28" s="32" t="n"/>
      <c r="F28" s="54" t="n"/>
      <c r="G28" s="30" t="n"/>
      <c r="H28" s="42" t="str">
        <f>IF(AND(ISNUMBER(G28),ISNUMBER(B28)),G28-B28,"")</f>
        <v/>
      </c>
      <c r="I28" s="29" t="n"/>
      <c r="J28" s="54" t="n"/>
      <c r="K28" s="18" t="n"/>
      <c r="L28" s="30" t="n"/>
      <c r="M28" s="54" t="n"/>
      <c r="N28" s="18" t="n"/>
      <c r="O28" s="42" t="str">
        <f>IF(OR(ISNUMBER(L28),NOT(ISNUMBER(G28))),"",G28-$D$3)</f>
        <v/>
      </c>
      <c r="P28" s="20" t="str">
        <f>IF(N(I28)=0,"",I28*'参数'!$C$16*IF(ISNUMBER(L28),IF(N(M28)=0,1,2),1))</f>
        <v/>
      </c>
      <c r="Q28" s="23" t="n"/>
      <c r="R28" s="23" t="n"/>
      <c r="S28" s="20" t="str">
        <f>IF(ISNUMBER(R28),R28,IF(AND(E28="买方",ISNUMBER(J28),N(I28)&gt;0),J28*100*I28+I28*'参数'!$C$16,""))</f>
        <v/>
      </c>
      <c r="T28" s="53" t="str">
        <f>IF(AND(ISNUMBER(L28),ISNUMBER(M28),ISNUMBER(J28),N(I28)&gt;0),IF(E28="卖方",J28-M28,M28-J28)*100*I28-IF(ISNUMBER(Q28),Q28,P28),"")</f>
        <v/>
      </c>
      <c r="U28" s="45" t="str">
        <f>IF(AND(ISNUMBER(T28),N(S28)&gt;0),T28/S28,"")</f>
        <v/>
      </c>
      <c r="V28" s="31" t="n"/>
    </row>
    <row r="29">
      <c r="A29" s="29" t="n"/>
      <c r="B29" s="30" t="n"/>
      <c r="C29" s="31" t="n"/>
      <c r="D29" s="32" t="n"/>
      <c r="E29" s="32" t="n"/>
      <c r="F29" s="54" t="n"/>
      <c r="G29" s="30" t="n"/>
      <c r="H29" s="42" t="str">
        <f>IF(AND(ISNUMBER(G29),ISNUMBER(B29)),G29-B29,"")</f>
        <v/>
      </c>
      <c r="I29" s="29" t="n"/>
      <c r="J29" s="54" t="n"/>
      <c r="K29" s="18" t="n"/>
      <c r="L29" s="30" t="n"/>
      <c r="M29" s="54" t="n"/>
      <c r="N29" s="18" t="n"/>
      <c r="O29" s="42" t="str">
        <f>IF(OR(ISNUMBER(L29),NOT(ISNUMBER(G29))),"",G29-$D$3)</f>
        <v/>
      </c>
      <c r="P29" s="20" t="str">
        <f>IF(N(I29)=0,"",I29*'参数'!$C$16*IF(ISNUMBER(L29),IF(N(M29)=0,1,2),1))</f>
        <v/>
      </c>
      <c r="Q29" s="23" t="n"/>
      <c r="R29" s="23" t="n"/>
      <c r="S29" s="20" t="str">
        <f>IF(ISNUMBER(R29),R29,IF(AND(E29="买方",ISNUMBER(J29),N(I29)&gt;0),J29*100*I29+I29*'参数'!$C$16,""))</f>
        <v/>
      </c>
      <c r="T29" s="53" t="str">
        <f>IF(AND(ISNUMBER(L29),ISNUMBER(M29),ISNUMBER(J29),N(I29)&gt;0),IF(E29="卖方",J29-M29,M29-J29)*100*I29-IF(ISNUMBER(Q29),Q29,P29),"")</f>
        <v/>
      </c>
      <c r="U29" s="45" t="str">
        <f>IF(AND(ISNUMBER(T29),N(S29)&gt;0),T29/S29,"")</f>
        <v/>
      </c>
      <c r="V29" s="31" t="n"/>
    </row>
    <row r="30">
      <c r="A30" s="29" t="n"/>
      <c r="B30" s="30" t="n"/>
      <c r="C30" s="31" t="n"/>
      <c r="D30" s="32" t="n"/>
      <c r="E30" s="32" t="n"/>
      <c r="F30" s="54" t="n"/>
      <c r="G30" s="30" t="n"/>
      <c r="H30" s="42" t="str">
        <f>IF(AND(ISNUMBER(G30),ISNUMBER(B30)),G30-B30,"")</f>
        <v/>
      </c>
      <c r="I30" s="29" t="n"/>
      <c r="J30" s="54" t="n"/>
      <c r="K30" s="18" t="n"/>
      <c r="L30" s="30" t="n"/>
      <c r="M30" s="54" t="n"/>
      <c r="N30" s="18" t="n"/>
      <c r="O30" s="42" t="str">
        <f>IF(OR(ISNUMBER(L30),NOT(ISNUMBER(G30))),"",G30-$D$3)</f>
        <v/>
      </c>
      <c r="P30" s="20" t="str">
        <f>IF(N(I30)=0,"",I30*'参数'!$C$16*IF(ISNUMBER(L30),IF(N(M30)=0,1,2),1))</f>
        <v/>
      </c>
      <c r="Q30" s="23" t="n"/>
      <c r="R30" s="23" t="n"/>
      <c r="S30" s="20" t="str">
        <f>IF(ISNUMBER(R30),R30,IF(AND(E30="买方",ISNUMBER(J30),N(I30)&gt;0),J30*100*I30+I30*'参数'!$C$16,""))</f>
        <v/>
      </c>
      <c r="T30" s="53" t="str">
        <f>IF(AND(ISNUMBER(L30),ISNUMBER(M30),ISNUMBER(J30),N(I30)&gt;0),IF(E30="卖方",J30-M30,M30-J30)*100*I30-IF(ISNUMBER(Q30),Q30,P30),"")</f>
        <v/>
      </c>
      <c r="U30" s="45" t="str">
        <f>IF(AND(ISNUMBER(T30),N(S30)&gt;0),T30/S30,"")</f>
        <v/>
      </c>
      <c r="V30" s="31" t="n"/>
    </row>
    <row r="31">
      <c r="A31" s="29" t="n"/>
      <c r="B31" s="30" t="n"/>
      <c r="C31" s="31" t="n"/>
      <c r="D31" s="32" t="n"/>
      <c r="E31" s="32" t="n"/>
      <c r="F31" s="54" t="n"/>
      <c r="G31" s="30" t="n"/>
      <c r="H31" s="42" t="str">
        <f>IF(AND(ISNUMBER(G31),ISNUMBER(B31)),G31-B31,"")</f>
        <v/>
      </c>
      <c r="I31" s="29" t="n"/>
      <c r="J31" s="54" t="n"/>
      <c r="K31" s="18" t="n"/>
      <c r="L31" s="30" t="n"/>
      <c r="M31" s="54" t="n"/>
      <c r="N31" s="18" t="n"/>
      <c r="O31" s="42" t="str">
        <f>IF(OR(ISNUMBER(L31),NOT(ISNUMBER(G31))),"",G31-$D$3)</f>
        <v/>
      </c>
      <c r="P31" s="20" t="str">
        <f>IF(N(I31)=0,"",I31*'参数'!$C$16*IF(ISNUMBER(L31),IF(N(M31)=0,1,2),1))</f>
        <v/>
      </c>
      <c r="Q31" s="23" t="n"/>
      <c r="R31" s="23" t="n"/>
      <c r="S31" s="20" t="str">
        <f>IF(ISNUMBER(R31),R31,IF(AND(E31="买方",ISNUMBER(J31),N(I31)&gt;0),J31*100*I31+I31*'参数'!$C$16,""))</f>
        <v/>
      </c>
      <c r="T31" s="53" t="str">
        <f>IF(AND(ISNUMBER(L31),ISNUMBER(M31),ISNUMBER(J31),N(I31)&gt;0),IF(E31="卖方",J31-M31,M31-J31)*100*I31-IF(ISNUMBER(Q31),Q31,P31),"")</f>
        <v/>
      </c>
      <c r="U31" s="45" t="str">
        <f>IF(AND(ISNUMBER(T31),N(S31)&gt;0),T31/S31,"")</f>
        <v/>
      </c>
      <c r="V31" s="31" t="n"/>
    </row>
    <row r="32">
      <c r="A32" s="29" t="n"/>
      <c r="B32" s="30" t="n"/>
      <c r="C32" s="31" t="n"/>
      <c r="D32" s="32" t="n"/>
      <c r="E32" s="32" t="n"/>
      <c r="F32" s="54" t="n"/>
      <c r="G32" s="30" t="n"/>
      <c r="H32" s="42" t="str">
        <f>IF(AND(ISNUMBER(G32),ISNUMBER(B32)),G32-B32,"")</f>
        <v/>
      </c>
      <c r="I32" s="29" t="n"/>
      <c r="J32" s="54" t="n"/>
      <c r="K32" s="18" t="n"/>
      <c r="L32" s="30" t="n"/>
      <c r="M32" s="54" t="n"/>
      <c r="N32" s="18" t="n"/>
      <c r="O32" s="42" t="str">
        <f>IF(OR(ISNUMBER(L32),NOT(ISNUMBER(G32))),"",G32-$D$3)</f>
        <v/>
      </c>
      <c r="P32" s="20" t="str">
        <f>IF(N(I32)=0,"",I32*'参数'!$C$16*IF(ISNUMBER(L32),IF(N(M32)=0,1,2),1))</f>
        <v/>
      </c>
      <c r="Q32" s="23" t="n"/>
      <c r="R32" s="23" t="n"/>
      <c r="S32" s="20" t="str">
        <f>IF(ISNUMBER(R32),R32,IF(AND(E32="买方",ISNUMBER(J32),N(I32)&gt;0),J32*100*I32+I32*'参数'!$C$16,""))</f>
        <v/>
      </c>
      <c r="T32" s="53" t="str">
        <f>IF(AND(ISNUMBER(L32),ISNUMBER(M32),ISNUMBER(J32),N(I32)&gt;0),IF(E32="卖方",J32-M32,M32-J32)*100*I32-IF(ISNUMBER(Q32),Q32,P32),"")</f>
        <v/>
      </c>
      <c r="U32" s="45" t="str">
        <f>IF(AND(ISNUMBER(T32),N(S32)&gt;0),T32/S32,"")</f>
        <v/>
      </c>
      <c r="V32" s="31" t="n"/>
    </row>
    <row r="33">
      <c r="A33" s="29" t="n"/>
      <c r="B33" s="30" t="n"/>
      <c r="C33" s="31" t="n"/>
      <c r="D33" s="32" t="n"/>
      <c r="E33" s="32" t="n"/>
      <c r="F33" s="54" t="n"/>
      <c r="G33" s="30" t="n"/>
      <c r="H33" s="42" t="str">
        <f>IF(AND(ISNUMBER(G33),ISNUMBER(B33)),G33-B33,"")</f>
        <v/>
      </c>
      <c r="I33" s="29" t="n"/>
      <c r="J33" s="54" t="n"/>
      <c r="K33" s="18" t="n"/>
      <c r="L33" s="30" t="n"/>
      <c r="M33" s="54" t="n"/>
      <c r="N33" s="18" t="n"/>
      <c r="O33" s="42" t="str">
        <f>IF(OR(ISNUMBER(L33),NOT(ISNUMBER(G33))),"",G33-$D$3)</f>
        <v/>
      </c>
      <c r="P33" s="20" t="str">
        <f>IF(N(I33)=0,"",I33*'参数'!$C$16*IF(ISNUMBER(L33),IF(N(M33)=0,1,2),1))</f>
        <v/>
      </c>
      <c r="Q33" s="23" t="n"/>
      <c r="R33" s="23" t="n"/>
      <c r="S33" s="20" t="str">
        <f>IF(ISNUMBER(R33),R33,IF(AND(E33="买方",ISNUMBER(J33),N(I33)&gt;0),J33*100*I33+I33*'参数'!$C$16,""))</f>
        <v/>
      </c>
      <c r="T33" s="53" t="str">
        <f>IF(AND(ISNUMBER(L33),ISNUMBER(M33),ISNUMBER(J33),N(I33)&gt;0),IF(E33="卖方",J33-M33,M33-J33)*100*I33-IF(ISNUMBER(Q33),Q33,P33),"")</f>
        <v/>
      </c>
      <c r="U33" s="45" t="str">
        <f>IF(AND(ISNUMBER(T33),N(S33)&gt;0),T33/S33,"")</f>
        <v/>
      </c>
      <c r="V33" s="31" t="n"/>
    </row>
    <row r="34">
      <c r="A34" s="29" t="n"/>
      <c r="B34" s="30" t="n"/>
      <c r="C34" s="31" t="n"/>
      <c r="D34" s="32" t="n"/>
      <c r="E34" s="32" t="n"/>
      <c r="F34" s="54" t="n"/>
      <c r="G34" s="30" t="n"/>
      <c r="H34" s="42" t="str">
        <f>IF(AND(ISNUMBER(G34),ISNUMBER(B34)),G34-B34,"")</f>
        <v/>
      </c>
      <c r="I34" s="29" t="n"/>
      <c r="J34" s="54" t="n"/>
      <c r="K34" s="18" t="n"/>
      <c r="L34" s="30" t="n"/>
      <c r="M34" s="54" t="n"/>
      <c r="N34" s="18" t="n"/>
      <c r="O34" s="42" t="str">
        <f>IF(OR(ISNUMBER(L34),NOT(ISNUMBER(G34))),"",G34-$D$3)</f>
        <v/>
      </c>
      <c r="P34" s="20" t="str">
        <f>IF(N(I34)=0,"",I34*'参数'!$C$16*IF(ISNUMBER(L34),IF(N(M34)=0,1,2),1))</f>
        <v/>
      </c>
      <c r="Q34" s="23" t="n"/>
      <c r="R34" s="23" t="n"/>
      <c r="S34" s="20" t="str">
        <f>IF(ISNUMBER(R34),R34,IF(AND(E34="买方",ISNUMBER(J34),N(I34)&gt;0),J34*100*I34+I34*'参数'!$C$16,""))</f>
        <v/>
      </c>
      <c r="T34" s="53" t="str">
        <f>IF(AND(ISNUMBER(L34),ISNUMBER(M34),ISNUMBER(J34),N(I34)&gt;0),IF(E34="卖方",J34-M34,M34-J34)*100*I34-IF(ISNUMBER(Q34),Q34,P34),"")</f>
        <v/>
      </c>
      <c r="U34" s="45" t="str">
        <f>IF(AND(ISNUMBER(T34),N(S34)&gt;0),T34/S34,"")</f>
        <v/>
      </c>
      <c r="V34" s="31" t="n"/>
    </row>
    <row r="35">
      <c r="A35" s="29" t="n"/>
      <c r="B35" s="30" t="n"/>
      <c r="C35" s="31" t="n"/>
      <c r="D35" s="32" t="n"/>
      <c r="E35" s="32" t="n"/>
      <c r="F35" s="54" t="n"/>
      <c r="G35" s="30" t="n"/>
      <c r="H35" s="42" t="str">
        <f>IF(AND(ISNUMBER(G35),ISNUMBER(B35)),G35-B35,"")</f>
        <v/>
      </c>
      <c r="I35" s="29" t="n"/>
      <c r="J35" s="54" t="n"/>
      <c r="K35" s="18" t="n"/>
      <c r="L35" s="30" t="n"/>
      <c r="M35" s="54" t="n"/>
      <c r="N35" s="18" t="n"/>
      <c r="O35" s="42" t="str">
        <f>IF(OR(ISNUMBER(L35),NOT(ISNUMBER(G35))),"",G35-$D$3)</f>
        <v/>
      </c>
      <c r="P35" s="20" t="str">
        <f>IF(N(I35)=0,"",I35*'参数'!$C$16*IF(ISNUMBER(L35),IF(N(M35)=0,1,2),1))</f>
        <v/>
      </c>
      <c r="Q35" s="23" t="n"/>
      <c r="R35" s="23" t="n"/>
      <c r="S35" s="20" t="str">
        <f>IF(ISNUMBER(R35),R35,IF(AND(E35="买方",ISNUMBER(J35),N(I35)&gt;0),J35*100*I35+I35*'参数'!$C$16,""))</f>
        <v/>
      </c>
      <c r="T35" s="53" t="str">
        <f>IF(AND(ISNUMBER(L35),ISNUMBER(M35),ISNUMBER(J35),N(I35)&gt;0),IF(E35="卖方",J35-M35,M35-J35)*100*I35-IF(ISNUMBER(Q35),Q35,P35),"")</f>
        <v/>
      </c>
      <c r="U35" s="45" t="str">
        <f>IF(AND(ISNUMBER(T35),N(S35)&gt;0),T35/S35,"")</f>
        <v/>
      </c>
      <c r="V35" s="31" t="n"/>
    </row>
    <row r="36">
      <c r="A36" s="29" t="n"/>
      <c r="B36" s="30" t="n"/>
      <c r="C36" s="31" t="n"/>
      <c r="D36" s="32" t="n"/>
      <c r="E36" s="32" t="n"/>
      <c r="F36" s="54" t="n"/>
      <c r="G36" s="30" t="n"/>
      <c r="H36" s="42" t="str">
        <f>IF(AND(ISNUMBER(G36),ISNUMBER(B36)),G36-B36,"")</f>
        <v/>
      </c>
      <c r="I36" s="29" t="n"/>
      <c r="J36" s="54" t="n"/>
      <c r="K36" s="18" t="n"/>
      <c r="L36" s="30" t="n"/>
      <c r="M36" s="54" t="n"/>
      <c r="N36" s="18" t="n"/>
      <c r="O36" s="42" t="str">
        <f>IF(OR(ISNUMBER(L36),NOT(ISNUMBER(G36))),"",G36-$D$3)</f>
        <v/>
      </c>
      <c r="P36" s="20" t="str">
        <f>IF(N(I36)=0,"",I36*'参数'!$C$16*IF(ISNUMBER(L36),IF(N(M36)=0,1,2),1))</f>
        <v/>
      </c>
      <c r="Q36" s="23" t="n"/>
      <c r="R36" s="23" t="n"/>
      <c r="S36" s="20" t="str">
        <f>IF(ISNUMBER(R36),R36,IF(AND(E36="买方",ISNUMBER(J36),N(I36)&gt;0),J36*100*I36+I36*'参数'!$C$16,""))</f>
        <v/>
      </c>
      <c r="T36" s="53" t="str">
        <f>IF(AND(ISNUMBER(L36),ISNUMBER(M36),ISNUMBER(J36),N(I36)&gt;0),IF(E36="卖方",J36-M36,M36-J36)*100*I36-IF(ISNUMBER(Q36),Q36,P36),"")</f>
        <v/>
      </c>
      <c r="U36" s="45" t="str">
        <f>IF(AND(ISNUMBER(T36),N(S36)&gt;0),T36/S36,"")</f>
        <v/>
      </c>
      <c r="V36" s="31" t="n"/>
    </row>
    <row r="37">
      <c r="A37" s="29" t="n"/>
      <c r="B37" s="30" t="n"/>
      <c r="C37" s="31" t="n"/>
      <c r="D37" s="32" t="n"/>
      <c r="E37" s="32" t="n"/>
      <c r="F37" s="54" t="n"/>
      <c r="G37" s="30" t="n"/>
      <c r="H37" s="42" t="str">
        <f>IF(AND(ISNUMBER(G37),ISNUMBER(B37)),G37-B37,"")</f>
        <v/>
      </c>
      <c r="I37" s="29" t="n"/>
      <c r="J37" s="54" t="n"/>
      <c r="K37" s="18" t="n"/>
      <c r="L37" s="30" t="n"/>
      <c r="M37" s="54" t="n"/>
      <c r="N37" s="18" t="n"/>
      <c r="O37" s="42" t="str">
        <f>IF(OR(ISNUMBER(L37),NOT(ISNUMBER(G37))),"",G37-$D$3)</f>
        <v/>
      </c>
      <c r="P37" s="20" t="str">
        <f>IF(N(I37)=0,"",I37*'参数'!$C$16*IF(ISNUMBER(L37),IF(N(M37)=0,1,2),1))</f>
        <v/>
      </c>
      <c r="Q37" s="23" t="n"/>
      <c r="R37" s="23" t="n"/>
      <c r="S37" s="20" t="str">
        <f>IF(ISNUMBER(R37),R37,IF(AND(E37="买方",ISNUMBER(J37),N(I37)&gt;0),J37*100*I37+I37*'参数'!$C$16,""))</f>
        <v/>
      </c>
      <c r="T37" s="53" t="str">
        <f>IF(AND(ISNUMBER(L37),ISNUMBER(M37),ISNUMBER(J37),N(I37)&gt;0),IF(E37="卖方",J37-M37,M37-J37)*100*I37-IF(ISNUMBER(Q37),Q37,P37),"")</f>
        <v/>
      </c>
      <c r="U37" s="45" t="str">
        <f>IF(AND(ISNUMBER(T37),N(S37)&gt;0),T37/S37,"")</f>
        <v/>
      </c>
      <c r="V37" s="31" t="n"/>
    </row>
    <row r="38">
      <c r="A38" s="29" t="n"/>
      <c r="B38" s="30" t="n"/>
      <c r="C38" s="31" t="n"/>
      <c r="D38" s="32" t="n"/>
      <c r="E38" s="32" t="n"/>
      <c r="F38" s="54" t="n"/>
      <c r="G38" s="30" t="n"/>
      <c r="H38" s="42" t="str">
        <f>IF(AND(ISNUMBER(G38),ISNUMBER(B38)),G38-B38,"")</f>
        <v/>
      </c>
      <c r="I38" s="29" t="n"/>
      <c r="J38" s="54" t="n"/>
      <c r="K38" s="18" t="n"/>
      <c r="L38" s="30" t="n"/>
      <c r="M38" s="54" t="n"/>
      <c r="N38" s="18" t="n"/>
      <c r="O38" s="42" t="str">
        <f>IF(OR(ISNUMBER(L38),NOT(ISNUMBER(G38))),"",G38-$D$3)</f>
        <v/>
      </c>
      <c r="P38" s="20" t="str">
        <f>IF(N(I38)=0,"",I38*'参数'!$C$16*IF(ISNUMBER(L38),IF(N(M38)=0,1,2),1))</f>
        <v/>
      </c>
      <c r="Q38" s="23" t="n"/>
      <c r="R38" s="23" t="n"/>
      <c r="S38" s="20" t="str">
        <f>IF(ISNUMBER(R38),R38,IF(AND(E38="买方",ISNUMBER(J38),N(I38)&gt;0),J38*100*I38+I38*'参数'!$C$16,""))</f>
        <v/>
      </c>
      <c r="T38" s="53" t="str">
        <f>IF(AND(ISNUMBER(L38),ISNUMBER(M38),ISNUMBER(J38),N(I38)&gt;0),IF(E38="卖方",J38-M38,M38-J38)*100*I38-IF(ISNUMBER(Q38),Q38,P38),"")</f>
        <v/>
      </c>
      <c r="U38" s="45" t="str">
        <f>IF(AND(ISNUMBER(T38),N(S38)&gt;0),T38/S38,"")</f>
        <v/>
      </c>
      <c r="V38" s="31" t="n"/>
    </row>
    <row r="39">
      <c r="A39" s="29" t="n"/>
      <c r="B39" s="30" t="n"/>
      <c r="C39" s="31" t="n"/>
      <c r="D39" s="32" t="n"/>
      <c r="E39" s="32" t="n"/>
      <c r="F39" s="54" t="n"/>
      <c r="G39" s="30" t="n"/>
      <c r="H39" s="42" t="str">
        <f>IF(AND(ISNUMBER(G39),ISNUMBER(B39)),G39-B39,"")</f>
        <v/>
      </c>
      <c r="I39" s="29" t="n"/>
      <c r="J39" s="54" t="n"/>
      <c r="K39" s="18" t="n"/>
      <c r="L39" s="30" t="n"/>
      <c r="M39" s="54" t="n"/>
      <c r="N39" s="18" t="n"/>
      <c r="O39" s="42" t="str">
        <f>IF(OR(ISNUMBER(L39),NOT(ISNUMBER(G39))),"",G39-$D$3)</f>
        <v/>
      </c>
      <c r="P39" s="20" t="str">
        <f>IF(N(I39)=0,"",I39*'参数'!$C$16*IF(ISNUMBER(L39),IF(N(M39)=0,1,2),1))</f>
        <v/>
      </c>
      <c r="Q39" s="23" t="n"/>
      <c r="R39" s="23" t="n"/>
      <c r="S39" s="20" t="str">
        <f>IF(ISNUMBER(R39),R39,IF(AND(E39="买方",ISNUMBER(J39),N(I39)&gt;0),J39*100*I39+I39*'参数'!$C$16,""))</f>
        <v/>
      </c>
      <c r="T39" s="53" t="str">
        <f>IF(AND(ISNUMBER(L39),ISNUMBER(M39),ISNUMBER(J39),N(I39)&gt;0),IF(E39="卖方",J39-M39,M39-J39)*100*I39-IF(ISNUMBER(Q39),Q39,P39),"")</f>
        <v/>
      </c>
      <c r="U39" s="45" t="str">
        <f>IF(AND(ISNUMBER(T39),N(S39)&gt;0),T39/S39,"")</f>
        <v/>
      </c>
      <c r="V39" s="31" t="n"/>
    </row>
    <row r="40">
      <c r="A40" s="29" t="n"/>
      <c r="B40" s="30" t="n"/>
      <c r="C40" s="31" t="n"/>
      <c r="D40" s="32" t="n"/>
      <c r="E40" s="32" t="n"/>
      <c r="F40" s="54" t="n"/>
      <c r="G40" s="30" t="n"/>
      <c r="H40" s="42" t="str">
        <f>IF(AND(ISNUMBER(G40),ISNUMBER(B40)),G40-B40,"")</f>
        <v/>
      </c>
      <c r="I40" s="29" t="n"/>
      <c r="J40" s="54" t="n"/>
      <c r="K40" s="18" t="n"/>
      <c r="L40" s="30" t="n"/>
      <c r="M40" s="54" t="n"/>
      <c r="N40" s="18" t="n"/>
      <c r="O40" s="42" t="str">
        <f>IF(OR(ISNUMBER(L40),NOT(ISNUMBER(G40))),"",G40-$D$3)</f>
        <v/>
      </c>
      <c r="P40" s="20" t="str">
        <f>IF(N(I40)=0,"",I40*'参数'!$C$16*IF(ISNUMBER(L40),IF(N(M40)=0,1,2),1))</f>
        <v/>
      </c>
      <c r="Q40" s="23" t="n"/>
      <c r="R40" s="23" t="n"/>
      <c r="S40" s="20" t="str">
        <f>IF(ISNUMBER(R40),R40,IF(AND(E40="买方",ISNUMBER(J40),N(I40)&gt;0),J40*100*I40+I40*'参数'!$C$16,""))</f>
        <v/>
      </c>
      <c r="T40" s="53" t="str">
        <f>IF(AND(ISNUMBER(L40),ISNUMBER(M40),ISNUMBER(J40),N(I40)&gt;0),IF(E40="卖方",J40-M40,M40-J40)*100*I40-IF(ISNUMBER(Q40),Q40,P40),"")</f>
        <v/>
      </c>
      <c r="U40" s="45" t="str">
        <f>IF(AND(ISNUMBER(T40),N(S40)&gt;0),T40/S40,"")</f>
        <v/>
      </c>
      <c r="V40" s="31" t="n"/>
    </row>
    <row r="41">
      <c r="A41" s="29" t="n"/>
      <c r="B41" s="30" t="n"/>
      <c r="C41" s="31" t="n"/>
      <c r="D41" s="32" t="n"/>
      <c r="E41" s="32" t="n"/>
      <c r="F41" s="54" t="n"/>
      <c r="G41" s="30" t="n"/>
      <c r="H41" s="42" t="str">
        <f>IF(AND(ISNUMBER(G41),ISNUMBER(B41)),G41-B41,"")</f>
        <v/>
      </c>
      <c r="I41" s="29" t="n"/>
      <c r="J41" s="54" t="n"/>
      <c r="K41" s="18" t="n"/>
      <c r="L41" s="30" t="n"/>
      <c r="M41" s="54" t="n"/>
      <c r="N41" s="18" t="n"/>
      <c r="O41" s="42" t="str">
        <f>IF(OR(ISNUMBER(L41),NOT(ISNUMBER(G41))),"",G41-$D$3)</f>
        <v/>
      </c>
      <c r="P41" s="20" t="str">
        <f>IF(N(I41)=0,"",I41*'参数'!$C$16*IF(ISNUMBER(L41),IF(N(M41)=0,1,2),1))</f>
        <v/>
      </c>
      <c r="Q41" s="23" t="n"/>
      <c r="R41" s="23" t="n"/>
      <c r="S41" s="20" t="str">
        <f>IF(ISNUMBER(R41),R41,IF(AND(E41="买方",ISNUMBER(J41),N(I41)&gt;0),J41*100*I41+I41*'参数'!$C$16,""))</f>
        <v/>
      </c>
      <c r="T41" s="53" t="str">
        <f>IF(AND(ISNUMBER(L41),ISNUMBER(M41),ISNUMBER(J41),N(I41)&gt;0),IF(E41="卖方",J41-M41,M41-J41)*100*I41-IF(ISNUMBER(Q41),Q41,P41),"")</f>
        <v/>
      </c>
      <c r="U41" s="45" t="str">
        <f>IF(AND(ISNUMBER(T41),N(S41)&gt;0),T41/S41,"")</f>
        <v/>
      </c>
      <c r="V41" s="31" t="n"/>
    </row>
    <row r="42">
      <c r="A42" s="29" t="n"/>
      <c r="B42" s="30" t="n"/>
      <c r="C42" s="31" t="n"/>
      <c r="D42" s="32" t="n"/>
      <c r="E42" s="32" t="n"/>
      <c r="F42" s="54" t="n"/>
      <c r="G42" s="30" t="n"/>
      <c r="H42" s="42" t="str">
        <f>IF(AND(ISNUMBER(G42),ISNUMBER(B42)),G42-B42,"")</f>
        <v/>
      </c>
      <c r="I42" s="29" t="n"/>
      <c r="J42" s="54" t="n"/>
      <c r="K42" s="18" t="n"/>
      <c r="L42" s="30" t="n"/>
      <c r="M42" s="54" t="n"/>
      <c r="N42" s="18" t="n"/>
      <c r="O42" s="42" t="str">
        <f>IF(OR(ISNUMBER(L42),NOT(ISNUMBER(G42))),"",G42-$D$3)</f>
        <v/>
      </c>
      <c r="P42" s="20" t="str">
        <f>IF(N(I42)=0,"",I42*'参数'!$C$16*IF(ISNUMBER(L42),IF(N(M42)=0,1,2),1))</f>
        <v/>
      </c>
      <c r="Q42" s="23" t="n"/>
      <c r="R42" s="23" t="n"/>
      <c r="S42" s="20" t="str">
        <f>IF(ISNUMBER(R42),R42,IF(AND(E42="买方",ISNUMBER(J42),N(I42)&gt;0),J42*100*I42+I42*'参数'!$C$16,""))</f>
        <v/>
      </c>
      <c r="T42" s="53" t="str">
        <f>IF(AND(ISNUMBER(L42),ISNUMBER(M42),ISNUMBER(J42),N(I42)&gt;0),IF(E42="卖方",J42-M42,M42-J42)*100*I42-IF(ISNUMBER(Q42),Q42,P42),"")</f>
        <v/>
      </c>
      <c r="U42" s="45" t="str">
        <f>IF(AND(ISNUMBER(T42),N(S42)&gt;0),T42/S42,"")</f>
        <v/>
      </c>
      <c r="V42" s="31" t="n"/>
    </row>
    <row r="43">
      <c r="A43" s="29" t="n"/>
      <c r="B43" s="30" t="n"/>
      <c r="C43" s="31" t="n"/>
      <c r="D43" s="32" t="n"/>
      <c r="E43" s="32" t="n"/>
      <c r="F43" s="54" t="n"/>
      <c r="G43" s="30" t="n"/>
      <c r="H43" s="42" t="str">
        <f>IF(AND(ISNUMBER(G43),ISNUMBER(B43)),G43-B43,"")</f>
        <v/>
      </c>
      <c r="I43" s="29" t="n"/>
      <c r="J43" s="54" t="n"/>
      <c r="K43" s="18" t="n"/>
      <c r="L43" s="30" t="n"/>
      <c r="M43" s="54" t="n"/>
      <c r="N43" s="18" t="n"/>
      <c r="O43" s="42" t="str">
        <f>IF(OR(ISNUMBER(L43),NOT(ISNUMBER(G43))),"",G43-$D$3)</f>
        <v/>
      </c>
      <c r="P43" s="20" t="str">
        <f>IF(N(I43)=0,"",I43*'参数'!$C$16*IF(ISNUMBER(L43),IF(N(M43)=0,1,2),1))</f>
        <v/>
      </c>
      <c r="Q43" s="23" t="n"/>
      <c r="R43" s="23" t="n"/>
      <c r="S43" s="20" t="str">
        <f>IF(ISNUMBER(R43),R43,IF(AND(E43="买方",ISNUMBER(J43),N(I43)&gt;0),J43*100*I43+I43*'参数'!$C$16,""))</f>
        <v/>
      </c>
      <c r="T43" s="53" t="str">
        <f>IF(AND(ISNUMBER(L43),ISNUMBER(M43),ISNUMBER(J43),N(I43)&gt;0),IF(E43="卖方",J43-M43,M43-J43)*100*I43-IF(ISNUMBER(Q43),Q43,P43),"")</f>
        <v/>
      </c>
      <c r="U43" s="45" t="str">
        <f>IF(AND(ISNUMBER(T43),N(S43)&gt;0),T43/S43,"")</f>
        <v/>
      </c>
      <c r="V43" s="31" t="n"/>
    </row>
    <row r="44">
      <c r="A44" s="29" t="n"/>
      <c r="B44" s="30" t="n"/>
      <c r="C44" s="31" t="n"/>
      <c r="D44" s="32" t="n"/>
      <c r="E44" s="32" t="n"/>
      <c r="F44" s="54" t="n"/>
      <c r="G44" s="30" t="n"/>
      <c r="H44" s="42" t="str">
        <f>IF(AND(ISNUMBER(G44),ISNUMBER(B44)),G44-B44,"")</f>
        <v/>
      </c>
      <c r="I44" s="29" t="n"/>
      <c r="J44" s="54" t="n"/>
      <c r="K44" s="18" t="n"/>
      <c r="L44" s="30" t="n"/>
      <c r="M44" s="54" t="n"/>
      <c r="N44" s="18" t="n"/>
      <c r="O44" s="42" t="str">
        <f>IF(OR(ISNUMBER(L44),NOT(ISNUMBER(G44))),"",G44-$D$3)</f>
        <v/>
      </c>
      <c r="P44" s="20" t="str">
        <f>IF(N(I44)=0,"",I44*'参数'!$C$16*IF(ISNUMBER(L44),IF(N(M44)=0,1,2),1))</f>
        <v/>
      </c>
      <c r="Q44" s="23" t="n"/>
      <c r="R44" s="23" t="n"/>
      <c r="S44" s="20" t="str">
        <f>IF(ISNUMBER(R44),R44,IF(AND(E44="买方",ISNUMBER(J44),N(I44)&gt;0),J44*100*I44+I44*'参数'!$C$16,""))</f>
        <v/>
      </c>
      <c r="T44" s="53" t="str">
        <f>IF(AND(ISNUMBER(L44),ISNUMBER(M44),ISNUMBER(J44),N(I44)&gt;0),IF(E44="卖方",J44-M44,M44-J44)*100*I44-IF(ISNUMBER(Q44),Q44,P44),"")</f>
        <v/>
      </c>
      <c r="U44" s="45" t="str">
        <f>IF(AND(ISNUMBER(T44),N(S44)&gt;0),T44/S44,"")</f>
        <v/>
      </c>
      <c r="V44" s="31" t="n"/>
    </row>
    <row r="45">
      <c r="A45" s="29" t="n"/>
      <c r="B45" s="30" t="n"/>
      <c r="C45" s="31" t="n"/>
      <c r="D45" s="32" t="n"/>
      <c r="E45" s="32" t="n"/>
      <c r="F45" s="54" t="n"/>
      <c r="G45" s="30" t="n"/>
      <c r="H45" s="42" t="str">
        <f>IF(AND(ISNUMBER(G45),ISNUMBER(B45)),G45-B45,"")</f>
        <v/>
      </c>
      <c r="I45" s="29" t="n"/>
      <c r="J45" s="54" t="n"/>
      <c r="K45" s="18" t="n"/>
      <c r="L45" s="30" t="n"/>
      <c r="M45" s="54" t="n"/>
      <c r="N45" s="18" t="n"/>
      <c r="O45" s="42" t="str">
        <f>IF(OR(ISNUMBER(L45),NOT(ISNUMBER(G45))),"",G45-$D$3)</f>
        <v/>
      </c>
      <c r="P45" s="20" t="str">
        <f>IF(N(I45)=0,"",I45*'参数'!$C$16*IF(ISNUMBER(L45),IF(N(M45)=0,1,2),1))</f>
        <v/>
      </c>
      <c r="Q45" s="23" t="n"/>
      <c r="R45" s="23" t="n"/>
      <c r="S45" s="20" t="str">
        <f>IF(ISNUMBER(R45),R45,IF(AND(E45="买方",ISNUMBER(J45),N(I45)&gt;0),J45*100*I45+I45*'参数'!$C$16,""))</f>
        <v/>
      </c>
      <c r="T45" s="53" t="str">
        <f>IF(AND(ISNUMBER(L45),ISNUMBER(M45),ISNUMBER(J45),N(I45)&gt;0),IF(E45="卖方",J45-M45,M45-J45)*100*I45-IF(ISNUMBER(Q45),Q45,P45),"")</f>
        <v/>
      </c>
      <c r="U45" s="45" t="str">
        <f>IF(AND(ISNUMBER(T45),N(S45)&gt;0),T45/S45,"")</f>
        <v/>
      </c>
      <c r="V45" s="31" t="n"/>
    </row>
    <row r="46">
      <c r="A46" s="29" t="n"/>
      <c r="B46" s="30" t="n"/>
      <c r="C46" s="31" t="n"/>
      <c r="D46" s="32" t="n"/>
      <c r="E46" s="32" t="n"/>
      <c r="F46" s="54" t="n"/>
      <c r="G46" s="30" t="n"/>
      <c r="H46" s="42" t="str">
        <f>IF(AND(ISNUMBER(G46),ISNUMBER(B46)),G46-B46,"")</f>
        <v/>
      </c>
      <c r="I46" s="29" t="n"/>
      <c r="J46" s="54" t="n"/>
      <c r="K46" s="18" t="n"/>
      <c r="L46" s="30" t="n"/>
      <c r="M46" s="54" t="n"/>
      <c r="N46" s="18" t="n"/>
      <c r="O46" s="42" t="str">
        <f>IF(OR(ISNUMBER(L46),NOT(ISNUMBER(G46))),"",G46-$D$3)</f>
        <v/>
      </c>
      <c r="P46" s="20" t="str">
        <f>IF(N(I46)=0,"",I46*'参数'!$C$16*IF(ISNUMBER(L46),IF(N(M46)=0,1,2),1))</f>
        <v/>
      </c>
      <c r="Q46" s="23" t="n"/>
      <c r="R46" s="23" t="n"/>
      <c r="S46" s="20" t="str">
        <f>IF(ISNUMBER(R46),R46,IF(AND(E46="买方",ISNUMBER(J46),N(I46)&gt;0),J46*100*I46+I46*'参数'!$C$16,""))</f>
        <v/>
      </c>
      <c r="T46" s="53" t="str">
        <f>IF(AND(ISNUMBER(L46),ISNUMBER(M46),ISNUMBER(J46),N(I46)&gt;0),IF(E46="卖方",J46-M46,M46-J46)*100*I46-IF(ISNUMBER(Q46),Q46,P46),"")</f>
        <v/>
      </c>
      <c r="U46" s="45" t="str">
        <f>IF(AND(ISNUMBER(T46),N(S46)&gt;0),T46/S46,"")</f>
        <v/>
      </c>
      <c r="V46" s="31" t="n"/>
    </row>
    <row r="47">
      <c r="A47" s="29" t="n"/>
      <c r="B47" s="30" t="n"/>
      <c r="C47" s="31" t="n"/>
      <c r="D47" s="32" t="n"/>
      <c r="E47" s="32" t="n"/>
      <c r="F47" s="54" t="n"/>
      <c r="G47" s="30" t="n"/>
      <c r="H47" s="42" t="str">
        <f>IF(AND(ISNUMBER(G47),ISNUMBER(B47)),G47-B47,"")</f>
        <v/>
      </c>
      <c r="I47" s="29" t="n"/>
      <c r="J47" s="54" t="n"/>
      <c r="K47" s="18" t="n"/>
      <c r="L47" s="30" t="n"/>
      <c r="M47" s="54" t="n"/>
      <c r="N47" s="18" t="n"/>
      <c r="O47" s="42" t="str">
        <f>IF(OR(ISNUMBER(L47),NOT(ISNUMBER(G47))),"",G47-$D$3)</f>
        <v/>
      </c>
      <c r="P47" s="20" t="str">
        <f>IF(N(I47)=0,"",I47*'参数'!$C$16*IF(ISNUMBER(L47),IF(N(M47)=0,1,2),1))</f>
        <v/>
      </c>
      <c r="Q47" s="23" t="n"/>
      <c r="R47" s="23" t="n"/>
      <c r="S47" s="20" t="str">
        <f>IF(ISNUMBER(R47),R47,IF(AND(E47="买方",ISNUMBER(J47),N(I47)&gt;0),J47*100*I47+I47*'参数'!$C$16,""))</f>
        <v/>
      </c>
      <c r="T47" s="53" t="str">
        <f>IF(AND(ISNUMBER(L47),ISNUMBER(M47),ISNUMBER(J47),N(I47)&gt;0),IF(E47="卖方",J47-M47,M47-J47)*100*I47-IF(ISNUMBER(Q47),Q47,P47),"")</f>
        <v/>
      </c>
      <c r="U47" s="45" t="str">
        <f>IF(AND(ISNUMBER(T47),N(S47)&gt;0),T47/S47,"")</f>
        <v/>
      </c>
      <c r="V47" s="31" t="n"/>
    </row>
    <row r="48">
      <c r="A48" s="29" t="n"/>
      <c r="B48" s="30" t="n"/>
      <c r="C48" s="31" t="n"/>
      <c r="D48" s="32" t="n"/>
      <c r="E48" s="32" t="n"/>
      <c r="F48" s="54" t="n"/>
      <c r="G48" s="30" t="n"/>
      <c r="H48" s="42" t="str">
        <f>IF(AND(ISNUMBER(G48),ISNUMBER(B48)),G48-B48,"")</f>
        <v/>
      </c>
      <c r="I48" s="29" t="n"/>
      <c r="J48" s="54" t="n"/>
      <c r="K48" s="18" t="n"/>
      <c r="L48" s="30" t="n"/>
      <c r="M48" s="54" t="n"/>
      <c r="N48" s="18" t="n"/>
      <c r="O48" s="42" t="str">
        <f>IF(OR(ISNUMBER(L48),NOT(ISNUMBER(G48))),"",G48-$D$3)</f>
        <v/>
      </c>
      <c r="P48" s="20" t="str">
        <f>IF(N(I48)=0,"",I48*'参数'!$C$16*IF(ISNUMBER(L48),IF(N(M48)=0,1,2),1))</f>
        <v/>
      </c>
      <c r="Q48" s="23" t="n"/>
      <c r="R48" s="23" t="n"/>
      <c r="S48" s="20" t="str">
        <f>IF(ISNUMBER(R48),R48,IF(AND(E48="买方",ISNUMBER(J48),N(I48)&gt;0),J48*100*I48+I48*'参数'!$C$16,""))</f>
        <v/>
      </c>
      <c r="T48" s="53" t="str">
        <f>IF(AND(ISNUMBER(L48),ISNUMBER(M48),ISNUMBER(J48),N(I48)&gt;0),IF(E48="卖方",J48-M48,M48-J48)*100*I48-IF(ISNUMBER(Q48),Q48,P48),"")</f>
        <v/>
      </c>
      <c r="U48" s="45" t="str">
        <f>IF(AND(ISNUMBER(T48),N(S48)&gt;0),T48/S48,"")</f>
        <v/>
      </c>
      <c r="V48" s="31" t="n"/>
    </row>
    <row r="49">
      <c r="A49" s="29" t="n"/>
      <c r="B49" s="30" t="n"/>
      <c r="C49" s="31" t="n"/>
      <c r="D49" s="32" t="n"/>
      <c r="E49" s="32" t="n"/>
      <c r="F49" s="54" t="n"/>
      <c r="G49" s="30" t="n"/>
      <c r="H49" s="42" t="str">
        <f>IF(AND(ISNUMBER(G49),ISNUMBER(B49)),G49-B49,"")</f>
        <v/>
      </c>
      <c r="I49" s="29" t="n"/>
      <c r="J49" s="54" t="n"/>
      <c r="K49" s="18" t="n"/>
      <c r="L49" s="30" t="n"/>
      <c r="M49" s="54" t="n"/>
      <c r="N49" s="18" t="n"/>
      <c r="O49" s="42" t="str">
        <f>IF(OR(ISNUMBER(L49),NOT(ISNUMBER(G49))),"",G49-$D$3)</f>
        <v/>
      </c>
      <c r="P49" s="20" t="str">
        <f>IF(N(I49)=0,"",I49*'参数'!$C$16*IF(ISNUMBER(L49),IF(N(M49)=0,1,2),1))</f>
        <v/>
      </c>
      <c r="Q49" s="23" t="n"/>
      <c r="R49" s="23" t="n"/>
      <c r="S49" s="20" t="str">
        <f>IF(ISNUMBER(R49),R49,IF(AND(E49="买方",ISNUMBER(J49),N(I49)&gt;0),J49*100*I49+I49*'参数'!$C$16,""))</f>
        <v/>
      </c>
      <c r="T49" s="53" t="str">
        <f>IF(AND(ISNUMBER(L49),ISNUMBER(M49),ISNUMBER(J49),N(I49)&gt;0),IF(E49="卖方",J49-M49,M49-J49)*100*I49-IF(ISNUMBER(Q49),Q49,P49),"")</f>
        <v/>
      </c>
      <c r="U49" s="45" t="str">
        <f>IF(AND(ISNUMBER(T49),N(S49)&gt;0),T49/S49,"")</f>
        <v/>
      </c>
      <c r="V49" s="31" t="n"/>
    </row>
    <row r="50">
      <c r="A50" s="29" t="n"/>
      <c r="B50" s="30" t="n"/>
      <c r="C50" s="31" t="n"/>
      <c r="D50" s="32" t="n"/>
      <c r="E50" s="32" t="n"/>
      <c r="F50" s="54" t="n"/>
      <c r="G50" s="30" t="n"/>
      <c r="H50" s="42" t="str">
        <f>IF(AND(ISNUMBER(G50),ISNUMBER(B50)),G50-B50,"")</f>
        <v/>
      </c>
      <c r="I50" s="29" t="n"/>
      <c r="J50" s="54" t="n"/>
      <c r="K50" s="18" t="n"/>
      <c r="L50" s="30" t="n"/>
      <c r="M50" s="54" t="n"/>
      <c r="N50" s="18" t="n"/>
      <c r="O50" s="42" t="str">
        <f>IF(OR(ISNUMBER(L50),NOT(ISNUMBER(G50))),"",G50-$D$3)</f>
        <v/>
      </c>
      <c r="P50" s="20" t="str">
        <f>IF(N(I50)=0,"",I50*'参数'!$C$16*IF(ISNUMBER(L50),IF(N(M50)=0,1,2),1))</f>
        <v/>
      </c>
      <c r="Q50" s="23" t="n"/>
      <c r="R50" s="23" t="n"/>
      <c r="S50" s="20" t="str">
        <f>IF(ISNUMBER(R50),R50,IF(AND(E50="买方",ISNUMBER(J50),N(I50)&gt;0),J50*100*I50+I50*'参数'!$C$16,""))</f>
        <v/>
      </c>
      <c r="T50" s="53" t="str">
        <f>IF(AND(ISNUMBER(L50),ISNUMBER(M50),ISNUMBER(J50),N(I50)&gt;0),IF(E50="卖方",J50-M50,M50-J50)*100*I50-IF(ISNUMBER(Q50),Q50,P50),"")</f>
        <v/>
      </c>
      <c r="U50" s="45" t="str">
        <f>IF(AND(ISNUMBER(T50),N(S50)&gt;0),T50/S50,"")</f>
        <v/>
      </c>
      <c r="V50" s="31" t="n"/>
    </row>
    <row r="51">
      <c r="A51" s="29" t="n"/>
      <c r="B51" s="30" t="n"/>
      <c r="C51" s="31" t="n"/>
      <c r="D51" s="32" t="n"/>
      <c r="E51" s="32" t="n"/>
      <c r="F51" s="54" t="n"/>
      <c r="G51" s="30" t="n"/>
      <c r="H51" s="42" t="str">
        <f>IF(AND(ISNUMBER(G51),ISNUMBER(B51)),G51-B51,"")</f>
        <v/>
      </c>
      <c r="I51" s="29" t="n"/>
      <c r="J51" s="54" t="n"/>
      <c r="K51" s="18" t="n"/>
      <c r="L51" s="30" t="n"/>
      <c r="M51" s="54" t="n"/>
      <c r="N51" s="18" t="n"/>
      <c r="O51" s="42" t="str">
        <f>IF(OR(ISNUMBER(L51),NOT(ISNUMBER(G51))),"",G51-$D$3)</f>
        <v/>
      </c>
      <c r="P51" s="20" t="str">
        <f>IF(N(I51)=0,"",I51*'参数'!$C$16*IF(ISNUMBER(L51),IF(N(M51)=0,1,2),1))</f>
        <v/>
      </c>
      <c r="Q51" s="23" t="n"/>
      <c r="R51" s="23" t="n"/>
      <c r="S51" s="20" t="str">
        <f>IF(ISNUMBER(R51),R51,IF(AND(E51="买方",ISNUMBER(J51),N(I51)&gt;0),J51*100*I51+I51*'参数'!$C$16,""))</f>
        <v/>
      </c>
      <c r="T51" s="53" t="str">
        <f>IF(AND(ISNUMBER(L51),ISNUMBER(M51),ISNUMBER(J51),N(I51)&gt;0),IF(E51="卖方",J51-M51,M51-J51)*100*I51-IF(ISNUMBER(Q51),Q51,P51),"")</f>
        <v/>
      </c>
      <c r="U51" s="45" t="str">
        <f>IF(AND(ISNUMBER(T51),N(S51)&gt;0),T51/S51,"")</f>
        <v/>
      </c>
      <c r="V51" s="31" t="n"/>
    </row>
    <row r="52">
      <c r="A52" s="29" t="n"/>
      <c r="B52" s="30" t="n"/>
      <c r="C52" s="31" t="n"/>
      <c r="D52" s="32" t="n"/>
      <c r="E52" s="32" t="n"/>
      <c r="F52" s="54" t="n"/>
      <c r="G52" s="30" t="n"/>
      <c r="H52" s="42" t="str">
        <f>IF(AND(ISNUMBER(G52),ISNUMBER(B52)),G52-B52,"")</f>
        <v/>
      </c>
      <c r="I52" s="29" t="n"/>
      <c r="J52" s="54" t="n"/>
      <c r="K52" s="18" t="n"/>
      <c r="L52" s="30" t="n"/>
      <c r="M52" s="54" t="n"/>
      <c r="N52" s="18" t="n"/>
      <c r="O52" s="42" t="str">
        <f>IF(OR(ISNUMBER(L52),NOT(ISNUMBER(G52))),"",G52-$D$3)</f>
        <v/>
      </c>
      <c r="P52" s="20" t="str">
        <f>IF(N(I52)=0,"",I52*'参数'!$C$16*IF(ISNUMBER(L52),IF(N(M52)=0,1,2),1))</f>
        <v/>
      </c>
      <c r="Q52" s="23" t="n"/>
      <c r="R52" s="23" t="n"/>
      <c r="S52" s="20" t="str">
        <f>IF(ISNUMBER(R52),R52,IF(AND(E52="买方",ISNUMBER(J52),N(I52)&gt;0),J52*100*I52+I52*'参数'!$C$16,""))</f>
        <v/>
      </c>
      <c r="T52" s="53" t="str">
        <f>IF(AND(ISNUMBER(L52),ISNUMBER(M52),ISNUMBER(J52),N(I52)&gt;0),IF(E52="卖方",J52-M52,M52-J52)*100*I52-IF(ISNUMBER(Q52),Q52,P52),"")</f>
        <v/>
      </c>
      <c r="U52" s="45" t="str">
        <f>IF(AND(ISNUMBER(T52),N(S52)&gt;0),T52/S52,"")</f>
        <v/>
      </c>
      <c r="V52" s="31" t="n"/>
    </row>
    <row r="53">
      <c r="A53" s="29" t="n"/>
      <c r="B53" s="30" t="n"/>
      <c r="C53" s="31" t="n"/>
      <c r="D53" s="32" t="n"/>
      <c r="E53" s="32" t="n"/>
      <c r="F53" s="54" t="n"/>
      <c r="G53" s="30" t="n"/>
      <c r="H53" s="42" t="str">
        <f>IF(AND(ISNUMBER(G53),ISNUMBER(B53)),G53-B53,"")</f>
        <v/>
      </c>
      <c r="I53" s="29" t="n"/>
      <c r="J53" s="54" t="n"/>
      <c r="K53" s="18" t="n"/>
      <c r="L53" s="30" t="n"/>
      <c r="M53" s="54" t="n"/>
      <c r="N53" s="18" t="n"/>
      <c r="O53" s="42" t="str">
        <f>IF(OR(ISNUMBER(L53),NOT(ISNUMBER(G53))),"",G53-$D$3)</f>
        <v/>
      </c>
      <c r="P53" s="20" t="str">
        <f>IF(N(I53)=0,"",I53*'参数'!$C$16*IF(ISNUMBER(L53),IF(N(M53)=0,1,2),1))</f>
        <v/>
      </c>
      <c r="Q53" s="23" t="n"/>
      <c r="R53" s="23" t="n"/>
      <c r="S53" s="20" t="str">
        <f>IF(ISNUMBER(R53),R53,IF(AND(E53="买方",ISNUMBER(J53),N(I53)&gt;0),J53*100*I53+I53*'参数'!$C$16,""))</f>
        <v/>
      </c>
      <c r="T53" s="53" t="str">
        <f>IF(AND(ISNUMBER(L53),ISNUMBER(M53),ISNUMBER(J53),N(I53)&gt;0),IF(E53="卖方",J53-M53,M53-J53)*100*I53-IF(ISNUMBER(Q53),Q53,P53),"")</f>
        <v/>
      </c>
      <c r="U53" s="45" t="str">
        <f>IF(AND(ISNUMBER(T53),N(S53)&gt;0),T53/S53,"")</f>
        <v/>
      </c>
      <c r="V53" s="31" t="n"/>
    </row>
    <row r="54">
      <c r="A54" s="29" t="n"/>
      <c r="B54" s="30" t="n"/>
      <c r="C54" s="31" t="n"/>
      <c r="D54" s="32" t="n"/>
      <c r="E54" s="32" t="n"/>
      <c r="F54" s="54" t="n"/>
      <c r="G54" s="30" t="n"/>
      <c r="H54" s="42" t="str">
        <f>IF(AND(ISNUMBER(G54),ISNUMBER(B54)),G54-B54,"")</f>
        <v/>
      </c>
      <c r="I54" s="29" t="n"/>
      <c r="J54" s="54" t="n"/>
      <c r="K54" s="18" t="n"/>
      <c r="L54" s="30" t="n"/>
      <c r="M54" s="54" t="n"/>
      <c r="N54" s="18" t="n"/>
      <c r="O54" s="42" t="str">
        <f>IF(OR(ISNUMBER(L54),NOT(ISNUMBER(G54))),"",G54-$D$3)</f>
        <v/>
      </c>
      <c r="P54" s="20" t="str">
        <f>IF(N(I54)=0,"",I54*'参数'!$C$16*IF(ISNUMBER(L54),IF(N(M54)=0,1,2),1))</f>
        <v/>
      </c>
      <c r="Q54" s="23" t="n"/>
      <c r="R54" s="23" t="n"/>
      <c r="S54" s="20" t="str">
        <f>IF(ISNUMBER(R54),R54,IF(AND(E54="买方",ISNUMBER(J54),N(I54)&gt;0),J54*100*I54+I54*'参数'!$C$16,""))</f>
        <v/>
      </c>
      <c r="T54" s="53" t="str">
        <f>IF(AND(ISNUMBER(L54),ISNUMBER(M54),ISNUMBER(J54),N(I54)&gt;0),IF(E54="卖方",J54-M54,M54-J54)*100*I54-IF(ISNUMBER(Q54),Q54,P54),"")</f>
        <v/>
      </c>
      <c r="U54" s="45" t="str">
        <f>IF(AND(ISNUMBER(T54),N(S54)&gt;0),T54/S54,"")</f>
        <v/>
      </c>
      <c r="V54" s="31" t="n"/>
    </row>
    <row r="55">
      <c r="A55" s="29" t="n"/>
      <c r="B55" s="30" t="n"/>
      <c r="C55" s="31" t="n"/>
      <c r="D55" s="32" t="n"/>
      <c r="E55" s="32" t="n"/>
      <c r="F55" s="54" t="n"/>
      <c r="G55" s="30" t="n"/>
      <c r="H55" s="42" t="str">
        <f>IF(AND(ISNUMBER(G55),ISNUMBER(B55)),G55-B55,"")</f>
        <v/>
      </c>
      <c r="I55" s="29" t="n"/>
      <c r="J55" s="54" t="n"/>
      <c r="K55" s="18" t="n"/>
      <c r="L55" s="30" t="n"/>
      <c r="M55" s="54" t="n"/>
      <c r="N55" s="18" t="n"/>
      <c r="O55" s="42" t="str">
        <f>IF(OR(ISNUMBER(L55),NOT(ISNUMBER(G55))),"",G55-$D$3)</f>
        <v/>
      </c>
      <c r="P55" s="20" t="str">
        <f>IF(N(I55)=0,"",I55*'参数'!$C$16*IF(ISNUMBER(L55),IF(N(M55)=0,1,2),1))</f>
        <v/>
      </c>
      <c r="Q55" s="23" t="n"/>
      <c r="R55" s="23" t="n"/>
      <c r="S55" s="20" t="str">
        <f>IF(ISNUMBER(R55),R55,IF(AND(E55="买方",ISNUMBER(J55),N(I55)&gt;0),J55*100*I55+I55*'参数'!$C$16,""))</f>
        <v/>
      </c>
      <c r="T55" s="53" t="str">
        <f>IF(AND(ISNUMBER(L55),ISNUMBER(M55),ISNUMBER(J55),N(I55)&gt;0),IF(E55="卖方",J55-M55,M55-J55)*100*I55-IF(ISNUMBER(Q55),Q55,P55),"")</f>
        <v/>
      </c>
      <c r="U55" s="45" t="str">
        <f>IF(AND(ISNUMBER(T55),N(S55)&gt;0),T55/S55,"")</f>
        <v/>
      </c>
      <c r="V55" s="31" t="n"/>
    </row>
    <row r="56">
      <c r="A56" s="29" t="n"/>
      <c r="B56" s="30" t="n"/>
      <c r="C56" s="31" t="n"/>
      <c r="D56" s="32" t="n"/>
      <c r="E56" s="32" t="n"/>
      <c r="F56" s="54" t="n"/>
      <c r="G56" s="30" t="n"/>
      <c r="H56" s="42" t="str">
        <f>IF(AND(ISNUMBER(G56),ISNUMBER(B56)),G56-B56,"")</f>
        <v/>
      </c>
      <c r="I56" s="29" t="n"/>
      <c r="J56" s="54" t="n"/>
      <c r="K56" s="18" t="n"/>
      <c r="L56" s="30" t="n"/>
      <c r="M56" s="54" t="n"/>
      <c r="N56" s="18" t="n"/>
      <c r="O56" s="42" t="str">
        <f>IF(OR(ISNUMBER(L56),NOT(ISNUMBER(G56))),"",G56-$D$3)</f>
        <v/>
      </c>
      <c r="P56" s="20" t="str">
        <f>IF(N(I56)=0,"",I56*'参数'!$C$16*IF(ISNUMBER(L56),IF(N(M56)=0,1,2),1))</f>
        <v/>
      </c>
      <c r="Q56" s="23" t="n"/>
      <c r="R56" s="23" t="n"/>
      <c r="S56" s="20" t="str">
        <f>IF(ISNUMBER(R56),R56,IF(AND(E56="买方",ISNUMBER(J56),N(I56)&gt;0),J56*100*I56+I56*'参数'!$C$16,""))</f>
        <v/>
      </c>
      <c r="T56" s="53" t="str">
        <f>IF(AND(ISNUMBER(L56),ISNUMBER(M56),ISNUMBER(J56),N(I56)&gt;0),IF(E56="卖方",J56-M56,M56-J56)*100*I56-IF(ISNUMBER(Q56),Q56,P56),"")</f>
        <v/>
      </c>
      <c r="U56" s="45" t="str">
        <f>IF(AND(ISNUMBER(T56),N(S56)&gt;0),T56/S56,"")</f>
        <v/>
      </c>
      <c r="V56" s="31" t="n"/>
    </row>
    <row r="57">
      <c r="A57" s="29" t="n"/>
      <c r="B57" s="30" t="n"/>
      <c r="C57" s="31" t="n"/>
      <c r="D57" s="32" t="n"/>
      <c r="E57" s="32" t="n"/>
      <c r="F57" s="54" t="n"/>
      <c r="G57" s="30" t="n"/>
      <c r="H57" s="42" t="str">
        <f>IF(AND(ISNUMBER(G57),ISNUMBER(B57)),G57-B57,"")</f>
        <v/>
      </c>
      <c r="I57" s="29" t="n"/>
      <c r="J57" s="54" t="n"/>
      <c r="K57" s="18" t="n"/>
      <c r="L57" s="30" t="n"/>
      <c r="M57" s="54" t="n"/>
      <c r="N57" s="18" t="n"/>
      <c r="O57" s="42" t="str">
        <f>IF(OR(ISNUMBER(L57),NOT(ISNUMBER(G57))),"",G57-$D$3)</f>
        <v/>
      </c>
      <c r="P57" s="20" t="str">
        <f>IF(N(I57)=0,"",I57*'参数'!$C$16*IF(ISNUMBER(L57),IF(N(M57)=0,1,2),1))</f>
        <v/>
      </c>
      <c r="Q57" s="23" t="n"/>
      <c r="R57" s="23" t="n"/>
      <c r="S57" s="20" t="str">
        <f>IF(ISNUMBER(R57),R57,IF(AND(E57="买方",ISNUMBER(J57),N(I57)&gt;0),J57*100*I57+I57*'参数'!$C$16,""))</f>
        <v/>
      </c>
      <c r="T57" s="53" t="str">
        <f>IF(AND(ISNUMBER(L57),ISNUMBER(M57),ISNUMBER(J57),N(I57)&gt;0),IF(E57="卖方",J57-M57,M57-J57)*100*I57-IF(ISNUMBER(Q57),Q57,P57),"")</f>
        <v/>
      </c>
      <c r="U57" s="45" t="str">
        <f>IF(AND(ISNUMBER(T57),N(S57)&gt;0),T57/S57,"")</f>
        <v/>
      </c>
      <c r="V57" s="31" t="n"/>
    </row>
    <row r="58">
      <c r="A58" s="29" t="n"/>
      <c r="B58" s="30" t="n"/>
      <c r="C58" s="31" t="n"/>
      <c r="D58" s="32" t="n"/>
      <c r="E58" s="32" t="n"/>
      <c r="F58" s="54" t="n"/>
      <c r="G58" s="30" t="n"/>
      <c r="H58" s="42" t="str">
        <f>IF(AND(ISNUMBER(G58),ISNUMBER(B58)),G58-B58,"")</f>
        <v/>
      </c>
      <c r="I58" s="29" t="n"/>
      <c r="J58" s="54" t="n"/>
      <c r="K58" s="18" t="n"/>
      <c r="L58" s="30" t="n"/>
      <c r="M58" s="54" t="n"/>
      <c r="N58" s="18" t="n"/>
      <c r="O58" s="42" t="str">
        <f>IF(OR(ISNUMBER(L58),NOT(ISNUMBER(G58))),"",G58-$D$3)</f>
        <v/>
      </c>
      <c r="P58" s="20" t="str">
        <f>IF(N(I58)=0,"",I58*'参数'!$C$16*IF(ISNUMBER(L58),IF(N(M58)=0,1,2),1))</f>
        <v/>
      </c>
      <c r="Q58" s="23" t="n"/>
      <c r="R58" s="23" t="n"/>
      <c r="S58" s="20" t="str">
        <f>IF(ISNUMBER(R58),R58,IF(AND(E58="买方",ISNUMBER(J58),N(I58)&gt;0),J58*100*I58+I58*'参数'!$C$16,""))</f>
        <v/>
      </c>
      <c r="T58" s="53" t="str">
        <f>IF(AND(ISNUMBER(L58),ISNUMBER(M58),ISNUMBER(J58),N(I58)&gt;0),IF(E58="卖方",J58-M58,M58-J58)*100*I58-IF(ISNUMBER(Q58),Q58,P58),"")</f>
        <v/>
      </c>
      <c r="U58" s="45" t="str">
        <f>IF(AND(ISNUMBER(T58),N(S58)&gt;0),T58/S58,"")</f>
        <v/>
      </c>
      <c r="V58" s="31" t="n"/>
    </row>
    <row r="59">
      <c r="A59" s="29" t="n"/>
      <c r="B59" s="30" t="n"/>
      <c r="C59" s="31" t="n"/>
      <c r="D59" s="32" t="n"/>
      <c r="E59" s="32" t="n"/>
      <c r="F59" s="54" t="n"/>
      <c r="G59" s="30" t="n"/>
      <c r="H59" s="42" t="str">
        <f>IF(AND(ISNUMBER(G59),ISNUMBER(B59)),G59-B59,"")</f>
        <v/>
      </c>
      <c r="I59" s="29" t="n"/>
      <c r="J59" s="54" t="n"/>
      <c r="K59" s="18" t="n"/>
      <c r="L59" s="30" t="n"/>
      <c r="M59" s="54" t="n"/>
      <c r="N59" s="18" t="n"/>
      <c r="O59" s="42" t="str">
        <f>IF(OR(ISNUMBER(L59),NOT(ISNUMBER(G59))),"",G59-$D$3)</f>
        <v/>
      </c>
      <c r="P59" s="20" t="str">
        <f>IF(N(I59)=0,"",I59*'参数'!$C$16*IF(ISNUMBER(L59),IF(N(M59)=0,1,2),1))</f>
        <v/>
      </c>
      <c r="Q59" s="23" t="n"/>
      <c r="R59" s="23" t="n"/>
      <c r="S59" s="20" t="str">
        <f>IF(ISNUMBER(R59),R59,IF(AND(E59="买方",ISNUMBER(J59),N(I59)&gt;0),J59*100*I59+I59*'参数'!$C$16,""))</f>
        <v/>
      </c>
      <c r="T59" s="53" t="str">
        <f>IF(AND(ISNUMBER(L59),ISNUMBER(M59),ISNUMBER(J59),N(I59)&gt;0),IF(E59="卖方",J59-M59,M59-J59)*100*I59-IF(ISNUMBER(Q59),Q59,P59),"")</f>
        <v/>
      </c>
      <c r="U59" s="45" t="str">
        <f>IF(AND(ISNUMBER(T59),N(S59)&gt;0),T59/S59,"")</f>
        <v/>
      </c>
      <c r="V59" s="31" t="n"/>
    </row>
    <row r="60">
      <c r="A60" s="29" t="n"/>
      <c r="B60" s="30" t="n"/>
      <c r="C60" s="31" t="n"/>
      <c r="D60" s="32" t="n"/>
      <c r="E60" s="32" t="n"/>
      <c r="F60" s="54" t="n"/>
      <c r="G60" s="30" t="n"/>
      <c r="H60" s="42" t="str">
        <f>IF(AND(ISNUMBER(G60),ISNUMBER(B60)),G60-B60,"")</f>
        <v/>
      </c>
      <c r="I60" s="29" t="n"/>
      <c r="J60" s="54" t="n"/>
      <c r="K60" s="18" t="n"/>
      <c r="L60" s="30" t="n"/>
      <c r="M60" s="54" t="n"/>
      <c r="N60" s="18" t="n"/>
      <c r="O60" s="42" t="str">
        <f>IF(OR(ISNUMBER(L60),NOT(ISNUMBER(G60))),"",G60-$D$3)</f>
        <v/>
      </c>
      <c r="P60" s="20" t="str">
        <f>IF(N(I60)=0,"",I60*'参数'!$C$16*IF(ISNUMBER(L60),IF(N(M60)=0,1,2),1))</f>
        <v/>
      </c>
      <c r="Q60" s="23" t="n"/>
      <c r="R60" s="23" t="n"/>
      <c r="S60" s="20" t="str">
        <f>IF(ISNUMBER(R60),R60,IF(AND(E60="买方",ISNUMBER(J60),N(I60)&gt;0),J60*100*I60+I60*'参数'!$C$16,""))</f>
        <v/>
      </c>
      <c r="T60" s="53" t="str">
        <f>IF(AND(ISNUMBER(L60),ISNUMBER(M60),ISNUMBER(J60),N(I60)&gt;0),IF(E60="卖方",J60-M60,M60-J60)*100*I60-IF(ISNUMBER(Q60),Q60,P60),"")</f>
        <v/>
      </c>
      <c r="U60" s="45" t="str">
        <f>IF(AND(ISNUMBER(T60),N(S60)&gt;0),T60/S60,"")</f>
        <v/>
      </c>
      <c r="V60" s="31" t="n"/>
    </row>
    <row r="61">
      <c r="A61" s="29" t="n"/>
      <c r="B61" s="30" t="n"/>
      <c r="C61" s="31" t="n"/>
      <c r="D61" s="32" t="n"/>
      <c r="E61" s="32" t="n"/>
      <c r="F61" s="54" t="n"/>
      <c r="G61" s="30" t="n"/>
      <c r="H61" s="42" t="str">
        <f>IF(AND(ISNUMBER(G61),ISNUMBER(B61)),G61-B61,"")</f>
        <v/>
      </c>
      <c r="I61" s="29" t="n"/>
      <c r="J61" s="54" t="n"/>
      <c r="K61" s="18" t="n"/>
      <c r="L61" s="30" t="n"/>
      <c r="M61" s="54" t="n"/>
      <c r="N61" s="18" t="n"/>
      <c r="O61" s="42" t="str">
        <f>IF(OR(ISNUMBER(L61),NOT(ISNUMBER(G61))),"",G61-$D$3)</f>
        <v/>
      </c>
      <c r="P61" s="20" t="str">
        <f>IF(N(I61)=0,"",I61*'参数'!$C$16*IF(ISNUMBER(L61),IF(N(M61)=0,1,2),1))</f>
        <v/>
      </c>
      <c r="Q61" s="23" t="n"/>
      <c r="R61" s="23" t="n"/>
      <c r="S61" s="20" t="str">
        <f>IF(ISNUMBER(R61),R61,IF(AND(E61="买方",ISNUMBER(J61),N(I61)&gt;0),J61*100*I61+I61*'参数'!$C$16,""))</f>
        <v/>
      </c>
      <c r="T61" s="53" t="str">
        <f>IF(AND(ISNUMBER(L61),ISNUMBER(M61),ISNUMBER(J61),N(I61)&gt;0),IF(E61="卖方",J61-M61,M61-J61)*100*I61-IF(ISNUMBER(Q61),Q61,P61),"")</f>
        <v/>
      </c>
      <c r="U61" s="45" t="str">
        <f>IF(AND(ISNUMBER(T61),N(S61)&gt;0),T61/S61,"")</f>
        <v/>
      </c>
      <c r="V61" s="31" t="n"/>
    </row>
    <row r="62">
      <c r="A62" s="29" t="n"/>
      <c r="B62" s="30" t="n"/>
      <c r="C62" s="31" t="n"/>
      <c r="D62" s="32" t="n"/>
      <c r="E62" s="32" t="n"/>
      <c r="F62" s="54" t="n"/>
      <c r="G62" s="30" t="n"/>
      <c r="H62" s="42" t="str">
        <f>IF(AND(ISNUMBER(G62),ISNUMBER(B62)),G62-B62,"")</f>
        <v/>
      </c>
      <c r="I62" s="29" t="n"/>
      <c r="J62" s="54" t="n"/>
      <c r="K62" s="18" t="n"/>
      <c r="L62" s="30" t="n"/>
      <c r="M62" s="54" t="n"/>
      <c r="N62" s="18" t="n"/>
      <c r="O62" s="42" t="str">
        <f>IF(OR(ISNUMBER(L62),NOT(ISNUMBER(G62))),"",G62-$D$3)</f>
        <v/>
      </c>
      <c r="P62" s="20" t="str">
        <f>IF(N(I62)=0,"",I62*'参数'!$C$16*IF(ISNUMBER(L62),IF(N(M62)=0,1,2),1))</f>
        <v/>
      </c>
      <c r="Q62" s="23" t="n"/>
      <c r="R62" s="23" t="n"/>
      <c r="S62" s="20" t="str">
        <f>IF(ISNUMBER(R62),R62,IF(AND(E62="买方",ISNUMBER(J62),N(I62)&gt;0),J62*100*I62+I62*'参数'!$C$16,""))</f>
        <v/>
      </c>
      <c r="T62" s="53" t="str">
        <f>IF(AND(ISNUMBER(L62),ISNUMBER(M62),ISNUMBER(J62),N(I62)&gt;0),IF(E62="卖方",J62-M62,M62-J62)*100*I62-IF(ISNUMBER(Q62),Q62,P62),"")</f>
        <v/>
      </c>
      <c r="U62" s="45" t="str">
        <f>IF(AND(ISNUMBER(T62),N(S62)&gt;0),T62/S62,"")</f>
        <v/>
      </c>
      <c r="V62" s="31" t="n"/>
    </row>
    <row r="63">
      <c r="A63" s="29" t="n"/>
      <c r="B63" s="30" t="n"/>
      <c r="C63" s="31" t="n"/>
      <c r="D63" s="32" t="n"/>
      <c r="E63" s="32" t="n"/>
      <c r="F63" s="54" t="n"/>
      <c r="G63" s="30" t="n"/>
      <c r="H63" s="42" t="str">
        <f>IF(AND(ISNUMBER(G63),ISNUMBER(B63)),G63-B63,"")</f>
        <v/>
      </c>
      <c r="I63" s="29" t="n"/>
      <c r="J63" s="54" t="n"/>
      <c r="K63" s="18" t="n"/>
      <c r="L63" s="30" t="n"/>
      <c r="M63" s="54" t="n"/>
      <c r="N63" s="18" t="n"/>
      <c r="O63" s="42" t="str">
        <f>IF(OR(ISNUMBER(L63),NOT(ISNUMBER(G63))),"",G63-$D$3)</f>
        <v/>
      </c>
      <c r="P63" s="20" t="str">
        <f>IF(N(I63)=0,"",I63*'参数'!$C$16*IF(ISNUMBER(L63),IF(N(M63)=0,1,2),1))</f>
        <v/>
      </c>
      <c r="Q63" s="23" t="n"/>
      <c r="R63" s="23" t="n"/>
      <c r="S63" s="20" t="str">
        <f>IF(ISNUMBER(R63),R63,IF(AND(E63="买方",ISNUMBER(J63),N(I63)&gt;0),J63*100*I63+I63*'参数'!$C$16,""))</f>
        <v/>
      </c>
      <c r="T63" s="53" t="str">
        <f>IF(AND(ISNUMBER(L63),ISNUMBER(M63),ISNUMBER(J63),N(I63)&gt;0),IF(E63="卖方",J63-M63,M63-J63)*100*I63-IF(ISNUMBER(Q63),Q63,P63),"")</f>
        <v/>
      </c>
      <c r="U63" s="45" t="str">
        <f>IF(AND(ISNUMBER(T63),N(S63)&gt;0),T63/S63,"")</f>
        <v/>
      </c>
      <c r="V63" s="31" t="n"/>
    </row>
    <row r="64">
      <c r="A64" s="29" t="n"/>
      <c r="B64" s="30" t="n"/>
      <c r="C64" s="31" t="n"/>
      <c r="D64" s="32" t="n"/>
      <c r="E64" s="32" t="n"/>
      <c r="F64" s="54" t="n"/>
      <c r="G64" s="30" t="n"/>
      <c r="H64" s="42" t="str">
        <f>IF(AND(ISNUMBER(G64),ISNUMBER(B64)),G64-B64,"")</f>
        <v/>
      </c>
      <c r="I64" s="29" t="n"/>
      <c r="J64" s="54" t="n"/>
      <c r="K64" s="18" t="n"/>
      <c r="L64" s="30" t="n"/>
      <c r="M64" s="54" t="n"/>
      <c r="N64" s="18" t="n"/>
      <c r="O64" s="42" t="str">
        <f>IF(OR(ISNUMBER(L64),NOT(ISNUMBER(G64))),"",G64-$D$3)</f>
        <v/>
      </c>
      <c r="P64" s="20" t="str">
        <f>IF(N(I64)=0,"",I64*'参数'!$C$16*IF(ISNUMBER(L64),IF(N(M64)=0,1,2),1))</f>
        <v/>
      </c>
      <c r="Q64" s="23" t="n"/>
      <c r="R64" s="23" t="n"/>
      <c r="S64" s="20" t="str">
        <f>IF(ISNUMBER(R64),R64,IF(AND(E64="买方",ISNUMBER(J64),N(I64)&gt;0),J64*100*I64+I64*'参数'!$C$16,""))</f>
        <v/>
      </c>
      <c r="T64" s="53" t="str">
        <f>IF(AND(ISNUMBER(L64),ISNUMBER(M64),ISNUMBER(J64),N(I64)&gt;0),IF(E64="卖方",J64-M64,M64-J64)*100*I64-IF(ISNUMBER(Q64),Q64,P64),"")</f>
        <v/>
      </c>
      <c r="U64" s="45" t="str">
        <f>IF(AND(ISNUMBER(T64),N(S64)&gt;0),T64/S64,"")</f>
        <v/>
      </c>
      <c r="V64" s="31" t="n"/>
    </row>
    <row r="65">
      <c r="A65" s="29" t="n"/>
      <c r="B65" s="30" t="n"/>
      <c r="C65" s="31" t="n"/>
      <c r="D65" s="32" t="n"/>
      <c r="E65" s="32" t="n"/>
      <c r="F65" s="54" t="n"/>
      <c r="G65" s="30" t="n"/>
      <c r="H65" s="42" t="str">
        <f>IF(AND(ISNUMBER(G65),ISNUMBER(B65)),G65-B65,"")</f>
        <v/>
      </c>
      <c r="I65" s="29" t="n"/>
      <c r="J65" s="54" t="n"/>
      <c r="K65" s="18" t="n"/>
      <c r="L65" s="30" t="n"/>
      <c r="M65" s="54" t="n"/>
      <c r="N65" s="18" t="n"/>
      <c r="O65" s="42" t="str">
        <f>IF(OR(ISNUMBER(L65),NOT(ISNUMBER(G65))),"",G65-$D$3)</f>
        <v/>
      </c>
      <c r="P65" s="20" t="str">
        <f>IF(N(I65)=0,"",I65*'参数'!$C$16*IF(ISNUMBER(L65),IF(N(M65)=0,1,2),1))</f>
        <v/>
      </c>
      <c r="Q65" s="23" t="n"/>
      <c r="R65" s="23" t="n"/>
      <c r="S65" s="20" t="str">
        <f>IF(ISNUMBER(R65),R65,IF(AND(E65="买方",ISNUMBER(J65),N(I65)&gt;0),J65*100*I65+I65*'参数'!$C$16,""))</f>
        <v/>
      </c>
      <c r="T65" s="53" t="str">
        <f>IF(AND(ISNUMBER(L65),ISNUMBER(M65),ISNUMBER(J65),N(I65)&gt;0),IF(E65="卖方",J65-M65,M65-J65)*100*I65-IF(ISNUMBER(Q65),Q65,P65),"")</f>
        <v/>
      </c>
      <c r="U65" s="45" t="str">
        <f>IF(AND(ISNUMBER(T65),N(S65)&gt;0),T65/S65,"")</f>
        <v/>
      </c>
      <c r="V65" s="31" t="n"/>
    </row>
    <row r="66">
      <c r="A66" s="29" t="n"/>
      <c r="B66" s="30" t="n"/>
      <c r="C66" s="31" t="n"/>
      <c r="D66" s="32" t="n"/>
      <c r="E66" s="32" t="n"/>
      <c r="F66" s="54" t="n"/>
      <c r="G66" s="30" t="n"/>
      <c r="H66" s="42" t="str">
        <f>IF(AND(ISNUMBER(G66),ISNUMBER(B66)),G66-B66,"")</f>
        <v/>
      </c>
      <c r="I66" s="29" t="n"/>
      <c r="J66" s="54" t="n"/>
      <c r="K66" s="18" t="n"/>
      <c r="L66" s="30" t="n"/>
      <c r="M66" s="54" t="n"/>
      <c r="N66" s="18" t="n"/>
      <c r="O66" s="42" t="str">
        <f>IF(OR(ISNUMBER(L66),NOT(ISNUMBER(G66))),"",G66-$D$3)</f>
        <v/>
      </c>
      <c r="P66" s="20" t="str">
        <f>IF(N(I66)=0,"",I66*'参数'!$C$16*IF(ISNUMBER(L66),IF(N(M66)=0,1,2),1))</f>
        <v/>
      </c>
      <c r="Q66" s="23" t="n"/>
      <c r="R66" s="23" t="n"/>
      <c r="S66" s="20" t="str">
        <f>IF(ISNUMBER(R66),R66,IF(AND(E66="买方",ISNUMBER(J66),N(I66)&gt;0),J66*100*I66+I66*'参数'!$C$16,""))</f>
        <v/>
      </c>
      <c r="T66" s="53" t="str">
        <f>IF(AND(ISNUMBER(L66),ISNUMBER(M66),ISNUMBER(J66),N(I66)&gt;0),IF(E66="卖方",J66-M66,M66-J66)*100*I66-IF(ISNUMBER(Q66),Q66,P66),"")</f>
        <v/>
      </c>
      <c r="U66" s="45" t="str">
        <f>IF(AND(ISNUMBER(T66),N(S66)&gt;0),T66/S66,"")</f>
        <v/>
      </c>
      <c r="V66" s="31" t="n"/>
    </row>
    <row r="67">
      <c r="A67" s="29" t="n"/>
      <c r="B67" s="30" t="n"/>
      <c r="C67" s="31" t="n"/>
      <c r="D67" s="32" t="n"/>
      <c r="E67" s="32" t="n"/>
      <c r="F67" s="54" t="n"/>
      <c r="G67" s="30" t="n"/>
      <c r="H67" s="42" t="str">
        <f>IF(AND(ISNUMBER(G67),ISNUMBER(B67)),G67-B67,"")</f>
        <v/>
      </c>
      <c r="I67" s="29" t="n"/>
      <c r="J67" s="54" t="n"/>
      <c r="K67" s="18" t="n"/>
      <c r="L67" s="30" t="n"/>
      <c r="M67" s="54" t="n"/>
      <c r="N67" s="18" t="n"/>
      <c r="O67" s="42" t="str">
        <f>IF(OR(ISNUMBER(L67),NOT(ISNUMBER(G67))),"",G67-$D$3)</f>
        <v/>
      </c>
      <c r="P67" s="20" t="str">
        <f>IF(N(I67)=0,"",I67*'参数'!$C$16*IF(ISNUMBER(L67),IF(N(M67)=0,1,2),1))</f>
        <v/>
      </c>
      <c r="Q67" s="23" t="n"/>
      <c r="R67" s="23" t="n"/>
      <c r="S67" s="20" t="str">
        <f>IF(ISNUMBER(R67),R67,IF(AND(E67="买方",ISNUMBER(J67),N(I67)&gt;0),J67*100*I67+I67*'参数'!$C$16,""))</f>
        <v/>
      </c>
      <c r="T67" s="53" t="str">
        <f>IF(AND(ISNUMBER(L67),ISNUMBER(M67),ISNUMBER(J67),N(I67)&gt;0),IF(E67="卖方",J67-M67,M67-J67)*100*I67-IF(ISNUMBER(Q67),Q67,P67),"")</f>
        <v/>
      </c>
      <c r="U67" s="45" t="str">
        <f>IF(AND(ISNUMBER(T67),N(S67)&gt;0),T67/S67,"")</f>
        <v/>
      </c>
      <c r="V67" s="31" t="n"/>
    </row>
    <row r="68">
      <c r="A68" s="29" t="n"/>
      <c r="B68" s="30" t="n"/>
      <c r="C68" s="31" t="n"/>
      <c r="D68" s="32" t="n"/>
      <c r="E68" s="32" t="n"/>
      <c r="F68" s="54" t="n"/>
      <c r="G68" s="30" t="n"/>
      <c r="H68" s="42" t="str">
        <f>IF(AND(ISNUMBER(G68),ISNUMBER(B68)),G68-B68,"")</f>
        <v/>
      </c>
      <c r="I68" s="29" t="n"/>
      <c r="J68" s="54" t="n"/>
      <c r="K68" s="18" t="n"/>
      <c r="L68" s="30" t="n"/>
      <c r="M68" s="54" t="n"/>
      <c r="N68" s="18" t="n"/>
      <c r="O68" s="42" t="str">
        <f>IF(OR(ISNUMBER(L68),NOT(ISNUMBER(G68))),"",G68-$D$3)</f>
        <v/>
      </c>
      <c r="P68" s="20" t="str">
        <f>IF(N(I68)=0,"",I68*'参数'!$C$16*IF(ISNUMBER(L68),IF(N(M68)=0,1,2),1))</f>
        <v/>
      </c>
      <c r="Q68" s="23" t="n"/>
      <c r="R68" s="23" t="n"/>
      <c r="S68" s="20" t="str">
        <f>IF(ISNUMBER(R68),R68,IF(AND(E68="买方",ISNUMBER(J68),N(I68)&gt;0),J68*100*I68+I68*'参数'!$C$16,""))</f>
        <v/>
      </c>
      <c r="T68" s="53" t="str">
        <f>IF(AND(ISNUMBER(L68),ISNUMBER(M68),ISNUMBER(J68),N(I68)&gt;0),IF(E68="卖方",J68-M68,M68-J68)*100*I68-IF(ISNUMBER(Q68),Q68,P68),"")</f>
        <v/>
      </c>
      <c r="U68" s="45" t="str">
        <f>IF(AND(ISNUMBER(T68),N(S68)&gt;0),T68/S68,"")</f>
        <v/>
      </c>
      <c r="V68" s="31" t="n"/>
    </row>
    <row r="69">
      <c r="A69" s="29" t="n"/>
      <c r="B69" s="30" t="n"/>
      <c r="C69" s="31" t="n"/>
      <c r="D69" s="32" t="n"/>
      <c r="E69" s="32" t="n"/>
      <c r="F69" s="54" t="n"/>
      <c r="G69" s="30" t="n"/>
      <c r="H69" s="42" t="str">
        <f>IF(AND(ISNUMBER(G69),ISNUMBER(B69)),G69-B69,"")</f>
        <v/>
      </c>
      <c r="I69" s="29" t="n"/>
      <c r="J69" s="54" t="n"/>
      <c r="K69" s="18" t="n"/>
      <c r="L69" s="30" t="n"/>
      <c r="M69" s="54" t="n"/>
      <c r="N69" s="18" t="n"/>
      <c r="O69" s="42" t="str">
        <f>IF(OR(ISNUMBER(L69),NOT(ISNUMBER(G69))),"",G69-$D$3)</f>
        <v/>
      </c>
      <c r="P69" s="20" t="str">
        <f>IF(N(I69)=0,"",I69*'参数'!$C$16*IF(ISNUMBER(L69),IF(N(M69)=0,1,2),1))</f>
        <v/>
      </c>
      <c r="Q69" s="23" t="n"/>
      <c r="R69" s="23" t="n"/>
      <c r="S69" s="20" t="str">
        <f>IF(ISNUMBER(R69),R69,IF(AND(E69="买方",ISNUMBER(J69),N(I69)&gt;0),J69*100*I69+I69*'参数'!$C$16,""))</f>
        <v/>
      </c>
      <c r="T69" s="53" t="str">
        <f>IF(AND(ISNUMBER(L69),ISNUMBER(M69),ISNUMBER(J69),N(I69)&gt;0),IF(E69="卖方",J69-M69,M69-J69)*100*I69-IF(ISNUMBER(Q69),Q69,P69),"")</f>
        <v/>
      </c>
      <c r="U69" s="45" t="str">
        <f>IF(AND(ISNUMBER(T69),N(S69)&gt;0),T69/S69,"")</f>
        <v/>
      </c>
      <c r="V69" s="31" t="n"/>
    </row>
    <row r="70">
      <c r="A70" s="29" t="n"/>
      <c r="B70" s="30" t="n"/>
      <c r="C70" s="31" t="n"/>
      <c r="D70" s="32" t="n"/>
      <c r="E70" s="32" t="n"/>
      <c r="F70" s="54" t="n"/>
      <c r="G70" s="30" t="n"/>
      <c r="H70" s="42" t="str">
        <f>IF(AND(ISNUMBER(G70),ISNUMBER(B70)),G70-B70,"")</f>
        <v/>
      </c>
      <c r="I70" s="29" t="n"/>
      <c r="J70" s="54" t="n"/>
      <c r="K70" s="18" t="n"/>
      <c r="L70" s="30" t="n"/>
      <c r="M70" s="54" t="n"/>
      <c r="N70" s="18" t="n"/>
      <c r="O70" s="42" t="str">
        <f>IF(OR(ISNUMBER(L70),NOT(ISNUMBER(G70))),"",G70-$D$3)</f>
        <v/>
      </c>
      <c r="P70" s="20" t="str">
        <f>IF(N(I70)=0,"",I70*'参数'!$C$16*IF(ISNUMBER(L70),IF(N(M70)=0,1,2),1))</f>
        <v/>
      </c>
      <c r="Q70" s="23" t="n"/>
      <c r="R70" s="23" t="n"/>
      <c r="S70" s="20" t="str">
        <f>IF(ISNUMBER(R70),R70,IF(AND(E70="买方",ISNUMBER(J70),N(I70)&gt;0),J70*100*I70+I70*'参数'!$C$16,""))</f>
        <v/>
      </c>
      <c r="T70" s="53" t="str">
        <f>IF(AND(ISNUMBER(L70),ISNUMBER(M70),ISNUMBER(J70),N(I70)&gt;0),IF(E70="卖方",J70-M70,M70-J70)*100*I70-IF(ISNUMBER(Q70),Q70,P70),"")</f>
        <v/>
      </c>
      <c r="U70" s="45" t="str">
        <f>IF(AND(ISNUMBER(T70),N(S70)&gt;0),T70/S70,"")</f>
        <v/>
      </c>
      <c r="V70" s="31" t="n"/>
    </row>
    <row r="71">
      <c r="A71" s="29" t="n"/>
      <c r="B71" s="30" t="n"/>
      <c r="C71" s="31" t="n"/>
      <c r="D71" s="32" t="n"/>
      <c r="E71" s="32" t="n"/>
      <c r="F71" s="54" t="n"/>
      <c r="G71" s="30" t="n"/>
      <c r="H71" s="42" t="str">
        <f>IF(AND(ISNUMBER(G71),ISNUMBER(B71)),G71-B71,"")</f>
        <v/>
      </c>
      <c r="I71" s="29" t="n"/>
      <c r="J71" s="54" t="n"/>
      <c r="K71" s="18" t="n"/>
      <c r="L71" s="30" t="n"/>
      <c r="M71" s="54" t="n"/>
      <c r="N71" s="18" t="n"/>
      <c r="O71" s="42" t="str">
        <f>IF(OR(ISNUMBER(L71),NOT(ISNUMBER(G71))),"",G71-$D$3)</f>
        <v/>
      </c>
      <c r="P71" s="20" t="str">
        <f>IF(N(I71)=0,"",I71*'参数'!$C$16*IF(ISNUMBER(L71),IF(N(M71)=0,1,2),1))</f>
        <v/>
      </c>
      <c r="Q71" s="23" t="n"/>
      <c r="R71" s="23" t="n"/>
      <c r="S71" s="20" t="str">
        <f>IF(ISNUMBER(R71),R71,IF(AND(E71="买方",ISNUMBER(J71),N(I71)&gt;0),J71*100*I71+I71*'参数'!$C$16,""))</f>
        <v/>
      </c>
      <c r="T71" s="53" t="str">
        <f>IF(AND(ISNUMBER(L71),ISNUMBER(M71),ISNUMBER(J71),N(I71)&gt;0),IF(E71="卖方",J71-M71,M71-J71)*100*I71-IF(ISNUMBER(Q71),Q71,P71),"")</f>
        <v/>
      </c>
      <c r="U71" s="45" t="str">
        <f>IF(AND(ISNUMBER(T71),N(S71)&gt;0),T71/S71,"")</f>
        <v/>
      </c>
      <c r="V71" s="31" t="n"/>
    </row>
    <row r="72">
      <c r="A72" s="29" t="n"/>
      <c r="B72" s="30" t="n"/>
      <c r="C72" s="31" t="n"/>
      <c r="D72" s="32" t="n"/>
      <c r="E72" s="32" t="n"/>
      <c r="F72" s="54" t="n"/>
      <c r="G72" s="30" t="n"/>
      <c r="H72" s="42" t="str">
        <f>IF(AND(ISNUMBER(G72),ISNUMBER(B72)),G72-B72,"")</f>
        <v/>
      </c>
      <c r="I72" s="29" t="n"/>
      <c r="J72" s="54" t="n"/>
      <c r="K72" s="18" t="n"/>
      <c r="L72" s="30" t="n"/>
      <c r="M72" s="54" t="n"/>
      <c r="N72" s="18" t="n"/>
      <c r="O72" s="42" t="str">
        <f>IF(OR(ISNUMBER(L72),NOT(ISNUMBER(G72))),"",G72-$D$3)</f>
        <v/>
      </c>
      <c r="P72" s="20" t="str">
        <f>IF(N(I72)=0,"",I72*'参数'!$C$16*IF(ISNUMBER(L72),IF(N(M72)=0,1,2),1))</f>
        <v/>
      </c>
      <c r="Q72" s="23" t="n"/>
      <c r="R72" s="23" t="n"/>
      <c r="S72" s="20" t="str">
        <f>IF(ISNUMBER(R72),R72,IF(AND(E72="买方",ISNUMBER(J72),N(I72)&gt;0),J72*100*I72+I72*'参数'!$C$16,""))</f>
        <v/>
      </c>
      <c r="T72" s="53" t="str">
        <f>IF(AND(ISNUMBER(L72),ISNUMBER(M72),ISNUMBER(J72),N(I72)&gt;0),IF(E72="卖方",J72-M72,M72-J72)*100*I72-IF(ISNUMBER(Q72),Q72,P72),"")</f>
        <v/>
      </c>
      <c r="U72" s="45" t="str">
        <f>IF(AND(ISNUMBER(T72),N(S72)&gt;0),T72/S72,"")</f>
        <v/>
      </c>
      <c r="V72" s="31" t="n"/>
    </row>
    <row r="73">
      <c r="A73" s="29" t="n"/>
      <c r="B73" s="30" t="n"/>
      <c r="C73" s="31" t="n"/>
      <c r="D73" s="32" t="n"/>
      <c r="E73" s="32" t="n"/>
      <c r="F73" s="54" t="n"/>
      <c r="G73" s="30" t="n"/>
      <c r="H73" s="42" t="str">
        <f>IF(AND(ISNUMBER(G73),ISNUMBER(B73)),G73-B73,"")</f>
        <v/>
      </c>
      <c r="I73" s="29" t="n"/>
      <c r="J73" s="54" t="n"/>
      <c r="K73" s="18" t="n"/>
      <c r="L73" s="30" t="n"/>
      <c r="M73" s="54" t="n"/>
      <c r="N73" s="18" t="n"/>
      <c r="O73" s="42" t="str">
        <f>IF(OR(ISNUMBER(L73),NOT(ISNUMBER(G73))),"",G73-$D$3)</f>
        <v/>
      </c>
      <c r="P73" s="20" t="str">
        <f>IF(N(I73)=0,"",I73*'参数'!$C$16*IF(ISNUMBER(L73),IF(N(M73)=0,1,2),1))</f>
        <v/>
      </c>
      <c r="Q73" s="23" t="n"/>
      <c r="R73" s="23" t="n"/>
      <c r="S73" s="20" t="str">
        <f>IF(ISNUMBER(R73),R73,IF(AND(E73="买方",ISNUMBER(J73),N(I73)&gt;0),J73*100*I73+I73*'参数'!$C$16,""))</f>
        <v/>
      </c>
      <c r="T73" s="53" t="str">
        <f>IF(AND(ISNUMBER(L73),ISNUMBER(M73),ISNUMBER(J73),N(I73)&gt;0),IF(E73="卖方",J73-M73,M73-J73)*100*I73-IF(ISNUMBER(Q73),Q73,P73),"")</f>
        <v/>
      </c>
      <c r="U73" s="45" t="str">
        <f>IF(AND(ISNUMBER(T73),N(S73)&gt;0),T73/S73,"")</f>
        <v/>
      </c>
      <c r="V73" s="31" t="n"/>
    </row>
    <row r="74">
      <c r="A74" s="29" t="n"/>
      <c r="B74" s="30" t="n"/>
      <c r="C74" s="31" t="n"/>
      <c r="D74" s="32" t="n"/>
      <c r="E74" s="32" t="n"/>
      <c r="F74" s="54" t="n"/>
      <c r="G74" s="30" t="n"/>
      <c r="H74" s="42" t="str">
        <f>IF(AND(ISNUMBER(G74),ISNUMBER(B74)),G74-B74,"")</f>
        <v/>
      </c>
      <c r="I74" s="29" t="n"/>
      <c r="J74" s="54" t="n"/>
      <c r="K74" s="18" t="n"/>
      <c r="L74" s="30" t="n"/>
      <c r="M74" s="54" t="n"/>
      <c r="N74" s="18" t="n"/>
      <c r="O74" s="42" t="str">
        <f>IF(OR(ISNUMBER(L74),NOT(ISNUMBER(G74))),"",G74-$D$3)</f>
        <v/>
      </c>
      <c r="P74" s="20" t="str">
        <f>IF(N(I74)=0,"",I74*'参数'!$C$16*IF(ISNUMBER(L74),IF(N(M74)=0,1,2),1))</f>
        <v/>
      </c>
      <c r="Q74" s="23" t="n"/>
      <c r="R74" s="23" t="n"/>
      <c r="S74" s="20" t="str">
        <f>IF(ISNUMBER(R74),R74,IF(AND(E74="买方",ISNUMBER(J74),N(I74)&gt;0),J74*100*I74+I74*'参数'!$C$16,""))</f>
        <v/>
      </c>
      <c r="T74" s="53" t="str">
        <f>IF(AND(ISNUMBER(L74),ISNUMBER(M74),ISNUMBER(J74),N(I74)&gt;0),IF(E74="卖方",J74-M74,M74-J74)*100*I74-IF(ISNUMBER(Q74),Q74,P74),"")</f>
        <v/>
      </c>
      <c r="U74" s="45" t="str">
        <f>IF(AND(ISNUMBER(T74),N(S74)&gt;0),T74/S74,"")</f>
        <v/>
      </c>
      <c r="V74" s="31" t="n"/>
    </row>
    <row r="75">
      <c r="A75" s="29" t="n"/>
      <c r="B75" s="30" t="n"/>
      <c r="C75" s="31" t="n"/>
      <c r="D75" s="32" t="n"/>
      <c r="E75" s="32" t="n"/>
      <c r="F75" s="54" t="n"/>
      <c r="G75" s="30" t="n"/>
      <c r="H75" s="42" t="str">
        <f>IF(AND(ISNUMBER(G75),ISNUMBER(B75)),G75-B75,"")</f>
        <v/>
      </c>
      <c r="I75" s="29" t="n"/>
      <c r="J75" s="54" t="n"/>
      <c r="K75" s="18" t="n"/>
      <c r="L75" s="30" t="n"/>
      <c r="M75" s="54" t="n"/>
      <c r="N75" s="18" t="n"/>
      <c r="O75" s="42" t="str">
        <f>IF(OR(ISNUMBER(L75),NOT(ISNUMBER(G75))),"",G75-$D$3)</f>
        <v/>
      </c>
      <c r="P75" s="20" t="str">
        <f>IF(N(I75)=0,"",I75*'参数'!$C$16*IF(ISNUMBER(L75),IF(N(M75)=0,1,2),1))</f>
        <v/>
      </c>
      <c r="Q75" s="23" t="n"/>
      <c r="R75" s="23" t="n"/>
      <c r="S75" s="20" t="str">
        <f>IF(ISNUMBER(R75),R75,IF(AND(E75="买方",ISNUMBER(J75),N(I75)&gt;0),J75*100*I75+I75*'参数'!$C$16,""))</f>
        <v/>
      </c>
      <c r="T75" s="53" t="str">
        <f>IF(AND(ISNUMBER(L75),ISNUMBER(M75),ISNUMBER(J75),N(I75)&gt;0),IF(E75="卖方",J75-M75,M75-J75)*100*I75-IF(ISNUMBER(Q75),Q75,P75),"")</f>
        <v/>
      </c>
      <c r="U75" s="45" t="str">
        <f>IF(AND(ISNUMBER(T75),N(S75)&gt;0),T75/S75,"")</f>
        <v/>
      </c>
      <c r="V75" s="31" t="n"/>
    </row>
    <row r="76">
      <c r="A76" s="29" t="n"/>
      <c r="B76" s="30" t="n"/>
      <c r="C76" s="31" t="n"/>
      <c r="D76" s="32" t="n"/>
      <c r="E76" s="32" t="n"/>
      <c r="F76" s="54" t="n"/>
      <c r="G76" s="30" t="n"/>
      <c r="H76" s="42" t="str">
        <f>IF(AND(ISNUMBER(G76),ISNUMBER(B76)),G76-B76,"")</f>
        <v/>
      </c>
      <c r="I76" s="29" t="n"/>
      <c r="J76" s="54" t="n"/>
      <c r="K76" s="18" t="n"/>
      <c r="L76" s="30" t="n"/>
      <c r="M76" s="54" t="n"/>
      <c r="N76" s="18" t="n"/>
      <c r="O76" s="42" t="str">
        <f>IF(OR(ISNUMBER(L76),NOT(ISNUMBER(G76))),"",G76-$D$3)</f>
        <v/>
      </c>
      <c r="P76" s="20" t="str">
        <f>IF(N(I76)=0,"",I76*'参数'!$C$16*IF(ISNUMBER(L76),IF(N(M76)=0,1,2),1))</f>
        <v/>
      </c>
      <c r="Q76" s="23" t="n"/>
      <c r="R76" s="23" t="n"/>
      <c r="S76" s="20" t="str">
        <f>IF(ISNUMBER(R76),R76,IF(AND(E76="买方",ISNUMBER(J76),N(I76)&gt;0),J76*100*I76+I76*'参数'!$C$16,""))</f>
        <v/>
      </c>
      <c r="T76" s="53" t="str">
        <f>IF(AND(ISNUMBER(L76),ISNUMBER(M76),ISNUMBER(J76),N(I76)&gt;0),IF(E76="卖方",J76-M76,M76-J76)*100*I76-IF(ISNUMBER(Q76),Q76,P76),"")</f>
        <v/>
      </c>
      <c r="U76" s="45" t="str">
        <f>IF(AND(ISNUMBER(T76),N(S76)&gt;0),T76/S76,"")</f>
        <v/>
      </c>
      <c r="V76" s="31" t="n"/>
    </row>
    <row r="77">
      <c r="A77" s="29" t="n"/>
      <c r="B77" s="30" t="n"/>
      <c r="C77" s="31" t="n"/>
      <c r="D77" s="32" t="n"/>
      <c r="E77" s="32" t="n"/>
      <c r="F77" s="54" t="n"/>
      <c r="G77" s="30" t="n"/>
      <c r="H77" s="42" t="str">
        <f>IF(AND(ISNUMBER(G77),ISNUMBER(B77)),G77-B77,"")</f>
        <v/>
      </c>
      <c r="I77" s="29" t="n"/>
      <c r="J77" s="54" t="n"/>
      <c r="K77" s="18" t="n"/>
      <c r="L77" s="30" t="n"/>
      <c r="M77" s="54" t="n"/>
      <c r="N77" s="18" t="n"/>
      <c r="O77" s="42" t="str">
        <f>IF(OR(ISNUMBER(L77),NOT(ISNUMBER(G77))),"",G77-$D$3)</f>
        <v/>
      </c>
      <c r="P77" s="20" t="str">
        <f>IF(N(I77)=0,"",I77*'参数'!$C$16*IF(ISNUMBER(L77),IF(N(M77)=0,1,2),1))</f>
        <v/>
      </c>
      <c r="Q77" s="23" t="n"/>
      <c r="R77" s="23" t="n"/>
      <c r="S77" s="20" t="str">
        <f>IF(ISNUMBER(R77),R77,IF(AND(E77="买方",ISNUMBER(J77),N(I77)&gt;0),J77*100*I77+I77*'参数'!$C$16,""))</f>
        <v/>
      </c>
      <c r="T77" s="53" t="str">
        <f>IF(AND(ISNUMBER(L77),ISNUMBER(M77),ISNUMBER(J77),N(I77)&gt;0),IF(E77="卖方",J77-M77,M77-J77)*100*I77-IF(ISNUMBER(Q77),Q77,P77),"")</f>
        <v/>
      </c>
      <c r="U77" s="45" t="str">
        <f>IF(AND(ISNUMBER(T77),N(S77)&gt;0),T77/S77,"")</f>
        <v/>
      </c>
      <c r="V77" s="31" t="n"/>
    </row>
    <row r="78">
      <c r="A78" s="29" t="n"/>
      <c r="B78" s="30" t="n"/>
      <c r="C78" s="31" t="n"/>
      <c r="D78" s="32" t="n"/>
      <c r="E78" s="32" t="n"/>
      <c r="F78" s="54" t="n"/>
      <c r="G78" s="30" t="n"/>
      <c r="H78" s="42" t="str">
        <f>IF(AND(ISNUMBER(G78),ISNUMBER(B78)),G78-B78,"")</f>
        <v/>
      </c>
      <c r="I78" s="29" t="n"/>
      <c r="J78" s="54" t="n"/>
      <c r="K78" s="18" t="n"/>
      <c r="L78" s="30" t="n"/>
      <c r="M78" s="54" t="n"/>
      <c r="N78" s="18" t="n"/>
      <c r="O78" s="42" t="str">
        <f>IF(OR(ISNUMBER(L78),NOT(ISNUMBER(G78))),"",G78-$D$3)</f>
        <v/>
      </c>
      <c r="P78" s="20" t="str">
        <f>IF(N(I78)=0,"",I78*'参数'!$C$16*IF(ISNUMBER(L78),IF(N(M78)=0,1,2),1))</f>
        <v/>
      </c>
      <c r="Q78" s="23" t="n"/>
      <c r="R78" s="23" t="n"/>
      <c r="S78" s="20" t="str">
        <f>IF(ISNUMBER(R78),R78,IF(AND(E78="买方",ISNUMBER(J78),N(I78)&gt;0),J78*100*I78+I78*'参数'!$C$16,""))</f>
        <v/>
      </c>
      <c r="T78" s="53" t="str">
        <f>IF(AND(ISNUMBER(L78),ISNUMBER(M78),ISNUMBER(J78),N(I78)&gt;0),IF(E78="卖方",J78-M78,M78-J78)*100*I78-IF(ISNUMBER(Q78),Q78,P78),"")</f>
        <v/>
      </c>
      <c r="U78" s="45" t="str">
        <f>IF(AND(ISNUMBER(T78),N(S78)&gt;0),T78/S78,"")</f>
        <v/>
      </c>
      <c r="V78" s="31" t="n"/>
    </row>
    <row r="79">
      <c r="A79" s="29" t="n"/>
      <c r="B79" s="30" t="n"/>
      <c r="C79" s="31" t="n"/>
      <c r="D79" s="32" t="n"/>
      <c r="E79" s="32" t="n"/>
      <c r="F79" s="54" t="n"/>
      <c r="G79" s="30" t="n"/>
      <c r="H79" s="42" t="str">
        <f>IF(AND(ISNUMBER(G79),ISNUMBER(B79)),G79-B79,"")</f>
        <v/>
      </c>
      <c r="I79" s="29" t="n"/>
      <c r="J79" s="54" t="n"/>
      <c r="K79" s="18" t="n"/>
      <c r="L79" s="30" t="n"/>
      <c r="M79" s="54" t="n"/>
      <c r="N79" s="18" t="n"/>
      <c r="O79" s="42" t="str">
        <f>IF(OR(ISNUMBER(L79),NOT(ISNUMBER(G79))),"",G79-$D$3)</f>
        <v/>
      </c>
      <c r="P79" s="20" t="str">
        <f>IF(N(I79)=0,"",I79*'参数'!$C$16*IF(ISNUMBER(L79),IF(N(M79)=0,1,2),1))</f>
        <v/>
      </c>
      <c r="Q79" s="23" t="n"/>
      <c r="R79" s="23" t="n"/>
      <c r="S79" s="20" t="str">
        <f>IF(ISNUMBER(R79),R79,IF(AND(E79="买方",ISNUMBER(J79),N(I79)&gt;0),J79*100*I79+I79*'参数'!$C$16,""))</f>
        <v/>
      </c>
      <c r="T79" s="53" t="str">
        <f>IF(AND(ISNUMBER(L79),ISNUMBER(M79),ISNUMBER(J79),N(I79)&gt;0),IF(E79="卖方",J79-M79,M79-J79)*100*I79-IF(ISNUMBER(Q79),Q79,P79),"")</f>
        <v/>
      </c>
      <c r="U79" s="45" t="str">
        <f>IF(AND(ISNUMBER(T79),N(S79)&gt;0),T79/S79,"")</f>
        <v/>
      </c>
      <c r="V79" s="31" t="n"/>
    </row>
    <row r="80">
      <c r="A80" s="29" t="n"/>
      <c r="B80" s="30" t="n"/>
      <c r="C80" s="31" t="n"/>
      <c r="D80" s="32" t="n"/>
      <c r="E80" s="32" t="n"/>
      <c r="F80" s="54" t="n"/>
      <c r="G80" s="30" t="n"/>
      <c r="H80" s="42" t="str">
        <f>IF(AND(ISNUMBER(G80),ISNUMBER(B80)),G80-B80,"")</f>
        <v/>
      </c>
      <c r="I80" s="29" t="n"/>
      <c r="J80" s="54" t="n"/>
      <c r="K80" s="18" t="n"/>
      <c r="L80" s="30" t="n"/>
      <c r="M80" s="54" t="n"/>
      <c r="N80" s="18" t="n"/>
      <c r="O80" s="42" t="str">
        <f>IF(OR(ISNUMBER(L80),NOT(ISNUMBER(G80))),"",G80-$D$3)</f>
        <v/>
      </c>
      <c r="P80" s="20" t="str">
        <f>IF(N(I80)=0,"",I80*'参数'!$C$16*IF(ISNUMBER(L80),IF(N(M80)=0,1,2),1))</f>
        <v/>
      </c>
      <c r="Q80" s="23" t="n"/>
      <c r="R80" s="23" t="n"/>
      <c r="S80" s="20" t="str">
        <f>IF(ISNUMBER(R80),R80,IF(AND(E80="买方",ISNUMBER(J80),N(I80)&gt;0),J80*100*I80+I80*'参数'!$C$16,""))</f>
        <v/>
      </c>
      <c r="T80" s="53" t="str">
        <f>IF(AND(ISNUMBER(L80),ISNUMBER(M80),ISNUMBER(J80),N(I80)&gt;0),IF(E80="卖方",J80-M80,M80-J80)*100*I80-IF(ISNUMBER(Q80),Q80,P80),"")</f>
        <v/>
      </c>
      <c r="U80" s="45" t="str">
        <f>IF(AND(ISNUMBER(T80),N(S80)&gt;0),T80/S80,"")</f>
        <v/>
      </c>
      <c r="V80" s="31" t="n"/>
    </row>
    <row r="81">
      <c r="A81" s="29" t="n"/>
      <c r="B81" s="30" t="n"/>
      <c r="C81" s="31" t="n"/>
      <c r="D81" s="32" t="n"/>
      <c r="E81" s="32" t="n"/>
      <c r="F81" s="54" t="n"/>
      <c r="G81" s="30" t="n"/>
      <c r="H81" s="42" t="str">
        <f>IF(AND(ISNUMBER(G81),ISNUMBER(B81)),G81-B81,"")</f>
        <v/>
      </c>
      <c r="I81" s="29" t="n"/>
      <c r="J81" s="54" t="n"/>
      <c r="K81" s="18" t="n"/>
      <c r="L81" s="30" t="n"/>
      <c r="M81" s="54" t="n"/>
      <c r="N81" s="18" t="n"/>
      <c r="O81" s="42" t="str">
        <f>IF(OR(ISNUMBER(L81),NOT(ISNUMBER(G81))),"",G81-$D$3)</f>
        <v/>
      </c>
      <c r="P81" s="20" t="str">
        <f>IF(N(I81)=0,"",I81*'参数'!$C$16*IF(ISNUMBER(L81),IF(N(M81)=0,1,2),1))</f>
        <v/>
      </c>
      <c r="Q81" s="23" t="n"/>
      <c r="R81" s="23" t="n"/>
      <c r="S81" s="20" t="str">
        <f>IF(ISNUMBER(R81),R81,IF(AND(E81="买方",ISNUMBER(J81),N(I81)&gt;0),J81*100*I81+I81*'参数'!$C$16,""))</f>
        <v/>
      </c>
      <c r="T81" s="53" t="str">
        <f>IF(AND(ISNUMBER(L81),ISNUMBER(M81),ISNUMBER(J81),N(I81)&gt;0),IF(E81="卖方",J81-M81,M81-J81)*100*I81-IF(ISNUMBER(Q81),Q81,P81),"")</f>
        <v/>
      </c>
      <c r="U81" s="45" t="str">
        <f>IF(AND(ISNUMBER(T81),N(S81)&gt;0),T81/S81,"")</f>
        <v/>
      </c>
      <c r="V81" s="31" t="n"/>
    </row>
    <row r="82">
      <c r="A82" s="29" t="n"/>
      <c r="B82" s="30" t="n"/>
      <c r="C82" s="31" t="n"/>
      <c r="D82" s="32" t="n"/>
      <c r="E82" s="32" t="n"/>
      <c r="F82" s="54" t="n"/>
      <c r="G82" s="30" t="n"/>
      <c r="H82" s="42" t="str">
        <f>IF(AND(ISNUMBER(G82),ISNUMBER(B82)),G82-B82,"")</f>
        <v/>
      </c>
      <c r="I82" s="29" t="n"/>
      <c r="J82" s="54" t="n"/>
      <c r="K82" s="18" t="n"/>
      <c r="L82" s="30" t="n"/>
      <c r="M82" s="54" t="n"/>
      <c r="N82" s="18" t="n"/>
      <c r="O82" s="42" t="str">
        <f>IF(OR(ISNUMBER(L82),NOT(ISNUMBER(G82))),"",G82-$D$3)</f>
        <v/>
      </c>
      <c r="P82" s="20" t="str">
        <f>IF(N(I82)=0,"",I82*'参数'!$C$16*IF(ISNUMBER(L82),IF(N(M82)=0,1,2),1))</f>
        <v/>
      </c>
      <c r="Q82" s="23" t="n"/>
      <c r="R82" s="23" t="n"/>
      <c r="S82" s="20" t="str">
        <f>IF(ISNUMBER(R82),R82,IF(AND(E82="买方",ISNUMBER(J82),N(I82)&gt;0),J82*100*I82+I82*'参数'!$C$16,""))</f>
        <v/>
      </c>
      <c r="T82" s="53" t="str">
        <f>IF(AND(ISNUMBER(L82),ISNUMBER(M82),ISNUMBER(J82),N(I82)&gt;0),IF(E82="卖方",J82-M82,M82-J82)*100*I82-IF(ISNUMBER(Q82),Q82,P82),"")</f>
        <v/>
      </c>
      <c r="U82" s="45" t="str">
        <f>IF(AND(ISNUMBER(T82),N(S82)&gt;0),T82/S82,"")</f>
        <v/>
      </c>
      <c r="V82" s="31" t="n"/>
    </row>
    <row r="83">
      <c r="A83" s="29" t="n"/>
      <c r="B83" s="30" t="n"/>
      <c r="C83" s="31" t="n"/>
      <c r="D83" s="32" t="n"/>
      <c r="E83" s="32" t="n"/>
      <c r="F83" s="54" t="n"/>
      <c r="G83" s="30" t="n"/>
      <c r="H83" s="42" t="str">
        <f>IF(AND(ISNUMBER(G83),ISNUMBER(B83)),G83-B83,"")</f>
        <v/>
      </c>
      <c r="I83" s="29" t="n"/>
      <c r="J83" s="54" t="n"/>
      <c r="K83" s="18" t="n"/>
      <c r="L83" s="30" t="n"/>
      <c r="M83" s="54" t="n"/>
      <c r="N83" s="18" t="n"/>
      <c r="O83" s="42" t="str">
        <f>IF(OR(ISNUMBER(L83),NOT(ISNUMBER(G83))),"",G83-$D$3)</f>
        <v/>
      </c>
      <c r="P83" s="20" t="str">
        <f>IF(N(I83)=0,"",I83*'参数'!$C$16*IF(ISNUMBER(L83),IF(N(M83)=0,1,2),1))</f>
        <v/>
      </c>
      <c r="Q83" s="23" t="n"/>
      <c r="R83" s="23" t="n"/>
      <c r="S83" s="20" t="str">
        <f>IF(ISNUMBER(R83),R83,IF(AND(E83="买方",ISNUMBER(J83),N(I83)&gt;0),J83*100*I83+I83*'参数'!$C$16,""))</f>
        <v/>
      </c>
      <c r="T83" s="53" t="str">
        <f>IF(AND(ISNUMBER(L83),ISNUMBER(M83),ISNUMBER(J83),N(I83)&gt;0),IF(E83="卖方",J83-M83,M83-J83)*100*I83-IF(ISNUMBER(Q83),Q83,P83),"")</f>
        <v/>
      </c>
      <c r="U83" s="45" t="str">
        <f>IF(AND(ISNUMBER(T83),N(S83)&gt;0),T83/S83,"")</f>
        <v/>
      </c>
      <c r="V83" s="31" t="n"/>
    </row>
    <row r="84">
      <c r="A84" s="29" t="n"/>
      <c r="B84" s="30" t="n"/>
      <c r="C84" s="31" t="n"/>
      <c r="D84" s="32" t="n"/>
      <c r="E84" s="32" t="n"/>
      <c r="F84" s="54" t="n"/>
      <c r="G84" s="30" t="n"/>
      <c r="H84" s="42" t="str">
        <f>IF(AND(ISNUMBER(G84),ISNUMBER(B84)),G84-B84,"")</f>
        <v/>
      </c>
      <c r="I84" s="29" t="n"/>
      <c r="J84" s="54" t="n"/>
      <c r="K84" s="18" t="n"/>
      <c r="L84" s="30" t="n"/>
      <c r="M84" s="54" t="n"/>
      <c r="N84" s="18" t="n"/>
      <c r="O84" s="42" t="str">
        <f>IF(OR(ISNUMBER(L84),NOT(ISNUMBER(G84))),"",G84-$D$3)</f>
        <v/>
      </c>
      <c r="P84" s="20" t="str">
        <f>IF(N(I84)=0,"",I84*'参数'!$C$16*IF(ISNUMBER(L84),IF(N(M84)=0,1,2),1))</f>
        <v/>
      </c>
      <c r="Q84" s="23" t="n"/>
      <c r="R84" s="23" t="n"/>
      <c r="S84" s="20" t="str">
        <f>IF(ISNUMBER(R84),R84,IF(AND(E84="买方",ISNUMBER(J84),N(I84)&gt;0),J84*100*I84+I84*'参数'!$C$16,""))</f>
        <v/>
      </c>
      <c r="T84" s="53" t="str">
        <f>IF(AND(ISNUMBER(L84),ISNUMBER(M84),ISNUMBER(J84),N(I84)&gt;0),IF(E84="卖方",J84-M84,M84-J84)*100*I84-IF(ISNUMBER(Q84),Q84,P84),"")</f>
        <v/>
      </c>
      <c r="U84" s="45" t="str">
        <f>IF(AND(ISNUMBER(T84),N(S84)&gt;0),T84/S84,"")</f>
        <v/>
      </c>
      <c r="V84" s="31" t="n"/>
    </row>
    <row r="85">
      <c r="A85" s="29" t="n"/>
      <c r="B85" s="30" t="n"/>
      <c r="C85" s="31" t="n"/>
      <c r="D85" s="32" t="n"/>
      <c r="E85" s="32" t="n"/>
      <c r="F85" s="54" t="n"/>
      <c r="G85" s="30" t="n"/>
      <c r="H85" s="42" t="str">
        <f>IF(AND(ISNUMBER(G85),ISNUMBER(B85)),G85-B85,"")</f>
        <v/>
      </c>
      <c r="I85" s="29" t="n"/>
      <c r="J85" s="54" t="n"/>
      <c r="K85" s="18" t="n"/>
      <c r="L85" s="30" t="n"/>
      <c r="M85" s="54" t="n"/>
      <c r="N85" s="18" t="n"/>
      <c r="O85" s="42" t="str">
        <f>IF(OR(ISNUMBER(L85),NOT(ISNUMBER(G85))),"",G85-$D$3)</f>
        <v/>
      </c>
      <c r="P85" s="20" t="str">
        <f>IF(N(I85)=0,"",I85*'参数'!$C$16*IF(ISNUMBER(L85),IF(N(M85)=0,1,2),1))</f>
        <v/>
      </c>
      <c r="Q85" s="23" t="n"/>
      <c r="R85" s="23" t="n"/>
      <c r="S85" s="20" t="str">
        <f>IF(ISNUMBER(R85),R85,IF(AND(E85="买方",ISNUMBER(J85),N(I85)&gt;0),J85*100*I85+I85*'参数'!$C$16,""))</f>
        <v/>
      </c>
      <c r="T85" s="53" t="str">
        <f>IF(AND(ISNUMBER(L85),ISNUMBER(M85),ISNUMBER(J85),N(I85)&gt;0),IF(E85="卖方",J85-M85,M85-J85)*100*I85-IF(ISNUMBER(Q85),Q85,P85),"")</f>
        <v/>
      </c>
      <c r="U85" s="45" t="str">
        <f>IF(AND(ISNUMBER(T85),N(S85)&gt;0),T85/S85,"")</f>
        <v/>
      </c>
      <c r="V85" s="31" t="n"/>
    </row>
    <row r="86">
      <c r="A86" s="29" t="n"/>
      <c r="B86" s="30" t="n"/>
      <c r="C86" s="31" t="n"/>
      <c r="D86" s="32" t="n"/>
      <c r="E86" s="32" t="n"/>
      <c r="F86" s="54" t="n"/>
      <c r="G86" s="30" t="n"/>
      <c r="H86" s="42" t="str">
        <f>IF(AND(ISNUMBER(G86),ISNUMBER(B86)),G86-B86,"")</f>
        <v/>
      </c>
      <c r="I86" s="29" t="n"/>
      <c r="J86" s="54" t="n"/>
      <c r="K86" s="18" t="n"/>
      <c r="L86" s="30" t="n"/>
      <c r="M86" s="54" t="n"/>
      <c r="N86" s="18" t="n"/>
      <c r="O86" s="42" t="str">
        <f>IF(OR(ISNUMBER(L86),NOT(ISNUMBER(G86))),"",G86-$D$3)</f>
        <v/>
      </c>
      <c r="P86" s="20" t="str">
        <f>IF(N(I86)=0,"",I86*'参数'!$C$16*IF(ISNUMBER(L86),IF(N(M86)=0,1,2),1))</f>
        <v/>
      </c>
      <c r="Q86" s="23" t="n"/>
      <c r="R86" s="23" t="n"/>
      <c r="S86" s="20" t="str">
        <f>IF(ISNUMBER(R86),R86,IF(AND(E86="买方",ISNUMBER(J86),N(I86)&gt;0),J86*100*I86+I86*'参数'!$C$16,""))</f>
        <v/>
      </c>
      <c r="T86" s="53" t="str">
        <f>IF(AND(ISNUMBER(L86),ISNUMBER(M86),ISNUMBER(J86),N(I86)&gt;0),IF(E86="卖方",J86-M86,M86-J86)*100*I86-IF(ISNUMBER(Q86),Q86,P86),"")</f>
        <v/>
      </c>
      <c r="U86" s="45" t="str">
        <f>IF(AND(ISNUMBER(T86),N(S86)&gt;0),T86/S86,"")</f>
        <v/>
      </c>
      <c r="V86" s="31" t="n"/>
    </row>
    <row r="87">
      <c r="A87" s="29" t="n"/>
      <c r="B87" s="30" t="n"/>
      <c r="C87" s="31" t="n"/>
      <c r="D87" s="32" t="n"/>
      <c r="E87" s="32" t="n"/>
      <c r="F87" s="54" t="n"/>
      <c r="G87" s="30" t="n"/>
      <c r="H87" s="42" t="str">
        <f>IF(AND(ISNUMBER(G87),ISNUMBER(B87)),G87-B87,"")</f>
        <v/>
      </c>
      <c r="I87" s="29" t="n"/>
      <c r="J87" s="54" t="n"/>
      <c r="K87" s="18" t="n"/>
      <c r="L87" s="30" t="n"/>
      <c r="M87" s="54" t="n"/>
      <c r="N87" s="18" t="n"/>
      <c r="O87" s="42" t="str">
        <f>IF(OR(ISNUMBER(L87),NOT(ISNUMBER(G87))),"",G87-$D$3)</f>
        <v/>
      </c>
      <c r="P87" s="20" t="str">
        <f>IF(N(I87)=0,"",I87*'参数'!$C$16*IF(ISNUMBER(L87),IF(N(M87)=0,1,2),1))</f>
        <v/>
      </c>
      <c r="Q87" s="23" t="n"/>
      <c r="R87" s="23" t="n"/>
      <c r="S87" s="20" t="str">
        <f>IF(ISNUMBER(R87),R87,IF(AND(E87="买方",ISNUMBER(J87),N(I87)&gt;0),J87*100*I87+I87*'参数'!$C$16,""))</f>
        <v/>
      </c>
      <c r="T87" s="53" t="str">
        <f>IF(AND(ISNUMBER(L87),ISNUMBER(M87),ISNUMBER(J87),N(I87)&gt;0),IF(E87="卖方",J87-M87,M87-J87)*100*I87-IF(ISNUMBER(Q87),Q87,P87),"")</f>
        <v/>
      </c>
      <c r="U87" s="45" t="str">
        <f>IF(AND(ISNUMBER(T87),N(S87)&gt;0),T87/S87,"")</f>
        <v/>
      </c>
      <c r="V87" s="31" t="n"/>
    </row>
    <row r="88">
      <c r="A88" s="29" t="n"/>
      <c r="B88" s="30" t="n"/>
      <c r="C88" s="31" t="n"/>
      <c r="D88" s="32" t="n"/>
      <c r="E88" s="32" t="n"/>
      <c r="F88" s="54" t="n"/>
      <c r="G88" s="30" t="n"/>
      <c r="H88" s="42" t="str">
        <f>IF(AND(ISNUMBER(G88),ISNUMBER(B88)),G88-B88,"")</f>
        <v/>
      </c>
      <c r="I88" s="29" t="n"/>
      <c r="J88" s="54" t="n"/>
      <c r="K88" s="18" t="n"/>
      <c r="L88" s="30" t="n"/>
      <c r="M88" s="54" t="n"/>
      <c r="N88" s="18" t="n"/>
      <c r="O88" s="42" t="str">
        <f>IF(OR(ISNUMBER(L88),NOT(ISNUMBER(G88))),"",G88-$D$3)</f>
        <v/>
      </c>
      <c r="P88" s="20" t="str">
        <f>IF(N(I88)=0,"",I88*'参数'!$C$16*IF(ISNUMBER(L88),IF(N(M88)=0,1,2),1))</f>
        <v/>
      </c>
      <c r="Q88" s="23" t="n"/>
      <c r="R88" s="23" t="n"/>
      <c r="S88" s="20" t="str">
        <f>IF(ISNUMBER(R88),R88,IF(AND(E88="买方",ISNUMBER(J88),N(I88)&gt;0),J88*100*I88+I88*'参数'!$C$16,""))</f>
        <v/>
      </c>
      <c r="T88" s="53" t="str">
        <f>IF(AND(ISNUMBER(L88),ISNUMBER(M88),ISNUMBER(J88),N(I88)&gt;0),IF(E88="卖方",J88-M88,M88-J88)*100*I88-IF(ISNUMBER(Q88),Q88,P88),"")</f>
        <v/>
      </c>
      <c r="U88" s="45" t="str">
        <f>IF(AND(ISNUMBER(T88),N(S88)&gt;0),T88/S88,"")</f>
        <v/>
      </c>
      <c r="V88" s="31" t="n"/>
    </row>
    <row r="89">
      <c r="A89" s="29" t="n"/>
      <c r="B89" s="30" t="n"/>
      <c r="C89" s="31" t="n"/>
      <c r="D89" s="32" t="n"/>
      <c r="E89" s="32" t="n"/>
      <c r="F89" s="54" t="n"/>
      <c r="G89" s="30" t="n"/>
      <c r="H89" s="42" t="str">
        <f>IF(AND(ISNUMBER(G89),ISNUMBER(B89)),G89-B89,"")</f>
        <v/>
      </c>
      <c r="I89" s="29" t="n"/>
      <c r="J89" s="54" t="n"/>
      <c r="K89" s="18" t="n"/>
      <c r="L89" s="30" t="n"/>
      <c r="M89" s="54" t="n"/>
      <c r="N89" s="18" t="n"/>
      <c r="O89" s="42" t="str">
        <f>IF(OR(ISNUMBER(L89),NOT(ISNUMBER(G89))),"",G89-$D$3)</f>
        <v/>
      </c>
      <c r="P89" s="20" t="str">
        <f>IF(N(I89)=0,"",I89*'参数'!$C$16*IF(ISNUMBER(L89),IF(N(M89)=0,1,2),1))</f>
        <v/>
      </c>
      <c r="Q89" s="23" t="n"/>
      <c r="R89" s="23" t="n"/>
      <c r="S89" s="20" t="str">
        <f>IF(ISNUMBER(R89),R89,IF(AND(E89="买方",ISNUMBER(J89),N(I89)&gt;0),J89*100*I89+I89*'参数'!$C$16,""))</f>
        <v/>
      </c>
      <c r="T89" s="53" t="str">
        <f>IF(AND(ISNUMBER(L89),ISNUMBER(M89),ISNUMBER(J89),N(I89)&gt;0),IF(E89="卖方",J89-M89,M89-J89)*100*I89-IF(ISNUMBER(Q89),Q89,P89),"")</f>
        <v/>
      </c>
      <c r="U89" s="45" t="str">
        <f>IF(AND(ISNUMBER(T89),N(S89)&gt;0),T89/S89,"")</f>
        <v/>
      </c>
      <c r="V89" s="31" t="n"/>
    </row>
    <row r="90">
      <c r="A90" s="29" t="n"/>
      <c r="B90" s="30" t="n"/>
      <c r="C90" s="31" t="n"/>
      <c r="D90" s="32" t="n"/>
      <c r="E90" s="32" t="n"/>
      <c r="F90" s="54" t="n"/>
      <c r="G90" s="30" t="n"/>
      <c r="H90" s="42" t="str">
        <f>IF(AND(ISNUMBER(G90),ISNUMBER(B90)),G90-B90,"")</f>
        <v/>
      </c>
      <c r="I90" s="29" t="n"/>
      <c r="J90" s="54" t="n"/>
      <c r="K90" s="18" t="n"/>
      <c r="L90" s="30" t="n"/>
      <c r="M90" s="54" t="n"/>
      <c r="N90" s="18" t="n"/>
      <c r="O90" s="42" t="str">
        <f>IF(OR(ISNUMBER(L90),NOT(ISNUMBER(G90))),"",G90-$D$3)</f>
        <v/>
      </c>
      <c r="P90" s="20" t="str">
        <f>IF(N(I90)=0,"",I90*'参数'!$C$16*IF(ISNUMBER(L90),IF(N(M90)=0,1,2),1))</f>
        <v/>
      </c>
      <c r="Q90" s="23" t="n"/>
      <c r="R90" s="23" t="n"/>
      <c r="S90" s="20" t="str">
        <f>IF(ISNUMBER(R90),R90,IF(AND(E90="买方",ISNUMBER(J90),N(I90)&gt;0),J90*100*I90+I90*'参数'!$C$16,""))</f>
        <v/>
      </c>
      <c r="T90" s="53" t="str">
        <f>IF(AND(ISNUMBER(L90),ISNUMBER(M90),ISNUMBER(J90),N(I90)&gt;0),IF(E90="卖方",J90-M90,M90-J90)*100*I90-IF(ISNUMBER(Q90),Q90,P90),"")</f>
        <v/>
      </c>
      <c r="U90" s="45" t="str">
        <f>IF(AND(ISNUMBER(T90),N(S90)&gt;0),T90/S90,"")</f>
        <v/>
      </c>
      <c r="V90" s="31" t="n"/>
    </row>
    <row r="91">
      <c r="A91" s="29" t="n"/>
      <c r="B91" s="30" t="n"/>
      <c r="C91" s="31" t="n"/>
      <c r="D91" s="32" t="n"/>
      <c r="E91" s="32" t="n"/>
      <c r="F91" s="54" t="n"/>
      <c r="G91" s="30" t="n"/>
      <c r="H91" s="42" t="str">
        <f>IF(AND(ISNUMBER(G91),ISNUMBER(B91)),G91-B91,"")</f>
        <v/>
      </c>
      <c r="I91" s="29" t="n"/>
      <c r="J91" s="54" t="n"/>
      <c r="K91" s="18" t="n"/>
      <c r="L91" s="30" t="n"/>
      <c r="M91" s="54" t="n"/>
      <c r="N91" s="18" t="n"/>
      <c r="O91" s="42" t="str">
        <f>IF(OR(ISNUMBER(L91),NOT(ISNUMBER(G91))),"",G91-$D$3)</f>
        <v/>
      </c>
      <c r="P91" s="20" t="str">
        <f>IF(N(I91)=0,"",I91*'参数'!$C$16*IF(ISNUMBER(L91),IF(N(M91)=0,1,2),1))</f>
        <v/>
      </c>
      <c r="Q91" s="23" t="n"/>
      <c r="R91" s="23" t="n"/>
      <c r="S91" s="20" t="str">
        <f>IF(ISNUMBER(R91),R91,IF(AND(E91="买方",ISNUMBER(J91),N(I91)&gt;0),J91*100*I91+I91*'参数'!$C$16,""))</f>
        <v/>
      </c>
      <c r="T91" s="53" t="str">
        <f>IF(AND(ISNUMBER(L91),ISNUMBER(M91),ISNUMBER(J91),N(I91)&gt;0),IF(E91="卖方",J91-M91,M91-J91)*100*I91-IF(ISNUMBER(Q91),Q91,P91),"")</f>
        <v/>
      </c>
      <c r="U91" s="45" t="str">
        <f>IF(AND(ISNUMBER(T91),N(S91)&gt;0),T91/S91,"")</f>
        <v/>
      </c>
      <c r="V91" s="31" t="n"/>
    </row>
    <row r="92">
      <c r="A92" s="29" t="n"/>
      <c r="B92" s="30" t="n"/>
      <c r="C92" s="31" t="n"/>
      <c r="D92" s="32" t="n"/>
      <c r="E92" s="32" t="n"/>
      <c r="F92" s="54" t="n"/>
      <c r="G92" s="30" t="n"/>
      <c r="H92" s="42" t="str">
        <f>IF(AND(ISNUMBER(G92),ISNUMBER(B92)),G92-B92,"")</f>
        <v/>
      </c>
      <c r="I92" s="29" t="n"/>
      <c r="J92" s="54" t="n"/>
      <c r="K92" s="18" t="n"/>
      <c r="L92" s="30" t="n"/>
      <c r="M92" s="54" t="n"/>
      <c r="N92" s="18" t="n"/>
      <c r="O92" s="42" t="str">
        <f>IF(OR(ISNUMBER(L92),NOT(ISNUMBER(G92))),"",G92-$D$3)</f>
        <v/>
      </c>
      <c r="P92" s="20" t="str">
        <f>IF(N(I92)=0,"",I92*'参数'!$C$16*IF(ISNUMBER(L92),IF(N(M92)=0,1,2),1))</f>
        <v/>
      </c>
      <c r="Q92" s="23" t="n"/>
      <c r="R92" s="23" t="n"/>
      <c r="S92" s="20" t="str">
        <f>IF(ISNUMBER(R92),R92,IF(AND(E92="买方",ISNUMBER(J92),N(I92)&gt;0),J92*100*I92+I92*'参数'!$C$16,""))</f>
        <v/>
      </c>
      <c r="T92" s="53" t="str">
        <f>IF(AND(ISNUMBER(L92),ISNUMBER(M92),ISNUMBER(J92),N(I92)&gt;0),IF(E92="卖方",J92-M92,M92-J92)*100*I92-IF(ISNUMBER(Q92),Q92,P92),"")</f>
        <v/>
      </c>
      <c r="U92" s="45" t="str">
        <f>IF(AND(ISNUMBER(T92),N(S92)&gt;0),T92/S92,"")</f>
        <v/>
      </c>
      <c r="V92" s="31" t="n"/>
    </row>
    <row r="93">
      <c r="A93" s="29" t="n"/>
      <c r="B93" s="30" t="n"/>
      <c r="C93" s="31" t="n"/>
      <c r="D93" s="32" t="n"/>
      <c r="E93" s="32" t="n"/>
      <c r="F93" s="54" t="n"/>
      <c r="G93" s="30" t="n"/>
      <c r="H93" s="42" t="str">
        <f>IF(AND(ISNUMBER(G93),ISNUMBER(B93)),G93-B93,"")</f>
        <v/>
      </c>
      <c r="I93" s="29" t="n"/>
      <c r="J93" s="54" t="n"/>
      <c r="K93" s="18" t="n"/>
      <c r="L93" s="30" t="n"/>
      <c r="M93" s="54" t="n"/>
      <c r="N93" s="18" t="n"/>
      <c r="O93" s="42" t="str">
        <f>IF(OR(ISNUMBER(L93),NOT(ISNUMBER(G93))),"",G93-$D$3)</f>
        <v/>
      </c>
      <c r="P93" s="20" t="str">
        <f>IF(N(I93)=0,"",I93*'参数'!$C$16*IF(ISNUMBER(L93),IF(N(M93)=0,1,2),1))</f>
        <v/>
      </c>
      <c r="Q93" s="23" t="n"/>
      <c r="R93" s="23" t="n"/>
      <c r="S93" s="20" t="str">
        <f>IF(ISNUMBER(R93),R93,IF(AND(E93="买方",ISNUMBER(J93),N(I93)&gt;0),J93*100*I93+I93*'参数'!$C$16,""))</f>
        <v/>
      </c>
      <c r="T93" s="53" t="str">
        <f>IF(AND(ISNUMBER(L93),ISNUMBER(M93),ISNUMBER(J93),N(I93)&gt;0),IF(E93="卖方",J93-M93,M93-J93)*100*I93-IF(ISNUMBER(Q93),Q93,P93),"")</f>
        <v/>
      </c>
      <c r="U93" s="45" t="str">
        <f>IF(AND(ISNUMBER(T93),N(S93)&gt;0),T93/S93,"")</f>
        <v/>
      </c>
      <c r="V93" s="31" t="n"/>
    </row>
    <row r="94">
      <c r="A94" s="29" t="n"/>
      <c r="B94" s="30" t="n"/>
      <c r="C94" s="31" t="n"/>
      <c r="D94" s="32" t="n"/>
      <c r="E94" s="32" t="n"/>
      <c r="F94" s="54" t="n"/>
      <c r="G94" s="30" t="n"/>
      <c r="H94" s="42" t="str">
        <f>IF(AND(ISNUMBER(G94),ISNUMBER(B94)),G94-B94,"")</f>
        <v/>
      </c>
      <c r="I94" s="29" t="n"/>
      <c r="J94" s="54" t="n"/>
      <c r="K94" s="18" t="n"/>
      <c r="L94" s="30" t="n"/>
      <c r="M94" s="54" t="n"/>
      <c r="N94" s="18" t="n"/>
      <c r="O94" s="42" t="str">
        <f>IF(OR(ISNUMBER(L94),NOT(ISNUMBER(G94))),"",G94-$D$3)</f>
        <v/>
      </c>
      <c r="P94" s="20" t="str">
        <f>IF(N(I94)=0,"",I94*'参数'!$C$16*IF(ISNUMBER(L94),IF(N(M94)=0,1,2),1))</f>
        <v/>
      </c>
      <c r="Q94" s="23" t="n"/>
      <c r="R94" s="23" t="n"/>
      <c r="S94" s="20" t="str">
        <f>IF(ISNUMBER(R94),R94,IF(AND(E94="买方",ISNUMBER(J94),N(I94)&gt;0),J94*100*I94+I94*'参数'!$C$16,""))</f>
        <v/>
      </c>
      <c r="T94" s="53" t="str">
        <f>IF(AND(ISNUMBER(L94),ISNUMBER(M94),ISNUMBER(J94),N(I94)&gt;0),IF(E94="卖方",J94-M94,M94-J94)*100*I94-IF(ISNUMBER(Q94),Q94,P94),"")</f>
        <v/>
      </c>
      <c r="U94" s="45" t="str">
        <f>IF(AND(ISNUMBER(T94),N(S94)&gt;0),T94/S94,"")</f>
        <v/>
      </c>
      <c r="V94" s="31" t="n"/>
    </row>
    <row r="95">
      <c r="A95" s="29" t="n"/>
      <c r="B95" s="30" t="n"/>
      <c r="C95" s="31" t="n"/>
      <c r="D95" s="32" t="n"/>
      <c r="E95" s="32" t="n"/>
      <c r="F95" s="54" t="n"/>
      <c r="G95" s="30" t="n"/>
      <c r="H95" s="42" t="str">
        <f>IF(AND(ISNUMBER(G95),ISNUMBER(B95)),G95-B95,"")</f>
        <v/>
      </c>
      <c r="I95" s="29" t="n"/>
      <c r="J95" s="54" t="n"/>
      <c r="K95" s="18" t="n"/>
      <c r="L95" s="30" t="n"/>
      <c r="M95" s="54" t="n"/>
      <c r="N95" s="18" t="n"/>
      <c r="O95" s="42" t="str">
        <f>IF(OR(ISNUMBER(L95),NOT(ISNUMBER(G95))),"",G95-$D$3)</f>
        <v/>
      </c>
      <c r="P95" s="20" t="str">
        <f>IF(N(I95)=0,"",I95*'参数'!$C$16*IF(ISNUMBER(L95),IF(N(M95)=0,1,2),1))</f>
        <v/>
      </c>
      <c r="Q95" s="23" t="n"/>
      <c r="R95" s="23" t="n"/>
      <c r="S95" s="20" t="str">
        <f>IF(ISNUMBER(R95),R95,IF(AND(E95="买方",ISNUMBER(J95),N(I95)&gt;0),J95*100*I95+I95*'参数'!$C$16,""))</f>
        <v/>
      </c>
      <c r="T95" s="53" t="str">
        <f>IF(AND(ISNUMBER(L95),ISNUMBER(M95),ISNUMBER(J95),N(I95)&gt;0),IF(E95="卖方",J95-M95,M95-J95)*100*I95-IF(ISNUMBER(Q95),Q95,P95),"")</f>
        <v/>
      </c>
      <c r="U95" s="45" t="str">
        <f>IF(AND(ISNUMBER(T95),N(S95)&gt;0),T95/S95,"")</f>
        <v/>
      </c>
      <c r="V95" s="31" t="n"/>
    </row>
    <row r="96">
      <c r="A96" s="29" t="n"/>
      <c r="B96" s="30" t="n"/>
      <c r="C96" s="31" t="n"/>
      <c r="D96" s="32" t="n"/>
      <c r="E96" s="32" t="n"/>
      <c r="F96" s="54" t="n"/>
      <c r="G96" s="30" t="n"/>
      <c r="H96" s="42" t="str">
        <f>IF(AND(ISNUMBER(G96),ISNUMBER(B96)),G96-B96,"")</f>
        <v/>
      </c>
      <c r="I96" s="29" t="n"/>
      <c r="J96" s="54" t="n"/>
      <c r="K96" s="18" t="n"/>
      <c r="L96" s="30" t="n"/>
      <c r="M96" s="54" t="n"/>
      <c r="N96" s="18" t="n"/>
      <c r="O96" s="42" t="str">
        <f>IF(OR(ISNUMBER(L96),NOT(ISNUMBER(G96))),"",G96-$D$3)</f>
        <v/>
      </c>
      <c r="P96" s="20" t="str">
        <f>IF(N(I96)=0,"",I96*'参数'!$C$16*IF(ISNUMBER(L96),IF(N(M96)=0,1,2),1))</f>
        <v/>
      </c>
      <c r="Q96" s="23" t="n"/>
      <c r="R96" s="23" t="n"/>
      <c r="S96" s="20" t="str">
        <f>IF(ISNUMBER(R96),R96,IF(AND(E96="买方",ISNUMBER(J96),N(I96)&gt;0),J96*100*I96+I96*'参数'!$C$16,""))</f>
        <v/>
      </c>
      <c r="T96" s="53" t="str">
        <f>IF(AND(ISNUMBER(L96),ISNUMBER(M96),ISNUMBER(J96),N(I96)&gt;0),IF(E96="卖方",J96-M96,M96-J96)*100*I96-IF(ISNUMBER(Q96),Q96,P96),"")</f>
        <v/>
      </c>
      <c r="U96" s="45" t="str">
        <f>IF(AND(ISNUMBER(T96),N(S96)&gt;0),T96/S96,"")</f>
        <v/>
      </c>
      <c r="V96" s="31" t="n"/>
    </row>
    <row r="97">
      <c r="A97" s="29" t="n"/>
      <c r="B97" s="30" t="n"/>
      <c r="C97" s="31" t="n"/>
      <c r="D97" s="32" t="n"/>
      <c r="E97" s="32" t="n"/>
      <c r="F97" s="54" t="n"/>
      <c r="G97" s="30" t="n"/>
      <c r="H97" s="42" t="str">
        <f>IF(AND(ISNUMBER(G97),ISNUMBER(B97)),G97-B97,"")</f>
        <v/>
      </c>
      <c r="I97" s="29" t="n"/>
      <c r="J97" s="54" t="n"/>
      <c r="K97" s="18" t="n"/>
      <c r="L97" s="30" t="n"/>
      <c r="M97" s="54" t="n"/>
      <c r="N97" s="18" t="n"/>
      <c r="O97" s="42" t="str">
        <f>IF(OR(ISNUMBER(L97),NOT(ISNUMBER(G97))),"",G97-$D$3)</f>
        <v/>
      </c>
      <c r="P97" s="20" t="str">
        <f>IF(N(I97)=0,"",I97*'参数'!$C$16*IF(ISNUMBER(L97),IF(N(M97)=0,1,2),1))</f>
        <v/>
      </c>
      <c r="Q97" s="23" t="n"/>
      <c r="R97" s="23" t="n"/>
      <c r="S97" s="20" t="str">
        <f>IF(ISNUMBER(R97),R97,IF(AND(E97="买方",ISNUMBER(J97),N(I97)&gt;0),J97*100*I97+I97*'参数'!$C$16,""))</f>
        <v/>
      </c>
      <c r="T97" s="53" t="str">
        <f>IF(AND(ISNUMBER(L97),ISNUMBER(M97),ISNUMBER(J97),N(I97)&gt;0),IF(E97="卖方",J97-M97,M97-J97)*100*I97-IF(ISNUMBER(Q97),Q97,P97),"")</f>
        <v/>
      </c>
      <c r="U97" s="45" t="str">
        <f>IF(AND(ISNUMBER(T97),N(S97)&gt;0),T97/S97,"")</f>
        <v/>
      </c>
      <c r="V97" s="31" t="n"/>
    </row>
    <row r="98">
      <c r="A98" s="29" t="n"/>
      <c r="B98" s="30" t="n"/>
      <c r="C98" s="31" t="n"/>
      <c r="D98" s="32" t="n"/>
      <c r="E98" s="32" t="n"/>
      <c r="F98" s="54" t="n"/>
      <c r="G98" s="30" t="n"/>
      <c r="H98" s="42" t="str">
        <f>IF(AND(ISNUMBER(G98),ISNUMBER(B98)),G98-B98,"")</f>
        <v/>
      </c>
      <c r="I98" s="29" t="n"/>
      <c r="J98" s="54" t="n"/>
      <c r="K98" s="18" t="n"/>
      <c r="L98" s="30" t="n"/>
      <c r="M98" s="54" t="n"/>
      <c r="N98" s="18" t="n"/>
      <c r="O98" s="42" t="str">
        <f>IF(OR(ISNUMBER(L98),NOT(ISNUMBER(G98))),"",G98-$D$3)</f>
        <v/>
      </c>
      <c r="P98" s="20" t="str">
        <f>IF(N(I98)=0,"",I98*'参数'!$C$16*IF(ISNUMBER(L98),IF(N(M98)=0,1,2),1))</f>
        <v/>
      </c>
      <c r="Q98" s="23" t="n"/>
      <c r="R98" s="23" t="n"/>
      <c r="S98" s="20" t="str">
        <f>IF(ISNUMBER(R98),R98,IF(AND(E98="买方",ISNUMBER(J98),N(I98)&gt;0),J98*100*I98+I98*'参数'!$C$16,""))</f>
        <v/>
      </c>
      <c r="T98" s="53" t="str">
        <f>IF(AND(ISNUMBER(L98),ISNUMBER(M98),ISNUMBER(J98),N(I98)&gt;0),IF(E98="卖方",J98-M98,M98-J98)*100*I98-IF(ISNUMBER(Q98),Q98,P98),"")</f>
        <v/>
      </c>
      <c r="U98" s="45" t="str">
        <f>IF(AND(ISNUMBER(T98),N(S98)&gt;0),T98/S98,"")</f>
        <v/>
      </c>
      <c r="V98" s="31" t="n"/>
    </row>
    <row r="99">
      <c r="A99" s="29" t="n"/>
      <c r="B99" s="30" t="n"/>
      <c r="C99" s="31" t="n"/>
      <c r="D99" s="32" t="n"/>
      <c r="E99" s="32" t="n"/>
      <c r="F99" s="54" t="n"/>
      <c r="G99" s="30" t="n"/>
      <c r="H99" s="42" t="str">
        <f>IF(AND(ISNUMBER(G99),ISNUMBER(B99)),G99-B99,"")</f>
        <v/>
      </c>
      <c r="I99" s="29" t="n"/>
      <c r="J99" s="54" t="n"/>
      <c r="K99" s="18" t="n"/>
      <c r="L99" s="30" t="n"/>
      <c r="M99" s="54" t="n"/>
      <c r="N99" s="18" t="n"/>
      <c r="O99" s="42" t="str">
        <f>IF(OR(ISNUMBER(L99),NOT(ISNUMBER(G99))),"",G99-$D$3)</f>
        <v/>
      </c>
      <c r="P99" s="20" t="str">
        <f>IF(N(I99)=0,"",I99*'参数'!$C$16*IF(ISNUMBER(L99),IF(N(M99)=0,1,2),1))</f>
        <v/>
      </c>
      <c r="Q99" s="23" t="n"/>
      <c r="R99" s="23" t="n"/>
      <c r="S99" s="20" t="str">
        <f>IF(ISNUMBER(R99),R99,IF(AND(E99="买方",ISNUMBER(J99),N(I99)&gt;0),J99*100*I99+I99*'参数'!$C$16,""))</f>
        <v/>
      </c>
      <c r="T99" s="53" t="str">
        <f>IF(AND(ISNUMBER(L99),ISNUMBER(M99),ISNUMBER(J99),N(I99)&gt;0),IF(E99="卖方",J99-M99,M99-J99)*100*I99-IF(ISNUMBER(Q99),Q99,P99),"")</f>
        <v/>
      </c>
      <c r="U99" s="45" t="str">
        <f>IF(AND(ISNUMBER(T99),N(S99)&gt;0),T99/S99,"")</f>
        <v/>
      </c>
      <c r="V99" s="31" t="n"/>
    </row>
    <row r="100">
      <c r="A100" s="29" t="n"/>
      <c r="B100" s="30" t="n"/>
      <c r="C100" s="31" t="n"/>
      <c r="D100" s="32" t="n"/>
      <c r="E100" s="32" t="n"/>
      <c r="F100" s="54" t="n"/>
      <c r="G100" s="30" t="n"/>
      <c r="H100" s="42" t="str">
        <f>IF(AND(ISNUMBER(G100),ISNUMBER(B100)),G100-B100,"")</f>
        <v/>
      </c>
      <c r="I100" s="29" t="n"/>
      <c r="J100" s="54" t="n"/>
      <c r="K100" s="18" t="n"/>
      <c r="L100" s="30" t="n"/>
      <c r="M100" s="54" t="n"/>
      <c r="N100" s="18" t="n"/>
      <c r="O100" s="42" t="str">
        <f>IF(OR(ISNUMBER(L100),NOT(ISNUMBER(G100))),"",G100-$D$3)</f>
        <v/>
      </c>
      <c r="P100" s="20" t="str">
        <f>IF(N(I100)=0,"",I100*'参数'!$C$16*IF(ISNUMBER(L100),IF(N(M100)=0,1,2),1))</f>
        <v/>
      </c>
      <c r="Q100" s="23" t="n"/>
      <c r="R100" s="23" t="n"/>
      <c r="S100" s="20" t="str">
        <f>IF(ISNUMBER(R100),R100,IF(AND(E100="买方",ISNUMBER(J100),N(I100)&gt;0),J100*100*I100+I100*'参数'!$C$16,""))</f>
        <v/>
      </c>
      <c r="T100" s="53" t="str">
        <f>IF(AND(ISNUMBER(L100),ISNUMBER(M100),ISNUMBER(J100),N(I100)&gt;0),IF(E100="卖方",J100-M100,M100-J100)*100*I100-IF(ISNUMBER(Q100),Q100,P100),"")</f>
        <v/>
      </c>
      <c r="U100" s="45" t="str">
        <f>IF(AND(ISNUMBER(T100),N(S100)&gt;0),T100/S100,"")</f>
        <v/>
      </c>
      <c r="V100" s="31" t="n"/>
    </row>
    <row r="101">
      <c r="A101" s="29" t="n"/>
      <c r="B101" s="30" t="n"/>
      <c r="C101" s="31" t="n"/>
      <c r="D101" s="32" t="n"/>
      <c r="E101" s="32" t="n"/>
      <c r="F101" s="54" t="n"/>
      <c r="G101" s="30" t="n"/>
      <c r="H101" s="42" t="str">
        <f>IF(AND(ISNUMBER(G101),ISNUMBER(B101)),G101-B101,"")</f>
        <v/>
      </c>
      <c r="I101" s="29" t="n"/>
      <c r="J101" s="54" t="n"/>
      <c r="K101" s="18" t="n"/>
      <c r="L101" s="30" t="n"/>
      <c r="M101" s="54" t="n"/>
      <c r="N101" s="18" t="n"/>
      <c r="O101" s="42" t="str">
        <f>IF(OR(ISNUMBER(L101),NOT(ISNUMBER(G101))),"",G101-$D$3)</f>
        <v/>
      </c>
      <c r="P101" s="20" t="str">
        <f>IF(N(I101)=0,"",I101*'参数'!$C$16*IF(ISNUMBER(L101),IF(N(M101)=0,1,2),1))</f>
        <v/>
      </c>
      <c r="Q101" s="23" t="n"/>
      <c r="R101" s="23" t="n"/>
      <c r="S101" s="20" t="str">
        <f>IF(ISNUMBER(R101),R101,IF(AND(E101="买方",ISNUMBER(J101),N(I101)&gt;0),J101*100*I101+I101*'参数'!$C$16,""))</f>
        <v/>
      </c>
      <c r="T101" s="53" t="str">
        <f>IF(AND(ISNUMBER(L101),ISNUMBER(M101),ISNUMBER(J101),N(I101)&gt;0),IF(E101="卖方",J101-M101,M101-J101)*100*I101-IF(ISNUMBER(Q101),Q101,P101),"")</f>
        <v/>
      </c>
      <c r="U101" s="45" t="str">
        <f>IF(AND(ISNUMBER(T101),N(S101)&gt;0),T101/S101,"")</f>
        <v/>
      </c>
      <c r="V101" s="31" t="n"/>
    </row>
    <row r="102">
      <c r="A102" s="29" t="n"/>
      <c r="B102" s="30" t="n"/>
      <c r="C102" s="31" t="n"/>
      <c r="D102" s="32" t="n"/>
      <c r="E102" s="32" t="n"/>
      <c r="F102" s="54" t="n"/>
      <c r="G102" s="30" t="n"/>
      <c r="H102" s="42" t="str">
        <f>IF(AND(ISNUMBER(G102),ISNUMBER(B102)),G102-B102,"")</f>
        <v/>
      </c>
      <c r="I102" s="29" t="n"/>
      <c r="J102" s="54" t="n"/>
      <c r="K102" s="18" t="n"/>
      <c r="L102" s="30" t="n"/>
      <c r="M102" s="54" t="n"/>
      <c r="N102" s="18" t="n"/>
      <c r="O102" s="42" t="str">
        <f>IF(OR(ISNUMBER(L102),NOT(ISNUMBER(G102))),"",G102-$D$3)</f>
        <v/>
      </c>
      <c r="P102" s="20" t="str">
        <f>IF(N(I102)=0,"",I102*'参数'!$C$16*IF(ISNUMBER(L102),IF(N(M102)=0,1,2),1))</f>
        <v/>
      </c>
      <c r="Q102" s="23" t="n"/>
      <c r="R102" s="23" t="n"/>
      <c r="S102" s="20" t="str">
        <f>IF(ISNUMBER(R102),R102,IF(AND(E102="买方",ISNUMBER(J102),N(I102)&gt;0),J102*100*I102+I102*'参数'!$C$16,""))</f>
        <v/>
      </c>
      <c r="T102" s="53" t="str">
        <f>IF(AND(ISNUMBER(L102),ISNUMBER(M102),ISNUMBER(J102),N(I102)&gt;0),IF(E102="卖方",J102-M102,M102-J102)*100*I102-IF(ISNUMBER(Q102),Q102,P102),"")</f>
        <v/>
      </c>
      <c r="U102" s="45" t="str">
        <f>IF(AND(ISNUMBER(T102),N(S102)&gt;0),T102/S102,"")</f>
        <v/>
      </c>
      <c r="V102" s="31" t="n"/>
    </row>
    <row r="103">
      <c r="A103" s="29" t="n"/>
      <c r="B103" s="30" t="n"/>
      <c r="C103" s="31" t="n"/>
      <c r="D103" s="32" t="n"/>
      <c r="E103" s="32" t="n"/>
      <c r="F103" s="54" t="n"/>
      <c r="G103" s="30" t="n"/>
      <c r="H103" s="42" t="str">
        <f>IF(AND(ISNUMBER(G103),ISNUMBER(B103)),G103-B103,"")</f>
        <v/>
      </c>
      <c r="I103" s="29" t="n"/>
      <c r="J103" s="54" t="n"/>
      <c r="K103" s="18" t="n"/>
      <c r="L103" s="30" t="n"/>
      <c r="M103" s="54" t="n"/>
      <c r="N103" s="18" t="n"/>
      <c r="O103" s="42" t="str">
        <f>IF(OR(ISNUMBER(L103),NOT(ISNUMBER(G103))),"",G103-$D$3)</f>
        <v/>
      </c>
      <c r="P103" s="20" t="str">
        <f>IF(N(I103)=0,"",I103*'参数'!$C$16*IF(ISNUMBER(L103),IF(N(M103)=0,1,2),1))</f>
        <v/>
      </c>
      <c r="Q103" s="23" t="n"/>
      <c r="R103" s="23" t="n"/>
      <c r="S103" s="20" t="str">
        <f>IF(ISNUMBER(R103),R103,IF(AND(E103="买方",ISNUMBER(J103),N(I103)&gt;0),J103*100*I103+I103*'参数'!$C$16,""))</f>
        <v/>
      </c>
      <c r="T103" s="53" t="str">
        <f>IF(AND(ISNUMBER(L103),ISNUMBER(M103),ISNUMBER(J103),N(I103)&gt;0),IF(E103="卖方",J103-M103,M103-J103)*100*I103-IF(ISNUMBER(Q103),Q103,P103),"")</f>
        <v/>
      </c>
      <c r="U103" s="45" t="str">
        <f>IF(AND(ISNUMBER(T103),N(S103)&gt;0),T103/S103,"")</f>
        <v/>
      </c>
      <c r="V103" s="31" t="n"/>
    </row>
    <row r="104">
      <c r="A104" s="29" t="n"/>
      <c r="B104" s="30" t="n"/>
      <c r="C104" s="31" t="n"/>
      <c r="D104" s="32" t="n"/>
      <c r="E104" s="32" t="n"/>
      <c r="F104" s="54" t="n"/>
      <c r="G104" s="30" t="n"/>
      <c r="H104" s="42" t="str">
        <f>IF(AND(ISNUMBER(G104),ISNUMBER(B104)),G104-B104,"")</f>
        <v/>
      </c>
      <c r="I104" s="29" t="n"/>
      <c r="J104" s="54" t="n"/>
      <c r="K104" s="18" t="n"/>
      <c r="L104" s="30" t="n"/>
      <c r="M104" s="54" t="n"/>
      <c r="N104" s="18" t="n"/>
      <c r="O104" s="42" t="str">
        <f>IF(OR(ISNUMBER(L104),NOT(ISNUMBER(G104))),"",G104-$D$3)</f>
        <v/>
      </c>
      <c r="P104" s="20" t="str">
        <f>IF(N(I104)=0,"",I104*'参数'!$C$16*IF(ISNUMBER(L104),IF(N(M104)=0,1,2),1))</f>
        <v/>
      </c>
      <c r="Q104" s="23" t="n"/>
      <c r="R104" s="23" t="n"/>
      <c r="S104" s="20" t="str">
        <f>IF(ISNUMBER(R104),R104,IF(AND(E104="买方",ISNUMBER(J104),N(I104)&gt;0),J104*100*I104+I104*'参数'!$C$16,""))</f>
        <v/>
      </c>
      <c r="T104" s="53" t="str">
        <f>IF(AND(ISNUMBER(L104),ISNUMBER(M104),ISNUMBER(J104),N(I104)&gt;0),IF(E104="卖方",J104-M104,M104-J104)*100*I104-IF(ISNUMBER(Q104),Q104,P104),"")</f>
        <v/>
      </c>
      <c r="U104" s="45" t="str">
        <f>IF(AND(ISNUMBER(T104),N(S104)&gt;0),T104/S104,"")</f>
        <v/>
      </c>
      <c r="V104" s="31" t="n"/>
    </row>
    <row r="105">
      <c r="A105" s="29" t="n"/>
      <c r="B105" s="30" t="n"/>
      <c r="C105" s="31" t="n"/>
      <c r="D105" s="32" t="n"/>
      <c r="E105" s="32" t="n"/>
      <c r="F105" s="54" t="n"/>
      <c r="G105" s="30" t="n"/>
      <c r="H105" s="42" t="str">
        <f>IF(AND(ISNUMBER(G105),ISNUMBER(B105)),G105-B105,"")</f>
        <v/>
      </c>
      <c r="I105" s="29" t="n"/>
      <c r="J105" s="54" t="n"/>
      <c r="K105" s="18" t="n"/>
      <c r="L105" s="30" t="n"/>
      <c r="M105" s="54" t="n"/>
      <c r="N105" s="18" t="n"/>
      <c r="O105" s="42" t="str">
        <f>IF(OR(ISNUMBER(L105),NOT(ISNUMBER(G105))),"",G105-$D$3)</f>
        <v/>
      </c>
      <c r="P105" s="20" t="str">
        <f>IF(N(I105)=0,"",I105*'参数'!$C$16*IF(ISNUMBER(L105),IF(N(M105)=0,1,2),1))</f>
        <v/>
      </c>
      <c r="Q105" s="23" t="n"/>
      <c r="R105" s="23" t="n"/>
      <c r="S105" s="20" t="str">
        <f>IF(ISNUMBER(R105),R105,IF(AND(E105="买方",ISNUMBER(J105),N(I105)&gt;0),J105*100*I105+I105*'参数'!$C$16,""))</f>
        <v/>
      </c>
      <c r="T105" s="53" t="str">
        <f>IF(AND(ISNUMBER(L105),ISNUMBER(M105),ISNUMBER(J105),N(I105)&gt;0),IF(E105="卖方",J105-M105,M105-J105)*100*I105-IF(ISNUMBER(Q105),Q105,P105),"")</f>
        <v/>
      </c>
      <c r="U105" s="45" t="str">
        <f>IF(AND(ISNUMBER(T105),N(S105)&gt;0),T105/S105,"")</f>
        <v/>
      </c>
      <c r="V105" s="31" t="n"/>
    </row>
    <row r="106">
      <c r="A106" s="29" t="n"/>
      <c r="B106" s="30" t="n"/>
      <c r="C106" s="31" t="n"/>
      <c r="D106" s="32" t="n"/>
      <c r="E106" s="32" t="n"/>
      <c r="F106" s="54" t="n"/>
      <c r="G106" s="30" t="n"/>
      <c r="H106" s="42" t="str">
        <f>IF(AND(ISNUMBER(G106),ISNUMBER(B106)),G106-B106,"")</f>
        <v/>
      </c>
      <c r="I106" s="29" t="n"/>
      <c r="J106" s="54" t="n"/>
      <c r="K106" s="18" t="n"/>
      <c r="L106" s="30" t="n"/>
      <c r="M106" s="54" t="n"/>
      <c r="N106" s="18" t="n"/>
      <c r="O106" s="42" t="str">
        <f>IF(OR(ISNUMBER(L106),NOT(ISNUMBER(G106))),"",G106-$D$3)</f>
        <v/>
      </c>
      <c r="P106" s="20" t="str">
        <f>IF(N(I106)=0,"",I106*'参数'!$C$16*IF(ISNUMBER(L106),IF(N(M106)=0,1,2),1))</f>
        <v/>
      </c>
      <c r="Q106" s="23" t="n"/>
      <c r="R106" s="23" t="n"/>
      <c r="S106" s="20" t="str">
        <f>IF(ISNUMBER(R106),R106,IF(AND(E106="买方",ISNUMBER(J106),N(I106)&gt;0),J106*100*I106+I106*'参数'!$C$16,""))</f>
        <v/>
      </c>
      <c r="T106" s="53" t="str">
        <f>IF(AND(ISNUMBER(L106),ISNUMBER(M106),ISNUMBER(J106),N(I106)&gt;0),IF(E106="卖方",J106-M106,M106-J106)*100*I106-IF(ISNUMBER(Q106),Q106,P106),"")</f>
        <v/>
      </c>
      <c r="U106" s="45" t="str">
        <f>IF(AND(ISNUMBER(T106),N(S106)&gt;0),T106/S106,"")</f>
        <v/>
      </c>
      <c r="V106" s="31" t="n"/>
    </row>
    <row r="107">
      <c r="A107" s="29" t="n"/>
      <c r="B107" s="30" t="n"/>
      <c r="C107" s="31" t="n"/>
      <c r="D107" s="32" t="n"/>
      <c r="E107" s="32" t="n"/>
      <c r="F107" s="54" t="n"/>
      <c r="G107" s="30" t="n"/>
      <c r="H107" s="42" t="str">
        <f>IF(AND(ISNUMBER(G107),ISNUMBER(B107)),G107-B107,"")</f>
        <v/>
      </c>
      <c r="I107" s="29" t="n"/>
      <c r="J107" s="54" t="n"/>
      <c r="K107" s="18" t="n"/>
      <c r="L107" s="30" t="n"/>
      <c r="M107" s="54" t="n"/>
      <c r="N107" s="18" t="n"/>
      <c r="O107" s="42" t="str">
        <f>IF(OR(ISNUMBER(L107),NOT(ISNUMBER(G107))),"",G107-$D$3)</f>
        <v/>
      </c>
      <c r="P107" s="20" t="str">
        <f>IF(N(I107)=0,"",I107*'参数'!$C$16*IF(ISNUMBER(L107),IF(N(M107)=0,1,2),1))</f>
        <v/>
      </c>
      <c r="Q107" s="23" t="n"/>
      <c r="R107" s="23" t="n"/>
      <c r="S107" s="20" t="str">
        <f>IF(ISNUMBER(R107),R107,IF(AND(E107="买方",ISNUMBER(J107),N(I107)&gt;0),J107*100*I107+I107*'参数'!$C$16,""))</f>
        <v/>
      </c>
      <c r="T107" s="53" t="str">
        <f>IF(AND(ISNUMBER(L107),ISNUMBER(M107),ISNUMBER(J107),N(I107)&gt;0),IF(E107="卖方",J107-M107,M107-J107)*100*I107-IF(ISNUMBER(Q107),Q107,P107),"")</f>
        <v/>
      </c>
      <c r="U107" s="45" t="str">
        <f>IF(AND(ISNUMBER(T107),N(S107)&gt;0),T107/S107,"")</f>
        <v/>
      </c>
      <c r="V107" s="31" t="n"/>
    </row>
    <row r="108">
      <c r="A108" s="29" t="n"/>
      <c r="B108" s="30" t="n"/>
      <c r="C108" s="31" t="n"/>
      <c r="D108" s="32" t="n"/>
      <c r="E108" s="32" t="n"/>
      <c r="F108" s="54" t="n"/>
      <c r="G108" s="30" t="n"/>
      <c r="H108" s="42" t="str">
        <f>IF(AND(ISNUMBER(G108),ISNUMBER(B108)),G108-B108,"")</f>
        <v/>
      </c>
      <c r="I108" s="29" t="n"/>
      <c r="J108" s="54" t="n"/>
      <c r="K108" s="18" t="n"/>
      <c r="L108" s="30" t="n"/>
      <c r="M108" s="54" t="n"/>
      <c r="N108" s="18" t="n"/>
      <c r="O108" s="42" t="str">
        <f>IF(OR(ISNUMBER(L108),NOT(ISNUMBER(G108))),"",G108-$D$3)</f>
        <v/>
      </c>
      <c r="P108" s="20" t="str">
        <f>IF(N(I108)=0,"",I108*'参数'!$C$16*IF(ISNUMBER(L108),IF(N(M108)=0,1,2),1))</f>
        <v/>
      </c>
      <c r="Q108" s="23" t="n"/>
      <c r="R108" s="23" t="n"/>
      <c r="S108" s="20" t="str">
        <f>IF(ISNUMBER(R108),R108,IF(AND(E108="买方",ISNUMBER(J108),N(I108)&gt;0),J108*100*I108+I108*'参数'!$C$16,""))</f>
        <v/>
      </c>
      <c r="T108" s="53" t="str">
        <f>IF(AND(ISNUMBER(L108),ISNUMBER(M108),ISNUMBER(J108),N(I108)&gt;0),IF(E108="卖方",J108-M108,M108-J108)*100*I108-IF(ISNUMBER(Q108),Q108,P108),"")</f>
        <v/>
      </c>
      <c r="U108" s="45" t="str">
        <f>IF(AND(ISNUMBER(T108),N(S108)&gt;0),T108/S108,"")</f>
        <v/>
      </c>
      <c r="V108" s="31" t="n"/>
    </row>
    <row r="109">
      <c r="A109" s="29" t="n"/>
      <c r="B109" s="30" t="n"/>
      <c r="C109" s="31" t="n"/>
      <c r="D109" s="32" t="n"/>
      <c r="E109" s="32" t="n"/>
      <c r="F109" s="54" t="n"/>
      <c r="G109" s="30" t="n"/>
      <c r="H109" s="42" t="str">
        <f>IF(AND(ISNUMBER(G109),ISNUMBER(B109)),G109-B109,"")</f>
        <v/>
      </c>
      <c r="I109" s="29" t="n"/>
      <c r="J109" s="54" t="n"/>
      <c r="K109" s="18" t="n"/>
      <c r="L109" s="30" t="n"/>
      <c r="M109" s="54" t="n"/>
      <c r="N109" s="18" t="n"/>
      <c r="O109" s="42" t="str">
        <f>IF(OR(ISNUMBER(L109),NOT(ISNUMBER(G109))),"",G109-$D$3)</f>
        <v/>
      </c>
      <c r="P109" s="20" t="str">
        <f>IF(N(I109)=0,"",I109*'参数'!$C$16*IF(ISNUMBER(L109),IF(N(M109)=0,1,2),1))</f>
        <v/>
      </c>
      <c r="Q109" s="23" t="n"/>
      <c r="R109" s="23" t="n"/>
      <c r="S109" s="20" t="str">
        <f>IF(ISNUMBER(R109),R109,IF(AND(E109="买方",ISNUMBER(J109),N(I109)&gt;0),J109*100*I109+I109*'参数'!$C$16,""))</f>
        <v/>
      </c>
      <c r="T109" s="53" t="str">
        <f>IF(AND(ISNUMBER(L109),ISNUMBER(M109),ISNUMBER(J109),N(I109)&gt;0),IF(E109="卖方",J109-M109,M109-J109)*100*I109-IF(ISNUMBER(Q109),Q109,P109),"")</f>
        <v/>
      </c>
      <c r="U109" s="45" t="str">
        <f>IF(AND(ISNUMBER(T109),N(S109)&gt;0),T109/S109,"")</f>
        <v/>
      </c>
      <c r="V109" s="31" t="n"/>
    </row>
    <row r="110">
      <c r="A110" s="29" t="n"/>
      <c r="B110" s="30" t="n"/>
      <c r="C110" s="31" t="n"/>
      <c r="D110" s="32" t="n"/>
      <c r="E110" s="32" t="n"/>
      <c r="F110" s="54" t="n"/>
      <c r="G110" s="30" t="n"/>
      <c r="H110" s="42" t="str">
        <f>IF(AND(ISNUMBER(G110),ISNUMBER(B110)),G110-B110,"")</f>
        <v/>
      </c>
      <c r="I110" s="29" t="n"/>
      <c r="J110" s="54" t="n"/>
      <c r="K110" s="18" t="n"/>
      <c r="L110" s="30" t="n"/>
      <c r="M110" s="54" t="n"/>
      <c r="N110" s="18" t="n"/>
      <c r="O110" s="42" t="str">
        <f>IF(OR(ISNUMBER(L110),NOT(ISNUMBER(G110))),"",G110-$D$3)</f>
        <v/>
      </c>
      <c r="P110" s="20" t="str">
        <f>IF(N(I110)=0,"",I110*'参数'!$C$16*IF(ISNUMBER(L110),IF(N(M110)=0,1,2),1))</f>
        <v/>
      </c>
      <c r="Q110" s="23" t="n"/>
      <c r="R110" s="23" t="n"/>
      <c r="S110" s="20" t="str">
        <f>IF(ISNUMBER(R110),R110,IF(AND(E110="买方",ISNUMBER(J110),N(I110)&gt;0),J110*100*I110+I110*'参数'!$C$16,""))</f>
        <v/>
      </c>
      <c r="T110" s="53" t="str">
        <f>IF(AND(ISNUMBER(L110),ISNUMBER(M110),ISNUMBER(J110),N(I110)&gt;0),IF(E110="卖方",J110-M110,M110-J110)*100*I110-IF(ISNUMBER(Q110),Q110,P110),"")</f>
        <v/>
      </c>
      <c r="U110" s="45" t="str">
        <f>IF(AND(ISNUMBER(T110),N(S110)&gt;0),T110/S110,"")</f>
        <v/>
      </c>
      <c r="V110" s="31" t="n"/>
    </row>
    <row r="111">
      <c r="A111" s="29" t="n"/>
      <c r="B111" s="30" t="n"/>
      <c r="C111" s="31" t="n"/>
      <c r="D111" s="32" t="n"/>
      <c r="E111" s="32" t="n"/>
      <c r="F111" s="54" t="n"/>
      <c r="G111" s="30" t="n"/>
      <c r="H111" s="42" t="str">
        <f>IF(AND(ISNUMBER(G111),ISNUMBER(B111)),G111-B111,"")</f>
        <v/>
      </c>
      <c r="I111" s="29" t="n"/>
      <c r="J111" s="54" t="n"/>
      <c r="K111" s="18" t="n"/>
      <c r="L111" s="30" t="n"/>
      <c r="M111" s="54" t="n"/>
      <c r="N111" s="18" t="n"/>
      <c r="O111" s="42" t="str">
        <f>IF(OR(ISNUMBER(L111),NOT(ISNUMBER(G111))),"",G111-$D$3)</f>
        <v/>
      </c>
      <c r="P111" s="20" t="str">
        <f>IF(N(I111)=0,"",I111*'参数'!$C$16*IF(ISNUMBER(L111),IF(N(M111)=0,1,2),1))</f>
        <v/>
      </c>
      <c r="Q111" s="23" t="n"/>
      <c r="R111" s="23" t="n"/>
      <c r="S111" s="20" t="str">
        <f>IF(ISNUMBER(R111),R111,IF(AND(E111="买方",ISNUMBER(J111),N(I111)&gt;0),J111*100*I111+I111*'参数'!$C$16,""))</f>
        <v/>
      </c>
      <c r="T111" s="53" t="str">
        <f>IF(AND(ISNUMBER(L111),ISNUMBER(M111),ISNUMBER(J111),N(I111)&gt;0),IF(E111="卖方",J111-M111,M111-J111)*100*I111-IF(ISNUMBER(Q111),Q111,P111),"")</f>
        <v/>
      </c>
      <c r="U111" s="45" t="str">
        <f>IF(AND(ISNUMBER(T111),N(S111)&gt;0),T111/S111,"")</f>
        <v/>
      </c>
      <c r="V111" s="31" t="n"/>
    </row>
    <row r="112">
      <c r="A112" s="29" t="n"/>
      <c r="B112" s="30" t="n"/>
      <c r="C112" s="31" t="n"/>
      <c r="D112" s="32" t="n"/>
      <c r="E112" s="32" t="n"/>
      <c r="F112" s="54" t="n"/>
      <c r="G112" s="30" t="n"/>
      <c r="H112" s="42" t="str">
        <f>IF(AND(ISNUMBER(G112),ISNUMBER(B112)),G112-B112,"")</f>
        <v/>
      </c>
      <c r="I112" s="29" t="n"/>
      <c r="J112" s="54" t="n"/>
      <c r="K112" s="18" t="n"/>
      <c r="L112" s="30" t="n"/>
      <c r="M112" s="54" t="n"/>
      <c r="N112" s="18" t="n"/>
      <c r="O112" s="42" t="str">
        <f>IF(OR(ISNUMBER(L112),NOT(ISNUMBER(G112))),"",G112-$D$3)</f>
        <v/>
      </c>
      <c r="P112" s="20" t="str">
        <f>IF(N(I112)=0,"",I112*'参数'!$C$16*IF(ISNUMBER(L112),IF(N(M112)=0,1,2),1))</f>
        <v/>
      </c>
      <c r="Q112" s="23" t="n"/>
      <c r="R112" s="23" t="n"/>
      <c r="S112" s="20" t="str">
        <f>IF(ISNUMBER(R112),R112,IF(AND(E112="买方",ISNUMBER(J112),N(I112)&gt;0),J112*100*I112+I112*'参数'!$C$16,""))</f>
        <v/>
      </c>
      <c r="T112" s="53" t="str">
        <f>IF(AND(ISNUMBER(L112),ISNUMBER(M112),ISNUMBER(J112),N(I112)&gt;0),IF(E112="卖方",J112-M112,M112-J112)*100*I112-IF(ISNUMBER(Q112),Q112,P112),"")</f>
        <v/>
      </c>
      <c r="U112" s="45" t="str">
        <f>IF(AND(ISNUMBER(T112),N(S112)&gt;0),T112/S112,"")</f>
        <v/>
      </c>
      <c r="V112" s="31" t="n"/>
    </row>
    <row r="113">
      <c r="A113" s="29" t="n"/>
      <c r="B113" s="30" t="n"/>
      <c r="C113" s="31" t="n"/>
      <c r="D113" s="32" t="n"/>
      <c r="E113" s="32" t="n"/>
      <c r="F113" s="54" t="n"/>
      <c r="G113" s="30" t="n"/>
      <c r="H113" s="42" t="str">
        <f>IF(AND(ISNUMBER(G113),ISNUMBER(B113)),G113-B113,"")</f>
        <v/>
      </c>
      <c r="I113" s="29" t="n"/>
      <c r="J113" s="54" t="n"/>
      <c r="K113" s="18" t="n"/>
      <c r="L113" s="30" t="n"/>
      <c r="M113" s="54" t="n"/>
      <c r="N113" s="18" t="n"/>
      <c r="O113" s="42" t="str">
        <f>IF(OR(ISNUMBER(L113),NOT(ISNUMBER(G113))),"",G113-$D$3)</f>
        <v/>
      </c>
      <c r="P113" s="20" t="str">
        <f>IF(N(I113)=0,"",I113*'参数'!$C$16*IF(ISNUMBER(L113),IF(N(M113)=0,1,2),1))</f>
        <v/>
      </c>
      <c r="Q113" s="23" t="n"/>
      <c r="R113" s="23" t="n"/>
      <c r="S113" s="20" t="str">
        <f>IF(ISNUMBER(R113),R113,IF(AND(E113="买方",ISNUMBER(J113),N(I113)&gt;0),J113*100*I113+I113*'参数'!$C$16,""))</f>
        <v/>
      </c>
      <c r="T113" s="53" t="str">
        <f>IF(AND(ISNUMBER(L113),ISNUMBER(M113),ISNUMBER(J113),N(I113)&gt;0),IF(E113="卖方",J113-M113,M113-J113)*100*I113-IF(ISNUMBER(Q113),Q113,P113),"")</f>
        <v/>
      </c>
      <c r="U113" s="45" t="str">
        <f>IF(AND(ISNUMBER(T113),N(S113)&gt;0),T113/S113,"")</f>
        <v/>
      </c>
      <c r="V113" s="31" t="n"/>
    </row>
    <row r="114">
      <c r="A114" s="29" t="n"/>
      <c r="B114" s="30" t="n"/>
      <c r="C114" s="31" t="n"/>
      <c r="D114" s="32" t="n"/>
      <c r="E114" s="32" t="n"/>
      <c r="F114" s="54" t="n"/>
      <c r="G114" s="30" t="n"/>
      <c r="H114" s="42" t="str">
        <f>IF(AND(ISNUMBER(G114),ISNUMBER(B114)),G114-B114,"")</f>
        <v/>
      </c>
      <c r="I114" s="29" t="n"/>
      <c r="J114" s="54" t="n"/>
      <c r="K114" s="18" t="n"/>
      <c r="L114" s="30" t="n"/>
      <c r="M114" s="54" t="n"/>
      <c r="N114" s="18" t="n"/>
      <c r="O114" s="42" t="str">
        <f>IF(OR(ISNUMBER(L114),NOT(ISNUMBER(G114))),"",G114-$D$3)</f>
        <v/>
      </c>
      <c r="P114" s="20" t="str">
        <f>IF(N(I114)=0,"",I114*'参数'!$C$16*IF(ISNUMBER(L114),IF(N(M114)=0,1,2),1))</f>
        <v/>
      </c>
      <c r="Q114" s="23" t="n"/>
      <c r="R114" s="23" t="n"/>
      <c r="S114" s="20" t="str">
        <f>IF(ISNUMBER(R114),R114,IF(AND(E114="买方",ISNUMBER(J114),N(I114)&gt;0),J114*100*I114+I114*'参数'!$C$16,""))</f>
        <v/>
      </c>
      <c r="T114" s="53" t="str">
        <f>IF(AND(ISNUMBER(L114),ISNUMBER(M114),ISNUMBER(J114),N(I114)&gt;0),IF(E114="卖方",J114-M114,M114-J114)*100*I114-IF(ISNUMBER(Q114),Q114,P114),"")</f>
        <v/>
      </c>
      <c r="U114" s="45" t="str">
        <f>IF(AND(ISNUMBER(T114),N(S114)&gt;0),T114/S114,"")</f>
        <v/>
      </c>
      <c r="V114" s="31" t="n"/>
    </row>
    <row r="115">
      <c r="A115" s="29" t="n"/>
      <c r="B115" s="30" t="n"/>
      <c r="C115" s="31" t="n"/>
      <c r="D115" s="32" t="n"/>
      <c r="E115" s="32" t="n"/>
      <c r="F115" s="54" t="n"/>
      <c r="G115" s="30" t="n"/>
      <c r="H115" s="42" t="str">
        <f>IF(AND(ISNUMBER(G115),ISNUMBER(B115)),G115-B115,"")</f>
        <v/>
      </c>
      <c r="I115" s="29" t="n"/>
      <c r="J115" s="54" t="n"/>
      <c r="K115" s="18" t="n"/>
      <c r="L115" s="30" t="n"/>
      <c r="M115" s="54" t="n"/>
      <c r="N115" s="18" t="n"/>
      <c r="O115" s="42" t="str">
        <f>IF(OR(ISNUMBER(L115),NOT(ISNUMBER(G115))),"",G115-$D$3)</f>
        <v/>
      </c>
      <c r="P115" s="20" t="str">
        <f>IF(N(I115)=0,"",I115*'参数'!$C$16*IF(ISNUMBER(L115),IF(N(M115)=0,1,2),1))</f>
        <v/>
      </c>
      <c r="Q115" s="23" t="n"/>
      <c r="R115" s="23" t="n"/>
      <c r="S115" s="20" t="str">
        <f>IF(ISNUMBER(R115),R115,IF(AND(E115="买方",ISNUMBER(J115),N(I115)&gt;0),J115*100*I115+I115*'参数'!$C$16,""))</f>
        <v/>
      </c>
      <c r="T115" s="53" t="str">
        <f>IF(AND(ISNUMBER(L115),ISNUMBER(M115),ISNUMBER(J115),N(I115)&gt;0),IF(E115="卖方",J115-M115,M115-J115)*100*I115-IF(ISNUMBER(Q115),Q115,P115),"")</f>
        <v/>
      </c>
      <c r="U115" s="45" t="str">
        <f>IF(AND(ISNUMBER(T115),N(S115)&gt;0),T115/S115,"")</f>
        <v/>
      </c>
      <c r="V115" s="31" t="n"/>
    </row>
    <row r="116">
      <c r="A116" s="29" t="n"/>
      <c r="B116" s="30" t="n"/>
      <c r="C116" s="31" t="n"/>
      <c r="D116" s="32" t="n"/>
      <c r="E116" s="32" t="n"/>
      <c r="F116" s="54" t="n"/>
      <c r="G116" s="30" t="n"/>
      <c r="H116" s="42" t="str">
        <f>IF(AND(ISNUMBER(G116),ISNUMBER(B116)),G116-B116,"")</f>
        <v/>
      </c>
      <c r="I116" s="29" t="n"/>
      <c r="J116" s="54" t="n"/>
      <c r="K116" s="18" t="n"/>
      <c r="L116" s="30" t="n"/>
      <c r="M116" s="54" t="n"/>
      <c r="N116" s="18" t="n"/>
      <c r="O116" s="42" t="str">
        <f>IF(OR(ISNUMBER(L116),NOT(ISNUMBER(G116))),"",G116-$D$3)</f>
        <v/>
      </c>
      <c r="P116" s="20" t="str">
        <f>IF(N(I116)=0,"",I116*'参数'!$C$16*IF(ISNUMBER(L116),IF(N(M116)=0,1,2),1))</f>
        <v/>
      </c>
      <c r="Q116" s="23" t="n"/>
      <c r="R116" s="23" t="n"/>
      <c r="S116" s="20" t="str">
        <f>IF(ISNUMBER(R116),R116,IF(AND(E116="买方",ISNUMBER(J116),N(I116)&gt;0),J116*100*I116+I116*'参数'!$C$16,""))</f>
        <v/>
      </c>
      <c r="T116" s="53" t="str">
        <f>IF(AND(ISNUMBER(L116),ISNUMBER(M116),ISNUMBER(J116),N(I116)&gt;0),IF(E116="卖方",J116-M116,M116-J116)*100*I116-IF(ISNUMBER(Q116),Q116,P116),"")</f>
        <v/>
      </c>
      <c r="U116" s="45" t="str">
        <f>IF(AND(ISNUMBER(T116),N(S116)&gt;0),T116/S116,"")</f>
        <v/>
      </c>
      <c r="V116" s="31" t="n"/>
    </row>
    <row r="117">
      <c r="A117" s="29" t="n"/>
      <c r="B117" s="30" t="n"/>
      <c r="C117" s="31" t="n"/>
      <c r="D117" s="32" t="n"/>
      <c r="E117" s="32" t="n"/>
      <c r="F117" s="54" t="n"/>
      <c r="G117" s="30" t="n"/>
      <c r="H117" s="42" t="str">
        <f>IF(AND(ISNUMBER(G117),ISNUMBER(B117)),G117-B117,"")</f>
        <v/>
      </c>
      <c r="I117" s="29" t="n"/>
      <c r="J117" s="54" t="n"/>
      <c r="K117" s="18" t="n"/>
      <c r="L117" s="30" t="n"/>
      <c r="M117" s="54" t="n"/>
      <c r="N117" s="18" t="n"/>
      <c r="O117" s="42" t="str">
        <f>IF(OR(ISNUMBER(L117),NOT(ISNUMBER(G117))),"",G117-$D$3)</f>
        <v/>
      </c>
      <c r="P117" s="20" t="str">
        <f>IF(N(I117)=0,"",I117*'参数'!$C$16*IF(ISNUMBER(L117),IF(N(M117)=0,1,2),1))</f>
        <v/>
      </c>
      <c r="Q117" s="23" t="n"/>
      <c r="R117" s="23" t="n"/>
      <c r="S117" s="20" t="str">
        <f>IF(ISNUMBER(R117),R117,IF(AND(E117="买方",ISNUMBER(J117),N(I117)&gt;0),J117*100*I117+I117*'参数'!$C$16,""))</f>
        <v/>
      </c>
      <c r="T117" s="53" t="str">
        <f>IF(AND(ISNUMBER(L117),ISNUMBER(M117),ISNUMBER(J117),N(I117)&gt;0),IF(E117="卖方",J117-M117,M117-J117)*100*I117-IF(ISNUMBER(Q117),Q117,P117),"")</f>
        <v/>
      </c>
      <c r="U117" s="45" t="str">
        <f>IF(AND(ISNUMBER(T117),N(S117)&gt;0),T117/S117,"")</f>
        <v/>
      </c>
      <c r="V117" s="31" t="n"/>
    </row>
    <row r="118">
      <c r="A118" s="29" t="n"/>
      <c r="B118" s="30" t="n"/>
      <c r="C118" s="31" t="n"/>
      <c r="D118" s="32" t="n"/>
      <c r="E118" s="32" t="n"/>
      <c r="F118" s="54" t="n"/>
      <c r="G118" s="30" t="n"/>
      <c r="H118" s="42" t="str">
        <f>IF(AND(ISNUMBER(G118),ISNUMBER(B118)),G118-B118,"")</f>
        <v/>
      </c>
      <c r="I118" s="29" t="n"/>
      <c r="J118" s="54" t="n"/>
      <c r="K118" s="18" t="n"/>
      <c r="L118" s="30" t="n"/>
      <c r="M118" s="54" t="n"/>
      <c r="N118" s="18" t="n"/>
      <c r="O118" s="42" t="str">
        <f>IF(OR(ISNUMBER(L118),NOT(ISNUMBER(G118))),"",G118-$D$3)</f>
        <v/>
      </c>
      <c r="P118" s="20" t="str">
        <f>IF(N(I118)=0,"",I118*'参数'!$C$16*IF(ISNUMBER(L118),IF(N(M118)=0,1,2),1))</f>
        <v/>
      </c>
      <c r="Q118" s="23" t="n"/>
      <c r="R118" s="23" t="n"/>
      <c r="S118" s="20" t="str">
        <f>IF(ISNUMBER(R118),R118,IF(AND(E118="买方",ISNUMBER(J118),N(I118)&gt;0),J118*100*I118+I118*'参数'!$C$16,""))</f>
        <v/>
      </c>
      <c r="T118" s="53" t="str">
        <f>IF(AND(ISNUMBER(L118),ISNUMBER(M118),ISNUMBER(J118),N(I118)&gt;0),IF(E118="卖方",J118-M118,M118-J118)*100*I118-IF(ISNUMBER(Q118),Q118,P118),"")</f>
        <v/>
      </c>
      <c r="U118" s="45" t="str">
        <f>IF(AND(ISNUMBER(T118),N(S118)&gt;0),T118/S118,"")</f>
        <v/>
      </c>
      <c r="V118" s="31" t="n"/>
    </row>
    <row r="119">
      <c r="A119" s="29" t="n"/>
      <c r="B119" s="30" t="n"/>
      <c r="C119" s="31" t="n"/>
      <c r="D119" s="32" t="n"/>
      <c r="E119" s="32" t="n"/>
      <c r="F119" s="54" t="n"/>
      <c r="G119" s="30" t="n"/>
      <c r="H119" s="42" t="str">
        <f>IF(AND(ISNUMBER(G119),ISNUMBER(B119)),G119-B119,"")</f>
        <v/>
      </c>
      <c r="I119" s="29" t="n"/>
      <c r="J119" s="54" t="n"/>
      <c r="K119" s="18" t="n"/>
      <c r="L119" s="30" t="n"/>
      <c r="M119" s="54" t="n"/>
      <c r="N119" s="18" t="n"/>
      <c r="O119" s="42" t="str">
        <f>IF(OR(ISNUMBER(L119),NOT(ISNUMBER(G119))),"",G119-$D$3)</f>
        <v/>
      </c>
      <c r="P119" s="20" t="str">
        <f>IF(N(I119)=0,"",I119*'参数'!$C$16*IF(ISNUMBER(L119),IF(N(M119)=0,1,2),1))</f>
        <v/>
      </c>
      <c r="Q119" s="23" t="n"/>
      <c r="R119" s="23" t="n"/>
      <c r="S119" s="20" t="str">
        <f>IF(ISNUMBER(R119),R119,IF(AND(E119="买方",ISNUMBER(J119),N(I119)&gt;0),J119*100*I119+I119*'参数'!$C$16,""))</f>
        <v/>
      </c>
      <c r="T119" s="53" t="str">
        <f>IF(AND(ISNUMBER(L119),ISNUMBER(M119),ISNUMBER(J119),N(I119)&gt;0),IF(E119="卖方",J119-M119,M119-J119)*100*I119-IF(ISNUMBER(Q119),Q119,P119),"")</f>
        <v/>
      </c>
      <c r="U119" s="45" t="str">
        <f>IF(AND(ISNUMBER(T119),N(S119)&gt;0),T119/S119,"")</f>
        <v/>
      </c>
      <c r="V119" s="31" t="n"/>
    </row>
    <row r="120">
      <c r="A120" s="29" t="n"/>
      <c r="B120" s="30" t="n"/>
      <c r="C120" s="31" t="n"/>
      <c r="D120" s="32" t="n"/>
      <c r="E120" s="32" t="n"/>
      <c r="F120" s="54" t="n"/>
      <c r="G120" s="30" t="n"/>
      <c r="H120" s="42" t="str">
        <f>IF(AND(ISNUMBER(G120),ISNUMBER(B120)),G120-B120,"")</f>
        <v/>
      </c>
      <c r="I120" s="29" t="n"/>
      <c r="J120" s="54" t="n"/>
      <c r="K120" s="18" t="n"/>
      <c r="L120" s="30" t="n"/>
      <c r="M120" s="54" t="n"/>
      <c r="N120" s="18" t="n"/>
      <c r="O120" s="42" t="str">
        <f>IF(OR(ISNUMBER(L120),NOT(ISNUMBER(G120))),"",G120-$D$3)</f>
        <v/>
      </c>
      <c r="P120" s="20" t="str">
        <f>IF(N(I120)=0,"",I120*'参数'!$C$16*IF(ISNUMBER(L120),IF(N(M120)=0,1,2),1))</f>
        <v/>
      </c>
      <c r="Q120" s="23" t="n"/>
      <c r="R120" s="23" t="n"/>
      <c r="S120" s="20" t="str">
        <f>IF(ISNUMBER(R120),R120,IF(AND(E120="买方",ISNUMBER(J120),N(I120)&gt;0),J120*100*I120+I120*'参数'!$C$16,""))</f>
        <v/>
      </c>
      <c r="T120" s="53" t="str">
        <f>IF(AND(ISNUMBER(L120),ISNUMBER(M120),ISNUMBER(J120),N(I120)&gt;0),IF(E120="卖方",J120-M120,M120-J120)*100*I120-IF(ISNUMBER(Q120),Q120,P120),"")</f>
        <v/>
      </c>
      <c r="U120" s="45" t="str">
        <f>IF(AND(ISNUMBER(T120),N(S120)&gt;0),T120/S120,"")</f>
        <v/>
      </c>
      <c r="V120" s="31" t="n"/>
    </row>
    <row r="121">
      <c r="A121" s="29" t="n"/>
      <c r="B121" s="30" t="n"/>
      <c r="C121" s="31" t="n"/>
      <c r="D121" s="32" t="n"/>
      <c r="E121" s="32" t="n"/>
      <c r="F121" s="54" t="n"/>
      <c r="G121" s="30" t="n"/>
      <c r="H121" s="42" t="str">
        <f>IF(AND(ISNUMBER(G121),ISNUMBER(B121)),G121-B121,"")</f>
        <v/>
      </c>
      <c r="I121" s="29" t="n"/>
      <c r="J121" s="54" t="n"/>
      <c r="K121" s="18" t="n"/>
      <c r="L121" s="30" t="n"/>
      <c r="M121" s="54" t="n"/>
      <c r="N121" s="18" t="n"/>
      <c r="O121" s="42" t="str">
        <f>IF(OR(ISNUMBER(L121),NOT(ISNUMBER(G121))),"",G121-$D$3)</f>
        <v/>
      </c>
      <c r="P121" s="20" t="str">
        <f>IF(N(I121)=0,"",I121*'参数'!$C$16*IF(ISNUMBER(L121),IF(N(M121)=0,1,2),1))</f>
        <v/>
      </c>
      <c r="Q121" s="23" t="n"/>
      <c r="R121" s="23" t="n"/>
      <c r="S121" s="20" t="str">
        <f>IF(ISNUMBER(R121),R121,IF(AND(E121="买方",ISNUMBER(J121),N(I121)&gt;0),J121*100*I121+I121*'参数'!$C$16,""))</f>
        <v/>
      </c>
      <c r="T121" s="53" t="str">
        <f>IF(AND(ISNUMBER(L121),ISNUMBER(M121),ISNUMBER(J121),N(I121)&gt;0),IF(E121="卖方",J121-M121,M121-J121)*100*I121-IF(ISNUMBER(Q121),Q121,P121),"")</f>
        <v/>
      </c>
      <c r="U121" s="45" t="str">
        <f>IF(AND(ISNUMBER(T121),N(S121)&gt;0),T121/S121,"")</f>
        <v/>
      </c>
      <c r="V121" s="31" t="n"/>
    </row>
    <row r="122">
      <c r="A122" s="29" t="n"/>
      <c r="B122" s="30" t="n"/>
      <c r="C122" s="31" t="n"/>
      <c r="D122" s="32" t="n"/>
      <c r="E122" s="32" t="n"/>
      <c r="F122" s="54" t="n"/>
      <c r="G122" s="30" t="n"/>
      <c r="H122" s="42" t="str">
        <f>IF(AND(ISNUMBER(G122),ISNUMBER(B122)),G122-B122,"")</f>
        <v/>
      </c>
      <c r="I122" s="29" t="n"/>
      <c r="J122" s="54" t="n"/>
      <c r="K122" s="18" t="n"/>
      <c r="L122" s="30" t="n"/>
      <c r="M122" s="54" t="n"/>
      <c r="N122" s="18" t="n"/>
      <c r="O122" s="42" t="str">
        <f>IF(OR(ISNUMBER(L122),NOT(ISNUMBER(G122))),"",G122-$D$3)</f>
        <v/>
      </c>
      <c r="P122" s="20" t="str">
        <f>IF(N(I122)=0,"",I122*'参数'!$C$16*IF(ISNUMBER(L122),IF(N(M122)=0,1,2),1))</f>
        <v/>
      </c>
      <c r="Q122" s="23" t="n"/>
      <c r="R122" s="23" t="n"/>
      <c r="S122" s="20" t="str">
        <f>IF(ISNUMBER(R122),R122,IF(AND(E122="买方",ISNUMBER(J122),N(I122)&gt;0),J122*100*I122+I122*'参数'!$C$16,""))</f>
        <v/>
      </c>
      <c r="T122" s="53" t="str">
        <f>IF(AND(ISNUMBER(L122),ISNUMBER(M122),ISNUMBER(J122),N(I122)&gt;0),IF(E122="卖方",J122-M122,M122-J122)*100*I122-IF(ISNUMBER(Q122),Q122,P122),"")</f>
        <v/>
      </c>
      <c r="U122" s="45" t="str">
        <f>IF(AND(ISNUMBER(T122),N(S122)&gt;0),T122/S122,"")</f>
        <v/>
      </c>
      <c r="V122" s="31" t="n"/>
    </row>
    <row r="123">
      <c r="A123" s="29" t="n"/>
      <c r="B123" s="30" t="n"/>
      <c r="C123" s="31" t="n"/>
      <c r="D123" s="32" t="n"/>
      <c r="E123" s="32" t="n"/>
      <c r="F123" s="54" t="n"/>
      <c r="G123" s="30" t="n"/>
      <c r="H123" s="42" t="str">
        <f>IF(AND(ISNUMBER(G123),ISNUMBER(B123)),G123-B123,"")</f>
        <v/>
      </c>
      <c r="I123" s="29" t="n"/>
      <c r="J123" s="54" t="n"/>
      <c r="K123" s="18" t="n"/>
      <c r="L123" s="30" t="n"/>
      <c r="M123" s="54" t="n"/>
      <c r="N123" s="18" t="n"/>
      <c r="O123" s="42" t="str">
        <f>IF(OR(ISNUMBER(L123),NOT(ISNUMBER(G123))),"",G123-$D$3)</f>
        <v/>
      </c>
      <c r="P123" s="20" t="str">
        <f>IF(N(I123)=0,"",I123*'参数'!$C$16*IF(ISNUMBER(L123),IF(N(M123)=0,1,2),1))</f>
        <v/>
      </c>
      <c r="Q123" s="23" t="n"/>
      <c r="R123" s="23" t="n"/>
      <c r="S123" s="20" t="str">
        <f>IF(ISNUMBER(R123),R123,IF(AND(E123="买方",ISNUMBER(J123),N(I123)&gt;0),J123*100*I123+I123*'参数'!$C$16,""))</f>
        <v/>
      </c>
      <c r="T123" s="53" t="str">
        <f>IF(AND(ISNUMBER(L123),ISNUMBER(M123),ISNUMBER(J123),N(I123)&gt;0),IF(E123="卖方",J123-M123,M123-J123)*100*I123-IF(ISNUMBER(Q123),Q123,P123),"")</f>
        <v/>
      </c>
      <c r="U123" s="45" t="str">
        <f>IF(AND(ISNUMBER(T123),N(S123)&gt;0),T123/S123,"")</f>
        <v/>
      </c>
      <c r="V123" s="31" t="n"/>
    </row>
    <row r="124">
      <c r="A124" s="29" t="n"/>
      <c r="B124" s="30" t="n"/>
      <c r="C124" s="31" t="n"/>
      <c r="D124" s="32" t="n"/>
      <c r="E124" s="32" t="n"/>
      <c r="F124" s="54" t="n"/>
      <c r="G124" s="30" t="n"/>
      <c r="H124" s="42" t="str">
        <f>IF(AND(ISNUMBER(G124),ISNUMBER(B124)),G124-B124,"")</f>
        <v/>
      </c>
      <c r="I124" s="29" t="n"/>
      <c r="J124" s="54" t="n"/>
      <c r="K124" s="18" t="n"/>
      <c r="L124" s="30" t="n"/>
      <c r="M124" s="54" t="n"/>
      <c r="N124" s="18" t="n"/>
      <c r="O124" s="42" t="str">
        <f>IF(OR(ISNUMBER(L124),NOT(ISNUMBER(G124))),"",G124-$D$3)</f>
        <v/>
      </c>
      <c r="P124" s="20" t="str">
        <f>IF(N(I124)=0,"",I124*'参数'!$C$16*IF(ISNUMBER(L124),IF(N(M124)=0,1,2),1))</f>
        <v/>
      </c>
      <c r="Q124" s="23" t="n"/>
      <c r="R124" s="23" t="n"/>
      <c r="S124" s="20" t="str">
        <f>IF(ISNUMBER(R124),R124,IF(AND(E124="买方",ISNUMBER(J124),N(I124)&gt;0),J124*100*I124+I124*'参数'!$C$16,""))</f>
        <v/>
      </c>
      <c r="T124" s="53" t="str">
        <f>IF(AND(ISNUMBER(L124),ISNUMBER(M124),ISNUMBER(J124),N(I124)&gt;0),IF(E124="卖方",J124-M124,M124-J124)*100*I124-IF(ISNUMBER(Q124),Q124,P124),"")</f>
        <v/>
      </c>
      <c r="U124" s="45" t="str">
        <f>IF(AND(ISNUMBER(T124),N(S124)&gt;0),T124/S124,"")</f>
        <v/>
      </c>
      <c r="V124" s="31" t="n"/>
    </row>
    <row r="125">
      <c r="A125" s="29" t="n"/>
      <c r="B125" s="30" t="n"/>
      <c r="C125" s="31" t="n"/>
      <c r="D125" s="32" t="n"/>
      <c r="E125" s="32" t="n"/>
      <c r="F125" s="54" t="n"/>
      <c r="G125" s="30" t="n"/>
      <c r="H125" s="42" t="str">
        <f>IF(AND(ISNUMBER(G125),ISNUMBER(B125)),G125-B125,"")</f>
        <v/>
      </c>
      <c r="I125" s="29" t="n"/>
      <c r="J125" s="54" t="n"/>
      <c r="K125" s="18" t="n"/>
      <c r="L125" s="30" t="n"/>
      <c r="M125" s="54" t="n"/>
      <c r="N125" s="18" t="n"/>
      <c r="O125" s="42" t="str">
        <f>IF(OR(ISNUMBER(L125),NOT(ISNUMBER(G125))),"",G125-$D$3)</f>
        <v/>
      </c>
      <c r="P125" s="20" t="str">
        <f>IF(N(I125)=0,"",I125*'参数'!$C$16*IF(ISNUMBER(L125),IF(N(M125)=0,1,2),1))</f>
        <v/>
      </c>
      <c r="Q125" s="23" t="n"/>
      <c r="R125" s="23" t="n"/>
      <c r="S125" s="20" t="str">
        <f>IF(ISNUMBER(R125),R125,IF(AND(E125="买方",ISNUMBER(J125),N(I125)&gt;0),J125*100*I125+I125*'参数'!$C$16,""))</f>
        <v/>
      </c>
      <c r="T125" s="53" t="str">
        <f>IF(AND(ISNUMBER(L125),ISNUMBER(M125),ISNUMBER(J125),N(I125)&gt;0),IF(E125="卖方",J125-M125,M125-J125)*100*I125-IF(ISNUMBER(Q125),Q125,P125),"")</f>
        <v/>
      </c>
      <c r="U125" s="45" t="str">
        <f>IF(AND(ISNUMBER(T125),N(S125)&gt;0),T125/S125,"")</f>
        <v/>
      </c>
      <c r="V125" s="31" t="n"/>
    </row>
    <row r="126">
      <c r="A126" s="29" t="n"/>
      <c r="B126" s="30" t="n"/>
      <c r="C126" s="31" t="n"/>
      <c r="D126" s="32" t="n"/>
      <c r="E126" s="32" t="n"/>
      <c r="F126" s="54" t="n"/>
      <c r="G126" s="30" t="n"/>
      <c r="H126" s="42" t="str">
        <f>IF(AND(ISNUMBER(G126),ISNUMBER(B126)),G126-B126,"")</f>
        <v/>
      </c>
      <c r="I126" s="29" t="n"/>
      <c r="J126" s="54" t="n"/>
      <c r="K126" s="18" t="n"/>
      <c r="L126" s="30" t="n"/>
      <c r="M126" s="54" t="n"/>
      <c r="N126" s="18" t="n"/>
      <c r="O126" s="42" t="str">
        <f>IF(OR(ISNUMBER(L126),NOT(ISNUMBER(G126))),"",G126-$D$3)</f>
        <v/>
      </c>
      <c r="P126" s="20" t="str">
        <f>IF(N(I126)=0,"",I126*'参数'!$C$16*IF(ISNUMBER(L126),IF(N(M126)=0,1,2),1))</f>
        <v/>
      </c>
      <c r="Q126" s="23" t="n"/>
      <c r="R126" s="23" t="n"/>
      <c r="S126" s="20" t="str">
        <f>IF(ISNUMBER(R126),R126,IF(AND(E126="买方",ISNUMBER(J126),N(I126)&gt;0),J126*100*I126+I126*'参数'!$C$16,""))</f>
        <v/>
      </c>
      <c r="T126" s="53" t="str">
        <f>IF(AND(ISNUMBER(L126),ISNUMBER(M126),ISNUMBER(J126),N(I126)&gt;0),IF(E126="卖方",J126-M126,M126-J126)*100*I126-IF(ISNUMBER(Q126),Q126,P126),"")</f>
        <v/>
      </c>
      <c r="U126" s="45" t="str">
        <f>IF(AND(ISNUMBER(T126),N(S126)&gt;0),T126/S126,"")</f>
        <v/>
      </c>
      <c r="V126" s="31" t="n"/>
    </row>
    <row r="127">
      <c r="A127" s="29" t="n"/>
      <c r="B127" s="30" t="n"/>
      <c r="C127" s="31" t="n"/>
      <c r="D127" s="32" t="n"/>
      <c r="E127" s="32" t="n"/>
      <c r="F127" s="54" t="n"/>
      <c r="G127" s="30" t="n"/>
      <c r="H127" s="42" t="str">
        <f>IF(AND(ISNUMBER(G127),ISNUMBER(B127)),G127-B127,"")</f>
        <v/>
      </c>
      <c r="I127" s="29" t="n"/>
      <c r="J127" s="54" t="n"/>
      <c r="K127" s="18" t="n"/>
      <c r="L127" s="30" t="n"/>
      <c r="M127" s="54" t="n"/>
      <c r="N127" s="18" t="n"/>
      <c r="O127" s="42" t="str">
        <f>IF(OR(ISNUMBER(L127),NOT(ISNUMBER(G127))),"",G127-$D$3)</f>
        <v/>
      </c>
      <c r="P127" s="20" t="str">
        <f>IF(N(I127)=0,"",I127*'参数'!$C$16*IF(ISNUMBER(L127),IF(N(M127)=0,1,2),1))</f>
        <v/>
      </c>
      <c r="Q127" s="23" t="n"/>
      <c r="R127" s="23" t="n"/>
      <c r="S127" s="20" t="str">
        <f>IF(ISNUMBER(R127),R127,IF(AND(E127="买方",ISNUMBER(J127),N(I127)&gt;0),J127*100*I127+I127*'参数'!$C$16,""))</f>
        <v/>
      </c>
      <c r="T127" s="53" t="str">
        <f>IF(AND(ISNUMBER(L127),ISNUMBER(M127),ISNUMBER(J127),N(I127)&gt;0),IF(E127="卖方",J127-M127,M127-J127)*100*I127-IF(ISNUMBER(Q127),Q127,P127),"")</f>
        <v/>
      </c>
      <c r="U127" s="45" t="str">
        <f>IF(AND(ISNUMBER(T127),N(S127)&gt;0),T127/S127,"")</f>
        <v/>
      </c>
      <c r="V127" s="31" t="n"/>
    </row>
    <row r="128">
      <c r="A128" s="29" t="n"/>
      <c r="B128" s="30" t="n"/>
      <c r="C128" s="31" t="n"/>
      <c r="D128" s="32" t="n"/>
      <c r="E128" s="32" t="n"/>
      <c r="F128" s="54" t="n"/>
      <c r="G128" s="30" t="n"/>
      <c r="H128" s="42" t="str">
        <f>IF(AND(ISNUMBER(G128),ISNUMBER(B128)),G128-B128,"")</f>
        <v/>
      </c>
      <c r="I128" s="29" t="n"/>
      <c r="J128" s="54" t="n"/>
      <c r="K128" s="18" t="n"/>
      <c r="L128" s="30" t="n"/>
      <c r="M128" s="54" t="n"/>
      <c r="N128" s="18" t="n"/>
      <c r="O128" s="42" t="str">
        <f>IF(OR(ISNUMBER(L128),NOT(ISNUMBER(G128))),"",G128-$D$3)</f>
        <v/>
      </c>
      <c r="P128" s="20" t="str">
        <f>IF(N(I128)=0,"",I128*'参数'!$C$16*IF(ISNUMBER(L128),IF(N(M128)=0,1,2),1))</f>
        <v/>
      </c>
      <c r="Q128" s="23" t="n"/>
      <c r="R128" s="23" t="n"/>
      <c r="S128" s="20" t="str">
        <f>IF(ISNUMBER(R128),R128,IF(AND(E128="买方",ISNUMBER(J128),N(I128)&gt;0),J128*100*I128+I128*'参数'!$C$16,""))</f>
        <v/>
      </c>
      <c r="T128" s="53" t="str">
        <f>IF(AND(ISNUMBER(L128),ISNUMBER(M128),ISNUMBER(J128),N(I128)&gt;0),IF(E128="卖方",J128-M128,M128-J128)*100*I128-IF(ISNUMBER(Q128),Q128,P128),"")</f>
        <v/>
      </c>
      <c r="U128" s="45" t="str">
        <f>IF(AND(ISNUMBER(T128),N(S128)&gt;0),T128/S128,"")</f>
        <v/>
      </c>
      <c r="V128" s="31" t="n"/>
    </row>
    <row r="129">
      <c r="A129" s="29" t="n"/>
      <c r="B129" s="30" t="n"/>
      <c r="C129" s="31" t="n"/>
      <c r="D129" s="32" t="n"/>
      <c r="E129" s="32" t="n"/>
      <c r="F129" s="54" t="n"/>
      <c r="G129" s="30" t="n"/>
      <c r="H129" s="42" t="str">
        <f>IF(AND(ISNUMBER(G129),ISNUMBER(B129)),G129-B129,"")</f>
        <v/>
      </c>
      <c r="I129" s="29" t="n"/>
      <c r="J129" s="54" t="n"/>
      <c r="K129" s="18" t="n"/>
      <c r="L129" s="30" t="n"/>
      <c r="M129" s="54" t="n"/>
      <c r="N129" s="18" t="n"/>
      <c r="O129" s="42" t="str">
        <f>IF(OR(ISNUMBER(L129),NOT(ISNUMBER(G129))),"",G129-$D$3)</f>
        <v/>
      </c>
      <c r="P129" s="20" t="str">
        <f>IF(N(I129)=0,"",I129*'参数'!$C$16*IF(ISNUMBER(L129),IF(N(M129)=0,1,2),1))</f>
        <v/>
      </c>
      <c r="Q129" s="23" t="n"/>
      <c r="R129" s="23" t="n"/>
      <c r="S129" s="20" t="str">
        <f>IF(ISNUMBER(R129),R129,IF(AND(E129="买方",ISNUMBER(J129),N(I129)&gt;0),J129*100*I129+I129*'参数'!$C$16,""))</f>
        <v/>
      </c>
      <c r="T129" s="53" t="str">
        <f>IF(AND(ISNUMBER(L129),ISNUMBER(M129),ISNUMBER(J129),N(I129)&gt;0),IF(E129="卖方",J129-M129,M129-J129)*100*I129-IF(ISNUMBER(Q129),Q129,P129),"")</f>
        <v/>
      </c>
      <c r="U129" s="45" t="str">
        <f>IF(AND(ISNUMBER(T129),N(S129)&gt;0),T129/S129,"")</f>
        <v/>
      </c>
      <c r="V129" s="31" t="n"/>
    </row>
    <row r="130">
      <c r="A130" s="29" t="n"/>
      <c r="B130" s="30" t="n"/>
      <c r="C130" s="31" t="n"/>
      <c r="D130" s="32" t="n"/>
      <c r="E130" s="32" t="n"/>
      <c r="F130" s="54" t="n"/>
      <c r="G130" s="30" t="n"/>
      <c r="H130" s="42" t="str">
        <f>IF(AND(ISNUMBER(G130),ISNUMBER(B130)),G130-B130,"")</f>
        <v/>
      </c>
      <c r="I130" s="29" t="n"/>
      <c r="J130" s="54" t="n"/>
      <c r="K130" s="18" t="n"/>
      <c r="L130" s="30" t="n"/>
      <c r="M130" s="54" t="n"/>
      <c r="N130" s="18" t="n"/>
      <c r="O130" s="42" t="str">
        <f>IF(OR(ISNUMBER(L130),NOT(ISNUMBER(G130))),"",G130-$D$3)</f>
        <v/>
      </c>
      <c r="P130" s="20" t="str">
        <f>IF(N(I130)=0,"",I130*'参数'!$C$16*IF(ISNUMBER(L130),IF(N(M130)=0,1,2),1))</f>
        <v/>
      </c>
      <c r="Q130" s="23" t="n"/>
      <c r="R130" s="23" t="n"/>
      <c r="S130" s="20" t="str">
        <f>IF(ISNUMBER(R130),R130,IF(AND(E130="买方",ISNUMBER(J130),N(I130)&gt;0),J130*100*I130+I130*'参数'!$C$16,""))</f>
        <v/>
      </c>
      <c r="T130" s="53" t="str">
        <f>IF(AND(ISNUMBER(L130),ISNUMBER(M130),ISNUMBER(J130),N(I130)&gt;0),IF(E130="卖方",J130-M130,M130-J130)*100*I130-IF(ISNUMBER(Q130),Q130,P130),"")</f>
        <v/>
      </c>
      <c r="U130" s="45" t="str">
        <f>IF(AND(ISNUMBER(T130),N(S130)&gt;0),T130/S130,"")</f>
        <v/>
      </c>
      <c r="V130" s="31" t="n"/>
    </row>
    <row r="131">
      <c r="A131" s="29" t="n"/>
      <c r="B131" s="30" t="n"/>
      <c r="C131" s="31" t="n"/>
      <c r="D131" s="32" t="n"/>
      <c r="E131" s="32" t="n"/>
      <c r="F131" s="54" t="n"/>
      <c r="G131" s="30" t="n"/>
      <c r="H131" s="42" t="str">
        <f>IF(AND(ISNUMBER(G131),ISNUMBER(B131)),G131-B131,"")</f>
        <v/>
      </c>
      <c r="I131" s="29" t="n"/>
      <c r="J131" s="54" t="n"/>
      <c r="K131" s="18" t="n"/>
      <c r="L131" s="30" t="n"/>
      <c r="M131" s="54" t="n"/>
      <c r="N131" s="18" t="n"/>
      <c r="O131" s="42" t="str">
        <f>IF(OR(ISNUMBER(L131),NOT(ISNUMBER(G131))),"",G131-$D$3)</f>
        <v/>
      </c>
      <c r="P131" s="20" t="str">
        <f>IF(N(I131)=0,"",I131*'参数'!$C$16*IF(ISNUMBER(L131),IF(N(M131)=0,1,2),1))</f>
        <v/>
      </c>
      <c r="Q131" s="23" t="n"/>
      <c r="R131" s="23" t="n"/>
      <c r="S131" s="20" t="str">
        <f>IF(ISNUMBER(R131),R131,IF(AND(E131="买方",ISNUMBER(J131),N(I131)&gt;0),J131*100*I131+I131*'参数'!$C$16,""))</f>
        <v/>
      </c>
      <c r="T131" s="53" t="str">
        <f>IF(AND(ISNUMBER(L131),ISNUMBER(M131),ISNUMBER(J131),N(I131)&gt;0),IF(E131="卖方",J131-M131,M131-J131)*100*I131-IF(ISNUMBER(Q131),Q131,P131),"")</f>
        <v/>
      </c>
      <c r="U131" s="45" t="str">
        <f>IF(AND(ISNUMBER(T131),N(S131)&gt;0),T131/S131,"")</f>
        <v/>
      </c>
      <c r="V131" s="31" t="n"/>
    </row>
    <row r="132">
      <c r="A132" s="29" t="n"/>
      <c r="B132" s="30" t="n"/>
      <c r="C132" s="31" t="n"/>
      <c r="D132" s="32" t="n"/>
      <c r="E132" s="32" t="n"/>
      <c r="F132" s="54" t="n"/>
      <c r="G132" s="30" t="n"/>
      <c r="H132" s="42" t="str">
        <f>IF(AND(ISNUMBER(G132),ISNUMBER(B132)),G132-B132,"")</f>
        <v/>
      </c>
      <c r="I132" s="29" t="n"/>
      <c r="J132" s="54" t="n"/>
      <c r="K132" s="18" t="n"/>
      <c r="L132" s="30" t="n"/>
      <c r="M132" s="54" t="n"/>
      <c r="N132" s="18" t="n"/>
      <c r="O132" s="42" t="str">
        <f>IF(OR(ISNUMBER(L132),NOT(ISNUMBER(G132))),"",G132-$D$3)</f>
        <v/>
      </c>
      <c r="P132" s="20" t="str">
        <f>IF(N(I132)=0,"",I132*'参数'!$C$16*IF(ISNUMBER(L132),IF(N(M132)=0,1,2),1))</f>
        <v/>
      </c>
      <c r="Q132" s="23" t="n"/>
      <c r="R132" s="23" t="n"/>
      <c r="S132" s="20" t="str">
        <f>IF(ISNUMBER(R132),R132,IF(AND(E132="买方",ISNUMBER(J132),N(I132)&gt;0),J132*100*I132+I132*'参数'!$C$16,""))</f>
        <v/>
      </c>
      <c r="T132" s="53" t="str">
        <f>IF(AND(ISNUMBER(L132),ISNUMBER(M132),ISNUMBER(J132),N(I132)&gt;0),IF(E132="卖方",J132-M132,M132-J132)*100*I132-IF(ISNUMBER(Q132),Q132,P132),"")</f>
        <v/>
      </c>
      <c r="U132" s="45" t="str">
        <f>IF(AND(ISNUMBER(T132),N(S132)&gt;0),T132/S132,"")</f>
        <v/>
      </c>
      <c r="V132" s="31" t="n"/>
    </row>
    <row r="133">
      <c r="A133" s="29" t="n"/>
      <c r="B133" s="30" t="n"/>
      <c r="C133" s="31" t="n"/>
      <c r="D133" s="32" t="n"/>
      <c r="E133" s="32" t="n"/>
      <c r="F133" s="54" t="n"/>
      <c r="G133" s="30" t="n"/>
      <c r="H133" s="42" t="str">
        <f>IF(AND(ISNUMBER(G133),ISNUMBER(B133)),G133-B133,"")</f>
        <v/>
      </c>
      <c r="I133" s="29" t="n"/>
      <c r="J133" s="54" t="n"/>
      <c r="K133" s="18" t="n"/>
      <c r="L133" s="30" t="n"/>
      <c r="M133" s="54" t="n"/>
      <c r="N133" s="18" t="n"/>
      <c r="O133" s="42" t="str">
        <f>IF(OR(ISNUMBER(L133),NOT(ISNUMBER(G133))),"",G133-$D$3)</f>
        <v/>
      </c>
      <c r="P133" s="20" t="str">
        <f>IF(N(I133)=0,"",I133*'参数'!$C$16*IF(ISNUMBER(L133),IF(N(M133)=0,1,2),1))</f>
        <v/>
      </c>
      <c r="Q133" s="23" t="n"/>
      <c r="R133" s="23" t="n"/>
      <c r="S133" s="20" t="str">
        <f>IF(ISNUMBER(R133),R133,IF(AND(E133="买方",ISNUMBER(J133),N(I133)&gt;0),J133*100*I133+I133*'参数'!$C$16,""))</f>
        <v/>
      </c>
      <c r="T133" s="53" t="str">
        <f>IF(AND(ISNUMBER(L133),ISNUMBER(M133),ISNUMBER(J133),N(I133)&gt;0),IF(E133="卖方",J133-M133,M133-J133)*100*I133-IF(ISNUMBER(Q133),Q133,P133),"")</f>
        <v/>
      </c>
      <c r="U133" s="45" t="str">
        <f>IF(AND(ISNUMBER(T133),N(S133)&gt;0),T133/S133,"")</f>
        <v/>
      </c>
      <c r="V133" s="31" t="n"/>
    </row>
    <row r="134">
      <c r="A134" s="29" t="n"/>
      <c r="B134" s="30" t="n"/>
      <c r="C134" s="31" t="n"/>
      <c r="D134" s="32" t="n"/>
      <c r="E134" s="32" t="n"/>
      <c r="F134" s="54" t="n"/>
      <c r="G134" s="30" t="n"/>
      <c r="H134" s="42" t="str">
        <f>IF(AND(ISNUMBER(G134),ISNUMBER(B134)),G134-B134,"")</f>
        <v/>
      </c>
      <c r="I134" s="29" t="n"/>
      <c r="J134" s="54" t="n"/>
      <c r="K134" s="18" t="n"/>
      <c r="L134" s="30" t="n"/>
      <c r="M134" s="54" t="n"/>
      <c r="N134" s="18" t="n"/>
      <c r="O134" s="42" t="str">
        <f>IF(OR(ISNUMBER(L134),NOT(ISNUMBER(G134))),"",G134-$D$3)</f>
        <v/>
      </c>
      <c r="P134" s="20" t="str">
        <f>IF(N(I134)=0,"",I134*'参数'!$C$16*IF(ISNUMBER(L134),IF(N(M134)=0,1,2),1))</f>
        <v/>
      </c>
      <c r="Q134" s="23" t="n"/>
      <c r="R134" s="23" t="n"/>
      <c r="S134" s="20" t="str">
        <f>IF(ISNUMBER(R134),R134,IF(AND(E134="买方",ISNUMBER(J134),N(I134)&gt;0),J134*100*I134+I134*'参数'!$C$16,""))</f>
        <v/>
      </c>
      <c r="T134" s="53" t="str">
        <f>IF(AND(ISNUMBER(L134),ISNUMBER(M134),ISNUMBER(J134),N(I134)&gt;0),IF(E134="卖方",J134-M134,M134-J134)*100*I134-IF(ISNUMBER(Q134),Q134,P134),"")</f>
        <v/>
      </c>
      <c r="U134" s="45" t="str">
        <f>IF(AND(ISNUMBER(T134),N(S134)&gt;0),T134/S134,"")</f>
        <v/>
      </c>
      <c r="V134" s="31" t="n"/>
    </row>
    <row r="135">
      <c r="A135" s="29" t="n"/>
      <c r="B135" s="30" t="n"/>
      <c r="C135" s="31" t="n"/>
      <c r="D135" s="32" t="n"/>
      <c r="E135" s="32" t="n"/>
      <c r="F135" s="54" t="n"/>
      <c r="G135" s="30" t="n"/>
      <c r="H135" s="42" t="str">
        <f>IF(AND(ISNUMBER(G135),ISNUMBER(B135)),G135-B135,"")</f>
        <v/>
      </c>
      <c r="I135" s="29" t="n"/>
      <c r="J135" s="54" t="n"/>
      <c r="K135" s="18" t="n"/>
      <c r="L135" s="30" t="n"/>
      <c r="M135" s="54" t="n"/>
      <c r="N135" s="18" t="n"/>
      <c r="O135" s="42" t="str">
        <f>IF(OR(ISNUMBER(L135),NOT(ISNUMBER(G135))),"",G135-$D$3)</f>
        <v/>
      </c>
      <c r="P135" s="20" t="str">
        <f>IF(N(I135)=0,"",I135*'参数'!$C$16*IF(ISNUMBER(L135),IF(N(M135)=0,1,2),1))</f>
        <v/>
      </c>
      <c r="Q135" s="23" t="n"/>
      <c r="R135" s="23" t="n"/>
      <c r="S135" s="20" t="str">
        <f>IF(ISNUMBER(R135),R135,IF(AND(E135="买方",ISNUMBER(J135),N(I135)&gt;0),J135*100*I135+I135*'参数'!$C$16,""))</f>
        <v/>
      </c>
      <c r="T135" s="53" t="str">
        <f>IF(AND(ISNUMBER(L135),ISNUMBER(M135),ISNUMBER(J135),N(I135)&gt;0),IF(E135="卖方",J135-M135,M135-J135)*100*I135-IF(ISNUMBER(Q135),Q135,P135),"")</f>
        <v/>
      </c>
      <c r="U135" s="45" t="str">
        <f>IF(AND(ISNUMBER(T135),N(S135)&gt;0),T135/S135,"")</f>
        <v/>
      </c>
      <c r="V135" s="31" t="n"/>
    </row>
    <row r="136">
      <c r="A136" s="29" t="n"/>
      <c r="B136" s="30" t="n"/>
      <c r="C136" s="31" t="n"/>
      <c r="D136" s="32" t="n"/>
      <c r="E136" s="32" t="n"/>
      <c r="F136" s="54" t="n"/>
      <c r="G136" s="30" t="n"/>
      <c r="H136" s="42" t="str">
        <f>IF(AND(ISNUMBER(G136),ISNUMBER(B136)),G136-B136,"")</f>
        <v/>
      </c>
      <c r="I136" s="29" t="n"/>
      <c r="J136" s="54" t="n"/>
      <c r="K136" s="18" t="n"/>
      <c r="L136" s="30" t="n"/>
      <c r="M136" s="54" t="n"/>
      <c r="N136" s="18" t="n"/>
      <c r="O136" s="42" t="str">
        <f>IF(OR(ISNUMBER(L136),NOT(ISNUMBER(G136))),"",G136-$D$3)</f>
        <v/>
      </c>
      <c r="P136" s="20" t="str">
        <f>IF(N(I136)=0,"",I136*'参数'!$C$16*IF(ISNUMBER(L136),IF(N(M136)=0,1,2),1))</f>
        <v/>
      </c>
      <c r="Q136" s="23" t="n"/>
      <c r="R136" s="23" t="n"/>
      <c r="S136" s="20" t="str">
        <f>IF(ISNUMBER(R136),R136,IF(AND(E136="买方",ISNUMBER(J136),N(I136)&gt;0),J136*100*I136+I136*'参数'!$C$16,""))</f>
        <v/>
      </c>
      <c r="T136" s="53" t="str">
        <f>IF(AND(ISNUMBER(L136),ISNUMBER(M136),ISNUMBER(J136),N(I136)&gt;0),IF(E136="卖方",J136-M136,M136-J136)*100*I136-IF(ISNUMBER(Q136),Q136,P136),"")</f>
        <v/>
      </c>
      <c r="U136" s="45" t="str">
        <f>IF(AND(ISNUMBER(T136),N(S136)&gt;0),T136/S136,"")</f>
        <v/>
      </c>
      <c r="V136" s="31" t="n"/>
    </row>
    <row r="137">
      <c r="A137" s="29" t="n"/>
      <c r="B137" s="30" t="n"/>
      <c r="C137" s="31" t="n"/>
      <c r="D137" s="32" t="n"/>
      <c r="E137" s="32" t="n"/>
      <c r="F137" s="54" t="n"/>
      <c r="G137" s="30" t="n"/>
      <c r="H137" s="42" t="str">
        <f>IF(AND(ISNUMBER(G137),ISNUMBER(B137)),G137-B137,"")</f>
        <v/>
      </c>
      <c r="I137" s="29" t="n"/>
      <c r="J137" s="54" t="n"/>
      <c r="K137" s="18" t="n"/>
      <c r="L137" s="30" t="n"/>
      <c r="M137" s="54" t="n"/>
      <c r="N137" s="18" t="n"/>
      <c r="O137" s="42" t="str">
        <f>IF(OR(ISNUMBER(L137),NOT(ISNUMBER(G137))),"",G137-$D$3)</f>
        <v/>
      </c>
      <c r="P137" s="20" t="str">
        <f>IF(N(I137)=0,"",I137*'参数'!$C$16*IF(ISNUMBER(L137),IF(N(M137)=0,1,2),1))</f>
        <v/>
      </c>
      <c r="Q137" s="23" t="n"/>
      <c r="R137" s="23" t="n"/>
      <c r="S137" s="20" t="str">
        <f>IF(ISNUMBER(R137),R137,IF(AND(E137="买方",ISNUMBER(J137),N(I137)&gt;0),J137*100*I137+I137*'参数'!$C$16,""))</f>
        <v/>
      </c>
      <c r="T137" s="53" t="str">
        <f>IF(AND(ISNUMBER(L137),ISNUMBER(M137),ISNUMBER(J137),N(I137)&gt;0),IF(E137="卖方",J137-M137,M137-J137)*100*I137-IF(ISNUMBER(Q137),Q137,P137),"")</f>
        <v/>
      </c>
      <c r="U137" s="45" t="str">
        <f>IF(AND(ISNUMBER(T137),N(S137)&gt;0),T137/S137,"")</f>
        <v/>
      </c>
      <c r="V137" s="31" t="n"/>
    </row>
    <row r="138">
      <c r="A138" s="29" t="n"/>
      <c r="B138" s="30" t="n"/>
      <c r="C138" s="31" t="n"/>
      <c r="D138" s="32" t="n"/>
      <c r="E138" s="32" t="n"/>
      <c r="F138" s="54" t="n"/>
      <c r="G138" s="30" t="n"/>
      <c r="H138" s="42" t="str">
        <f>IF(AND(ISNUMBER(G138),ISNUMBER(B138)),G138-B138,"")</f>
        <v/>
      </c>
      <c r="I138" s="29" t="n"/>
      <c r="J138" s="54" t="n"/>
      <c r="K138" s="18" t="n"/>
      <c r="L138" s="30" t="n"/>
      <c r="M138" s="54" t="n"/>
      <c r="N138" s="18" t="n"/>
      <c r="O138" s="42" t="str">
        <f>IF(OR(ISNUMBER(L138),NOT(ISNUMBER(G138))),"",G138-$D$3)</f>
        <v/>
      </c>
      <c r="P138" s="20" t="str">
        <f>IF(N(I138)=0,"",I138*'参数'!$C$16*IF(ISNUMBER(L138),IF(N(M138)=0,1,2),1))</f>
        <v/>
      </c>
      <c r="Q138" s="23" t="n"/>
      <c r="R138" s="23" t="n"/>
      <c r="S138" s="20" t="str">
        <f>IF(ISNUMBER(R138),R138,IF(AND(E138="买方",ISNUMBER(J138),N(I138)&gt;0),J138*100*I138+I138*'参数'!$C$16,""))</f>
        <v/>
      </c>
      <c r="T138" s="53" t="str">
        <f>IF(AND(ISNUMBER(L138),ISNUMBER(M138),ISNUMBER(J138),N(I138)&gt;0),IF(E138="卖方",J138-M138,M138-J138)*100*I138-IF(ISNUMBER(Q138),Q138,P138),"")</f>
        <v/>
      </c>
      <c r="U138" s="45" t="str">
        <f>IF(AND(ISNUMBER(T138),N(S138)&gt;0),T138/S138,"")</f>
        <v/>
      </c>
      <c r="V138" s="31" t="n"/>
    </row>
    <row r="139">
      <c r="A139" s="29" t="n"/>
      <c r="B139" s="30" t="n"/>
      <c r="C139" s="31" t="n"/>
      <c r="D139" s="32" t="n"/>
      <c r="E139" s="32" t="n"/>
      <c r="F139" s="54" t="n"/>
      <c r="G139" s="30" t="n"/>
      <c r="H139" s="42" t="str">
        <f>IF(AND(ISNUMBER(G139),ISNUMBER(B139)),G139-B139,"")</f>
        <v/>
      </c>
      <c r="I139" s="29" t="n"/>
      <c r="J139" s="54" t="n"/>
      <c r="K139" s="18" t="n"/>
      <c r="L139" s="30" t="n"/>
      <c r="M139" s="54" t="n"/>
      <c r="N139" s="18" t="n"/>
      <c r="O139" s="42" t="str">
        <f>IF(OR(ISNUMBER(L139),NOT(ISNUMBER(G139))),"",G139-$D$3)</f>
        <v/>
      </c>
      <c r="P139" s="20" t="str">
        <f>IF(N(I139)=0,"",I139*'参数'!$C$16*IF(ISNUMBER(L139),IF(N(M139)=0,1,2),1))</f>
        <v/>
      </c>
      <c r="Q139" s="23" t="n"/>
      <c r="R139" s="23" t="n"/>
      <c r="S139" s="20" t="str">
        <f>IF(ISNUMBER(R139),R139,IF(AND(E139="买方",ISNUMBER(J139),N(I139)&gt;0),J139*100*I139+I139*'参数'!$C$16,""))</f>
        <v/>
      </c>
      <c r="T139" s="53" t="str">
        <f>IF(AND(ISNUMBER(L139),ISNUMBER(M139),ISNUMBER(J139),N(I139)&gt;0),IF(E139="卖方",J139-M139,M139-J139)*100*I139-IF(ISNUMBER(Q139),Q139,P139),"")</f>
        <v/>
      </c>
      <c r="U139" s="45" t="str">
        <f>IF(AND(ISNUMBER(T139),N(S139)&gt;0),T139/S139,"")</f>
        <v/>
      </c>
      <c r="V139" s="31" t="n"/>
    </row>
    <row r="140">
      <c r="A140" s="29" t="n"/>
      <c r="B140" s="30" t="n"/>
      <c r="C140" s="31" t="n"/>
      <c r="D140" s="32" t="n"/>
      <c r="E140" s="32" t="n"/>
      <c r="F140" s="54" t="n"/>
      <c r="G140" s="30" t="n"/>
      <c r="H140" s="42" t="str">
        <f>IF(AND(ISNUMBER(G140),ISNUMBER(B140)),G140-B140,"")</f>
        <v/>
      </c>
      <c r="I140" s="29" t="n"/>
      <c r="J140" s="54" t="n"/>
      <c r="K140" s="18" t="n"/>
      <c r="L140" s="30" t="n"/>
      <c r="M140" s="54" t="n"/>
      <c r="N140" s="18" t="n"/>
      <c r="O140" s="42" t="str">
        <f>IF(OR(ISNUMBER(L140),NOT(ISNUMBER(G140))),"",G140-$D$3)</f>
        <v/>
      </c>
      <c r="P140" s="20" t="str">
        <f>IF(N(I140)=0,"",I140*'参数'!$C$16*IF(ISNUMBER(L140),IF(N(M140)=0,1,2),1))</f>
        <v/>
      </c>
      <c r="Q140" s="23" t="n"/>
      <c r="R140" s="23" t="n"/>
      <c r="S140" s="20" t="str">
        <f>IF(ISNUMBER(R140),R140,IF(AND(E140="买方",ISNUMBER(J140),N(I140)&gt;0),J140*100*I140+I140*'参数'!$C$16,""))</f>
        <v/>
      </c>
      <c r="T140" s="53" t="str">
        <f>IF(AND(ISNUMBER(L140),ISNUMBER(M140),ISNUMBER(J140),N(I140)&gt;0),IF(E140="卖方",J140-M140,M140-J140)*100*I140-IF(ISNUMBER(Q140),Q140,P140),"")</f>
        <v/>
      </c>
      <c r="U140" s="45" t="str">
        <f>IF(AND(ISNUMBER(T140),N(S140)&gt;0),T140/S140,"")</f>
        <v/>
      </c>
      <c r="V140" s="31" t="n"/>
    </row>
    <row r="141">
      <c r="A141" s="29" t="n"/>
      <c r="B141" s="30" t="n"/>
      <c r="C141" s="31" t="n"/>
      <c r="D141" s="32" t="n"/>
      <c r="E141" s="32" t="n"/>
      <c r="F141" s="54" t="n"/>
      <c r="G141" s="30" t="n"/>
      <c r="H141" s="42" t="str">
        <f>IF(AND(ISNUMBER(G141),ISNUMBER(B141)),G141-B141,"")</f>
        <v/>
      </c>
      <c r="I141" s="29" t="n"/>
      <c r="J141" s="54" t="n"/>
      <c r="K141" s="18" t="n"/>
      <c r="L141" s="30" t="n"/>
      <c r="M141" s="54" t="n"/>
      <c r="N141" s="18" t="n"/>
      <c r="O141" s="42" t="str">
        <f>IF(OR(ISNUMBER(L141),NOT(ISNUMBER(G141))),"",G141-$D$3)</f>
        <v/>
      </c>
      <c r="P141" s="20" t="str">
        <f>IF(N(I141)=0,"",I141*'参数'!$C$16*IF(ISNUMBER(L141),IF(N(M141)=0,1,2),1))</f>
        <v/>
      </c>
      <c r="Q141" s="23" t="n"/>
      <c r="R141" s="23" t="n"/>
      <c r="S141" s="20" t="str">
        <f>IF(ISNUMBER(R141),R141,IF(AND(E141="买方",ISNUMBER(J141),N(I141)&gt;0),J141*100*I141+I141*'参数'!$C$16,""))</f>
        <v/>
      </c>
      <c r="T141" s="53" t="str">
        <f>IF(AND(ISNUMBER(L141),ISNUMBER(M141),ISNUMBER(J141),N(I141)&gt;0),IF(E141="卖方",J141-M141,M141-J141)*100*I141-IF(ISNUMBER(Q141),Q141,P141),"")</f>
        <v/>
      </c>
      <c r="U141" s="45" t="str">
        <f>IF(AND(ISNUMBER(T141),N(S141)&gt;0),T141/S141,"")</f>
        <v/>
      </c>
      <c r="V141" s="31" t="n"/>
    </row>
    <row r="142">
      <c r="A142" s="29" t="n"/>
      <c r="B142" s="30" t="n"/>
      <c r="C142" s="31" t="n"/>
      <c r="D142" s="32" t="n"/>
      <c r="E142" s="32" t="n"/>
      <c r="F142" s="54" t="n"/>
      <c r="G142" s="30" t="n"/>
      <c r="H142" s="42" t="str">
        <f>IF(AND(ISNUMBER(G142),ISNUMBER(B142)),G142-B142,"")</f>
        <v/>
      </c>
      <c r="I142" s="29" t="n"/>
      <c r="J142" s="54" t="n"/>
      <c r="K142" s="18" t="n"/>
      <c r="L142" s="30" t="n"/>
      <c r="M142" s="54" t="n"/>
      <c r="N142" s="18" t="n"/>
      <c r="O142" s="42" t="str">
        <f>IF(OR(ISNUMBER(L142),NOT(ISNUMBER(G142))),"",G142-$D$3)</f>
        <v/>
      </c>
      <c r="P142" s="20" t="str">
        <f>IF(N(I142)=0,"",I142*'参数'!$C$16*IF(ISNUMBER(L142),IF(N(M142)=0,1,2),1))</f>
        <v/>
      </c>
      <c r="Q142" s="23" t="n"/>
      <c r="R142" s="23" t="n"/>
      <c r="S142" s="20" t="str">
        <f>IF(ISNUMBER(R142),R142,IF(AND(E142="买方",ISNUMBER(J142),N(I142)&gt;0),J142*100*I142+I142*'参数'!$C$16,""))</f>
        <v/>
      </c>
      <c r="T142" s="53" t="str">
        <f>IF(AND(ISNUMBER(L142),ISNUMBER(M142),ISNUMBER(J142),N(I142)&gt;0),IF(E142="卖方",J142-M142,M142-J142)*100*I142-IF(ISNUMBER(Q142),Q142,P142),"")</f>
        <v/>
      </c>
      <c r="U142" s="45" t="str">
        <f>IF(AND(ISNUMBER(T142),N(S142)&gt;0),T142/S142,"")</f>
        <v/>
      </c>
      <c r="V142" s="31" t="n"/>
    </row>
    <row r="143">
      <c r="A143" s="29" t="n"/>
      <c r="B143" s="30" t="n"/>
      <c r="C143" s="31" t="n"/>
      <c r="D143" s="32" t="n"/>
      <c r="E143" s="32" t="n"/>
      <c r="F143" s="54" t="n"/>
      <c r="G143" s="30" t="n"/>
      <c r="H143" s="42" t="str">
        <f>IF(AND(ISNUMBER(G143),ISNUMBER(B143)),G143-B143,"")</f>
        <v/>
      </c>
      <c r="I143" s="29" t="n"/>
      <c r="J143" s="54" t="n"/>
      <c r="K143" s="18" t="n"/>
      <c r="L143" s="30" t="n"/>
      <c r="M143" s="54" t="n"/>
      <c r="N143" s="18" t="n"/>
      <c r="O143" s="42" t="str">
        <f>IF(OR(ISNUMBER(L143),NOT(ISNUMBER(G143))),"",G143-$D$3)</f>
        <v/>
      </c>
      <c r="P143" s="20" t="str">
        <f>IF(N(I143)=0,"",I143*'参数'!$C$16*IF(ISNUMBER(L143),IF(N(M143)=0,1,2),1))</f>
        <v/>
      </c>
      <c r="Q143" s="23" t="n"/>
      <c r="R143" s="23" t="n"/>
      <c r="S143" s="20" t="str">
        <f>IF(ISNUMBER(R143),R143,IF(AND(E143="买方",ISNUMBER(J143),N(I143)&gt;0),J143*100*I143+I143*'参数'!$C$16,""))</f>
        <v/>
      </c>
      <c r="T143" s="53" t="str">
        <f>IF(AND(ISNUMBER(L143),ISNUMBER(M143),ISNUMBER(J143),N(I143)&gt;0),IF(E143="卖方",J143-M143,M143-J143)*100*I143-IF(ISNUMBER(Q143),Q143,P143),"")</f>
        <v/>
      </c>
      <c r="U143" s="45" t="str">
        <f>IF(AND(ISNUMBER(T143),N(S143)&gt;0),T143/S143,"")</f>
        <v/>
      </c>
      <c r="V143" s="31" t="n"/>
    </row>
    <row r="144">
      <c r="A144" s="29" t="n"/>
      <c r="B144" s="30" t="n"/>
      <c r="C144" s="31" t="n"/>
      <c r="D144" s="32" t="n"/>
      <c r="E144" s="32" t="n"/>
      <c r="F144" s="54" t="n"/>
      <c r="G144" s="30" t="n"/>
      <c r="H144" s="42" t="str">
        <f>IF(AND(ISNUMBER(G144),ISNUMBER(B144)),G144-B144,"")</f>
        <v/>
      </c>
      <c r="I144" s="29" t="n"/>
      <c r="J144" s="54" t="n"/>
      <c r="K144" s="18" t="n"/>
      <c r="L144" s="30" t="n"/>
      <c r="M144" s="54" t="n"/>
      <c r="N144" s="18" t="n"/>
      <c r="O144" s="42" t="str">
        <f>IF(OR(ISNUMBER(L144),NOT(ISNUMBER(G144))),"",G144-$D$3)</f>
        <v/>
      </c>
      <c r="P144" s="20" t="str">
        <f>IF(N(I144)=0,"",I144*'参数'!$C$16*IF(ISNUMBER(L144),IF(N(M144)=0,1,2),1))</f>
        <v/>
      </c>
      <c r="Q144" s="23" t="n"/>
      <c r="R144" s="23" t="n"/>
      <c r="S144" s="20" t="str">
        <f>IF(ISNUMBER(R144),R144,IF(AND(E144="买方",ISNUMBER(J144),N(I144)&gt;0),J144*100*I144+I144*'参数'!$C$16,""))</f>
        <v/>
      </c>
      <c r="T144" s="53" t="str">
        <f>IF(AND(ISNUMBER(L144),ISNUMBER(M144),ISNUMBER(J144),N(I144)&gt;0),IF(E144="卖方",J144-M144,M144-J144)*100*I144-IF(ISNUMBER(Q144),Q144,P144),"")</f>
        <v/>
      </c>
      <c r="U144" s="45" t="str">
        <f>IF(AND(ISNUMBER(T144),N(S144)&gt;0),T144/S144,"")</f>
        <v/>
      </c>
      <c r="V144" s="31" t="n"/>
    </row>
    <row r="145">
      <c r="A145" s="29" t="n"/>
      <c r="B145" s="30" t="n"/>
      <c r="C145" s="31" t="n"/>
      <c r="D145" s="32" t="n"/>
      <c r="E145" s="32" t="n"/>
      <c r="F145" s="54" t="n"/>
      <c r="G145" s="30" t="n"/>
      <c r="H145" s="42" t="str">
        <f>IF(AND(ISNUMBER(G145),ISNUMBER(B145)),G145-B145,"")</f>
        <v/>
      </c>
      <c r="I145" s="29" t="n"/>
      <c r="J145" s="54" t="n"/>
      <c r="K145" s="18" t="n"/>
      <c r="L145" s="30" t="n"/>
      <c r="M145" s="54" t="n"/>
      <c r="N145" s="18" t="n"/>
      <c r="O145" s="42" t="str">
        <f>IF(OR(ISNUMBER(L145),NOT(ISNUMBER(G145))),"",G145-$D$3)</f>
        <v/>
      </c>
      <c r="P145" s="20" t="str">
        <f>IF(N(I145)=0,"",I145*'参数'!$C$16*IF(ISNUMBER(L145),IF(N(M145)=0,1,2),1))</f>
        <v/>
      </c>
      <c r="Q145" s="23" t="n"/>
      <c r="R145" s="23" t="n"/>
      <c r="S145" s="20" t="str">
        <f>IF(ISNUMBER(R145),R145,IF(AND(E145="买方",ISNUMBER(J145),N(I145)&gt;0),J145*100*I145+I145*'参数'!$C$16,""))</f>
        <v/>
      </c>
      <c r="T145" s="53" t="str">
        <f>IF(AND(ISNUMBER(L145),ISNUMBER(M145),ISNUMBER(J145),N(I145)&gt;0),IF(E145="卖方",J145-M145,M145-J145)*100*I145-IF(ISNUMBER(Q145),Q145,P145),"")</f>
        <v/>
      </c>
      <c r="U145" s="45" t="str">
        <f>IF(AND(ISNUMBER(T145),N(S145)&gt;0),T145/S145,"")</f>
        <v/>
      </c>
      <c r="V145" s="31" t="n"/>
    </row>
    <row r="146">
      <c r="A146" s="29" t="n"/>
      <c r="B146" s="30" t="n"/>
      <c r="C146" s="31" t="n"/>
      <c r="D146" s="32" t="n"/>
      <c r="E146" s="32" t="n"/>
      <c r="F146" s="54" t="n"/>
      <c r="G146" s="30" t="n"/>
      <c r="H146" s="42" t="str">
        <f>IF(AND(ISNUMBER(G146),ISNUMBER(B146)),G146-B146,"")</f>
        <v/>
      </c>
      <c r="I146" s="29" t="n"/>
      <c r="J146" s="54" t="n"/>
      <c r="K146" s="18" t="n"/>
      <c r="L146" s="30" t="n"/>
      <c r="M146" s="54" t="n"/>
      <c r="N146" s="18" t="n"/>
      <c r="O146" s="42" t="str">
        <f>IF(OR(ISNUMBER(L146),NOT(ISNUMBER(G146))),"",G146-$D$3)</f>
        <v/>
      </c>
      <c r="P146" s="20" t="str">
        <f>IF(N(I146)=0,"",I146*'参数'!$C$16*IF(ISNUMBER(L146),IF(N(M146)=0,1,2),1))</f>
        <v/>
      </c>
      <c r="Q146" s="23" t="n"/>
      <c r="R146" s="23" t="n"/>
      <c r="S146" s="20" t="str">
        <f>IF(ISNUMBER(R146),R146,IF(AND(E146="买方",ISNUMBER(J146),N(I146)&gt;0),J146*100*I146+I146*'参数'!$C$16,""))</f>
        <v/>
      </c>
      <c r="T146" s="53" t="str">
        <f>IF(AND(ISNUMBER(L146),ISNUMBER(M146),ISNUMBER(J146),N(I146)&gt;0),IF(E146="卖方",J146-M146,M146-J146)*100*I146-IF(ISNUMBER(Q146),Q146,P146),"")</f>
        <v/>
      </c>
      <c r="U146" s="45" t="str">
        <f>IF(AND(ISNUMBER(T146),N(S146)&gt;0),T146/S146,"")</f>
        <v/>
      </c>
      <c r="V146" s="31" t="n"/>
    </row>
    <row r="147">
      <c r="A147" s="29" t="n"/>
      <c r="B147" s="30" t="n"/>
      <c r="C147" s="31" t="n"/>
      <c r="D147" s="32" t="n"/>
      <c r="E147" s="32" t="n"/>
      <c r="F147" s="54" t="n"/>
      <c r="G147" s="30" t="n"/>
      <c r="H147" s="42" t="str">
        <f>IF(AND(ISNUMBER(G147),ISNUMBER(B147)),G147-B147,"")</f>
        <v/>
      </c>
      <c r="I147" s="29" t="n"/>
      <c r="J147" s="54" t="n"/>
      <c r="K147" s="18" t="n"/>
      <c r="L147" s="30" t="n"/>
      <c r="M147" s="54" t="n"/>
      <c r="N147" s="18" t="n"/>
      <c r="O147" s="42" t="str">
        <f>IF(OR(ISNUMBER(L147),NOT(ISNUMBER(G147))),"",G147-$D$3)</f>
        <v/>
      </c>
      <c r="P147" s="20" t="str">
        <f>IF(N(I147)=0,"",I147*'参数'!$C$16*IF(ISNUMBER(L147),IF(N(M147)=0,1,2),1))</f>
        <v/>
      </c>
      <c r="Q147" s="23" t="n"/>
      <c r="R147" s="23" t="n"/>
      <c r="S147" s="20" t="str">
        <f>IF(ISNUMBER(R147),R147,IF(AND(E147="买方",ISNUMBER(J147),N(I147)&gt;0),J147*100*I147+I147*'参数'!$C$16,""))</f>
        <v/>
      </c>
      <c r="T147" s="53" t="str">
        <f>IF(AND(ISNUMBER(L147),ISNUMBER(M147),ISNUMBER(J147),N(I147)&gt;0),IF(E147="卖方",J147-M147,M147-J147)*100*I147-IF(ISNUMBER(Q147),Q147,P147),"")</f>
        <v/>
      </c>
      <c r="U147" s="45" t="str">
        <f>IF(AND(ISNUMBER(T147),N(S147)&gt;0),T147/S147,"")</f>
        <v/>
      </c>
      <c r="V147" s="31" t="n"/>
    </row>
    <row r="148">
      <c r="A148" s="29" t="n"/>
      <c r="B148" s="30" t="n"/>
      <c r="C148" s="31" t="n"/>
      <c r="D148" s="32" t="n"/>
      <c r="E148" s="32" t="n"/>
      <c r="F148" s="54" t="n"/>
      <c r="G148" s="30" t="n"/>
      <c r="H148" s="42" t="str">
        <f>IF(AND(ISNUMBER(G148),ISNUMBER(B148)),G148-B148,"")</f>
        <v/>
      </c>
      <c r="I148" s="29" t="n"/>
      <c r="J148" s="54" t="n"/>
      <c r="K148" s="18" t="n"/>
      <c r="L148" s="30" t="n"/>
      <c r="M148" s="54" t="n"/>
      <c r="N148" s="18" t="n"/>
      <c r="O148" s="42" t="str">
        <f>IF(OR(ISNUMBER(L148),NOT(ISNUMBER(G148))),"",G148-$D$3)</f>
        <v/>
      </c>
      <c r="P148" s="20" t="str">
        <f>IF(N(I148)=0,"",I148*'参数'!$C$16*IF(ISNUMBER(L148),IF(N(M148)=0,1,2),1))</f>
        <v/>
      </c>
      <c r="Q148" s="23" t="n"/>
      <c r="R148" s="23" t="n"/>
      <c r="S148" s="20" t="str">
        <f>IF(ISNUMBER(R148),R148,IF(AND(E148="买方",ISNUMBER(J148),N(I148)&gt;0),J148*100*I148+I148*'参数'!$C$16,""))</f>
        <v/>
      </c>
      <c r="T148" s="53" t="str">
        <f>IF(AND(ISNUMBER(L148),ISNUMBER(M148),ISNUMBER(J148),N(I148)&gt;0),IF(E148="卖方",J148-M148,M148-J148)*100*I148-IF(ISNUMBER(Q148),Q148,P148),"")</f>
        <v/>
      </c>
      <c r="U148" s="45" t="str">
        <f>IF(AND(ISNUMBER(T148),N(S148)&gt;0),T148/S148,"")</f>
        <v/>
      </c>
      <c r="V148" s="31" t="n"/>
    </row>
    <row r="149">
      <c r="A149" s="29" t="n"/>
      <c r="B149" s="30" t="n"/>
      <c r="C149" s="31" t="n"/>
      <c r="D149" s="32" t="n"/>
      <c r="E149" s="32" t="n"/>
      <c r="F149" s="54" t="n"/>
      <c r="G149" s="30" t="n"/>
      <c r="H149" s="42" t="str">
        <f>IF(AND(ISNUMBER(G149),ISNUMBER(B149)),G149-B149,"")</f>
        <v/>
      </c>
      <c r="I149" s="29" t="n"/>
      <c r="J149" s="54" t="n"/>
      <c r="K149" s="18" t="n"/>
      <c r="L149" s="30" t="n"/>
      <c r="M149" s="54" t="n"/>
      <c r="N149" s="18" t="n"/>
      <c r="O149" s="42" t="str">
        <f>IF(OR(ISNUMBER(L149),NOT(ISNUMBER(G149))),"",G149-$D$3)</f>
        <v/>
      </c>
      <c r="P149" s="20" t="str">
        <f>IF(N(I149)=0,"",I149*'参数'!$C$16*IF(ISNUMBER(L149),IF(N(M149)=0,1,2),1))</f>
        <v/>
      </c>
      <c r="Q149" s="23" t="n"/>
      <c r="R149" s="23" t="n"/>
      <c r="S149" s="20" t="str">
        <f>IF(ISNUMBER(R149),R149,IF(AND(E149="买方",ISNUMBER(J149),N(I149)&gt;0),J149*100*I149+I149*'参数'!$C$16,""))</f>
        <v/>
      </c>
      <c r="T149" s="53" t="str">
        <f>IF(AND(ISNUMBER(L149),ISNUMBER(M149),ISNUMBER(J149),N(I149)&gt;0),IF(E149="卖方",J149-M149,M149-J149)*100*I149-IF(ISNUMBER(Q149),Q149,P149),"")</f>
        <v/>
      </c>
      <c r="U149" s="45" t="str">
        <f>IF(AND(ISNUMBER(T149),N(S149)&gt;0),T149/S149,"")</f>
        <v/>
      </c>
      <c r="V149" s="31" t="n"/>
    </row>
    <row r="150">
      <c r="A150" s="29" t="n"/>
      <c r="B150" s="30" t="n"/>
      <c r="C150" s="31" t="n"/>
      <c r="D150" s="32" t="n"/>
      <c r="E150" s="32" t="n"/>
      <c r="F150" s="54" t="n"/>
      <c r="G150" s="30" t="n"/>
      <c r="H150" s="42" t="str">
        <f>IF(AND(ISNUMBER(G150),ISNUMBER(B150)),G150-B150,"")</f>
        <v/>
      </c>
      <c r="I150" s="29" t="n"/>
      <c r="J150" s="54" t="n"/>
      <c r="K150" s="18" t="n"/>
      <c r="L150" s="30" t="n"/>
      <c r="M150" s="54" t="n"/>
      <c r="N150" s="18" t="n"/>
      <c r="O150" s="42" t="str">
        <f>IF(OR(ISNUMBER(L150),NOT(ISNUMBER(G150))),"",G150-$D$3)</f>
        <v/>
      </c>
      <c r="P150" s="20" t="str">
        <f>IF(N(I150)=0,"",I150*'参数'!$C$16*IF(ISNUMBER(L150),IF(N(M150)=0,1,2),1))</f>
        <v/>
      </c>
      <c r="Q150" s="23" t="n"/>
      <c r="R150" s="23" t="n"/>
      <c r="S150" s="20" t="str">
        <f>IF(ISNUMBER(R150),R150,IF(AND(E150="买方",ISNUMBER(J150),N(I150)&gt;0),J150*100*I150+I150*'参数'!$C$16,""))</f>
        <v/>
      </c>
      <c r="T150" s="53" t="str">
        <f>IF(AND(ISNUMBER(L150),ISNUMBER(M150),ISNUMBER(J150),N(I150)&gt;0),IF(E150="卖方",J150-M150,M150-J150)*100*I150-IF(ISNUMBER(Q150),Q150,P150),"")</f>
        <v/>
      </c>
      <c r="U150" s="45" t="str">
        <f>IF(AND(ISNUMBER(T150),N(S150)&gt;0),T150/S150,"")</f>
        <v/>
      </c>
      <c r="V150" s="31" t="n"/>
    </row>
    <row r="151">
      <c r="A151" s="29" t="n"/>
      <c r="B151" s="30" t="n"/>
      <c r="C151" s="31" t="n"/>
      <c r="D151" s="32" t="n"/>
      <c r="E151" s="32" t="n"/>
      <c r="F151" s="54" t="n"/>
      <c r="G151" s="30" t="n"/>
      <c r="H151" s="42" t="str">
        <f>IF(AND(ISNUMBER(G151),ISNUMBER(B151)),G151-B151,"")</f>
        <v/>
      </c>
      <c r="I151" s="29" t="n"/>
      <c r="J151" s="54" t="n"/>
      <c r="K151" s="18" t="n"/>
      <c r="L151" s="30" t="n"/>
      <c r="M151" s="54" t="n"/>
      <c r="N151" s="18" t="n"/>
      <c r="O151" s="42" t="str">
        <f>IF(OR(ISNUMBER(L151),NOT(ISNUMBER(G151))),"",G151-$D$3)</f>
        <v/>
      </c>
      <c r="P151" s="20" t="str">
        <f>IF(N(I151)=0,"",I151*'参数'!$C$16*IF(ISNUMBER(L151),IF(N(M151)=0,1,2),1))</f>
        <v/>
      </c>
      <c r="Q151" s="23" t="n"/>
      <c r="R151" s="23" t="n"/>
      <c r="S151" s="20" t="str">
        <f>IF(ISNUMBER(R151),R151,IF(AND(E151="买方",ISNUMBER(J151),N(I151)&gt;0),J151*100*I151+I151*'参数'!$C$16,""))</f>
        <v/>
      </c>
      <c r="T151" s="53" t="str">
        <f>IF(AND(ISNUMBER(L151),ISNUMBER(M151),ISNUMBER(J151),N(I151)&gt;0),IF(E151="卖方",J151-M151,M151-J151)*100*I151-IF(ISNUMBER(Q151),Q151,P151),"")</f>
        <v/>
      </c>
      <c r="U151" s="45" t="str">
        <f>IF(AND(ISNUMBER(T151),N(S151)&gt;0),T151/S151,"")</f>
        <v/>
      </c>
      <c r="V151" s="31" t="n"/>
    </row>
    <row r="152">
      <c r="A152" s="29" t="n"/>
      <c r="B152" s="30" t="n"/>
      <c r="C152" s="31" t="n"/>
      <c r="D152" s="32" t="n"/>
      <c r="E152" s="32" t="n"/>
      <c r="F152" s="54" t="n"/>
      <c r="G152" s="30" t="n"/>
      <c r="H152" s="42" t="str">
        <f>IF(AND(ISNUMBER(G152),ISNUMBER(B152)),G152-B152,"")</f>
        <v/>
      </c>
      <c r="I152" s="29" t="n"/>
      <c r="J152" s="54" t="n"/>
      <c r="K152" s="18" t="n"/>
      <c r="L152" s="30" t="n"/>
      <c r="M152" s="54" t="n"/>
      <c r="N152" s="18" t="n"/>
      <c r="O152" s="42" t="str">
        <f>IF(OR(ISNUMBER(L152),NOT(ISNUMBER(G152))),"",G152-$D$3)</f>
        <v/>
      </c>
      <c r="P152" s="20" t="str">
        <f>IF(N(I152)=0,"",I152*'参数'!$C$16*IF(ISNUMBER(L152),IF(N(M152)=0,1,2),1))</f>
        <v/>
      </c>
      <c r="Q152" s="23" t="n"/>
      <c r="R152" s="23" t="n"/>
      <c r="S152" s="20" t="str">
        <f>IF(ISNUMBER(R152),R152,IF(AND(E152="买方",ISNUMBER(J152),N(I152)&gt;0),J152*100*I152+I152*'参数'!$C$16,""))</f>
        <v/>
      </c>
      <c r="T152" s="53" t="str">
        <f>IF(AND(ISNUMBER(L152),ISNUMBER(M152),ISNUMBER(J152),N(I152)&gt;0),IF(E152="卖方",J152-M152,M152-J152)*100*I152-IF(ISNUMBER(Q152),Q152,P152),"")</f>
        <v/>
      </c>
      <c r="U152" s="45" t="str">
        <f>IF(AND(ISNUMBER(T152),N(S152)&gt;0),T152/S152,"")</f>
        <v/>
      </c>
      <c r="V152" s="31" t="n"/>
    </row>
    <row r="153">
      <c r="A153" s="29" t="n"/>
      <c r="B153" s="30" t="n"/>
      <c r="C153" s="31" t="n"/>
      <c r="D153" s="32" t="n"/>
      <c r="E153" s="32" t="n"/>
      <c r="F153" s="54" t="n"/>
      <c r="G153" s="30" t="n"/>
      <c r="H153" s="42" t="str">
        <f>IF(AND(ISNUMBER(G153),ISNUMBER(B153)),G153-B153,"")</f>
        <v/>
      </c>
      <c r="I153" s="29" t="n"/>
      <c r="J153" s="54" t="n"/>
      <c r="K153" s="18" t="n"/>
      <c r="L153" s="30" t="n"/>
      <c r="M153" s="54" t="n"/>
      <c r="N153" s="18" t="n"/>
      <c r="O153" s="42" t="str">
        <f>IF(OR(ISNUMBER(L153),NOT(ISNUMBER(G153))),"",G153-$D$3)</f>
        <v/>
      </c>
      <c r="P153" s="20" t="str">
        <f>IF(N(I153)=0,"",I153*'参数'!$C$16*IF(ISNUMBER(L153),IF(N(M153)=0,1,2),1))</f>
        <v/>
      </c>
      <c r="Q153" s="23" t="n"/>
      <c r="R153" s="23" t="n"/>
      <c r="S153" s="20" t="str">
        <f>IF(ISNUMBER(R153),R153,IF(AND(E153="买方",ISNUMBER(J153),N(I153)&gt;0),J153*100*I153+I153*'参数'!$C$16,""))</f>
        <v/>
      </c>
      <c r="T153" s="53" t="str">
        <f>IF(AND(ISNUMBER(L153),ISNUMBER(M153),ISNUMBER(J153),N(I153)&gt;0),IF(E153="卖方",J153-M153,M153-J153)*100*I153-IF(ISNUMBER(Q153),Q153,P153),"")</f>
        <v/>
      </c>
      <c r="U153" s="45" t="str">
        <f>IF(AND(ISNUMBER(T153),N(S153)&gt;0),T153/S153,"")</f>
        <v/>
      </c>
      <c r="V153" s="31" t="n"/>
    </row>
    <row r="154">
      <c r="A154" s="29" t="n"/>
      <c r="B154" s="30" t="n"/>
      <c r="C154" s="31" t="n"/>
      <c r="D154" s="32" t="n"/>
      <c r="E154" s="32" t="n"/>
      <c r="F154" s="54" t="n"/>
      <c r="G154" s="30" t="n"/>
      <c r="H154" s="42" t="str">
        <f>IF(AND(ISNUMBER(G154),ISNUMBER(B154)),G154-B154,"")</f>
        <v/>
      </c>
      <c r="I154" s="29" t="n"/>
      <c r="J154" s="54" t="n"/>
      <c r="K154" s="18" t="n"/>
      <c r="L154" s="30" t="n"/>
      <c r="M154" s="54" t="n"/>
      <c r="N154" s="18" t="n"/>
      <c r="O154" s="42" t="str">
        <f>IF(OR(ISNUMBER(L154),NOT(ISNUMBER(G154))),"",G154-$D$3)</f>
        <v/>
      </c>
      <c r="P154" s="20" t="str">
        <f>IF(N(I154)=0,"",I154*'参数'!$C$16*IF(ISNUMBER(L154),IF(N(M154)=0,1,2),1))</f>
        <v/>
      </c>
      <c r="Q154" s="23" t="n"/>
      <c r="R154" s="23" t="n"/>
      <c r="S154" s="20" t="str">
        <f>IF(ISNUMBER(R154),R154,IF(AND(E154="买方",ISNUMBER(J154),N(I154)&gt;0),J154*100*I154+I154*'参数'!$C$16,""))</f>
        <v/>
      </c>
      <c r="T154" s="53" t="str">
        <f>IF(AND(ISNUMBER(L154),ISNUMBER(M154),ISNUMBER(J154),N(I154)&gt;0),IF(E154="卖方",J154-M154,M154-J154)*100*I154-IF(ISNUMBER(Q154),Q154,P154),"")</f>
        <v/>
      </c>
      <c r="U154" s="45" t="str">
        <f>IF(AND(ISNUMBER(T154),N(S154)&gt;0),T154/S154,"")</f>
        <v/>
      </c>
      <c r="V154" s="31" t="n"/>
    </row>
    <row r="155">
      <c r="A155" s="29" t="n"/>
      <c r="B155" s="30" t="n"/>
      <c r="C155" s="31" t="n"/>
      <c r="D155" s="32" t="n"/>
      <c r="E155" s="32" t="n"/>
      <c r="F155" s="54" t="n"/>
      <c r="G155" s="30" t="n"/>
      <c r="H155" s="42" t="str">
        <f>IF(AND(ISNUMBER(G155),ISNUMBER(B155)),G155-B155,"")</f>
        <v/>
      </c>
      <c r="I155" s="29" t="n"/>
      <c r="J155" s="54" t="n"/>
      <c r="K155" s="18" t="n"/>
      <c r="L155" s="30" t="n"/>
      <c r="M155" s="54" t="n"/>
      <c r="N155" s="18" t="n"/>
      <c r="O155" s="42" t="str">
        <f>IF(OR(ISNUMBER(L155),NOT(ISNUMBER(G155))),"",G155-$D$3)</f>
        <v/>
      </c>
      <c r="P155" s="20" t="str">
        <f>IF(N(I155)=0,"",I155*'参数'!$C$16*IF(ISNUMBER(L155),IF(N(M155)=0,1,2),1))</f>
        <v/>
      </c>
      <c r="Q155" s="23" t="n"/>
      <c r="R155" s="23" t="n"/>
      <c r="S155" s="20" t="str">
        <f>IF(ISNUMBER(R155),R155,IF(AND(E155="买方",ISNUMBER(J155),N(I155)&gt;0),J155*100*I155+I155*'参数'!$C$16,""))</f>
        <v/>
      </c>
      <c r="T155" s="53" t="str">
        <f>IF(AND(ISNUMBER(L155),ISNUMBER(M155),ISNUMBER(J155),N(I155)&gt;0),IF(E155="卖方",J155-M155,M155-J155)*100*I155-IF(ISNUMBER(Q155),Q155,P155),"")</f>
        <v/>
      </c>
      <c r="U155" s="45" t="str">
        <f>IF(AND(ISNUMBER(T155),N(S155)&gt;0),T155/S155,"")</f>
        <v/>
      </c>
      <c r="V155" s="31" t="n"/>
    </row>
    <row r="156">
      <c r="A156" s="29" t="n"/>
      <c r="B156" s="30" t="n"/>
      <c r="C156" s="31" t="n"/>
      <c r="D156" s="32" t="n"/>
      <c r="E156" s="32" t="n"/>
      <c r="F156" s="54" t="n"/>
      <c r="G156" s="30" t="n"/>
      <c r="H156" s="42" t="str">
        <f>IF(AND(ISNUMBER(G156),ISNUMBER(B156)),G156-B156,"")</f>
        <v/>
      </c>
      <c r="I156" s="29" t="n"/>
      <c r="J156" s="54" t="n"/>
      <c r="K156" s="18" t="n"/>
      <c r="L156" s="30" t="n"/>
      <c r="M156" s="54" t="n"/>
      <c r="N156" s="18" t="n"/>
      <c r="O156" s="42" t="str">
        <f>IF(OR(ISNUMBER(L156),NOT(ISNUMBER(G156))),"",G156-$D$3)</f>
        <v/>
      </c>
      <c r="P156" s="20" t="str">
        <f>IF(N(I156)=0,"",I156*'参数'!$C$16*IF(ISNUMBER(L156),IF(N(M156)=0,1,2),1))</f>
        <v/>
      </c>
      <c r="Q156" s="23" t="n"/>
      <c r="R156" s="23" t="n"/>
      <c r="S156" s="20" t="str">
        <f>IF(ISNUMBER(R156),R156,IF(AND(E156="买方",ISNUMBER(J156),N(I156)&gt;0),J156*100*I156+I156*'参数'!$C$16,""))</f>
        <v/>
      </c>
      <c r="T156" s="53" t="str">
        <f>IF(AND(ISNUMBER(L156),ISNUMBER(M156),ISNUMBER(J156),N(I156)&gt;0),IF(E156="卖方",J156-M156,M156-J156)*100*I156-IF(ISNUMBER(Q156),Q156,P156),"")</f>
        <v/>
      </c>
      <c r="U156" s="45" t="str">
        <f>IF(AND(ISNUMBER(T156),N(S156)&gt;0),T156/S156,"")</f>
        <v/>
      </c>
      <c r="V156" s="31" t="n"/>
    </row>
    <row r="157">
      <c r="A157" s="29" t="n"/>
      <c r="B157" s="30" t="n"/>
      <c r="C157" s="31" t="n"/>
      <c r="D157" s="32" t="n"/>
      <c r="E157" s="32" t="n"/>
      <c r="F157" s="54" t="n"/>
      <c r="G157" s="30" t="n"/>
      <c r="H157" s="42" t="str">
        <f>IF(AND(ISNUMBER(G157),ISNUMBER(B157)),G157-B157,"")</f>
        <v/>
      </c>
      <c r="I157" s="29" t="n"/>
      <c r="J157" s="54" t="n"/>
      <c r="K157" s="18" t="n"/>
      <c r="L157" s="30" t="n"/>
      <c r="M157" s="54" t="n"/>
      <c r="N157" s="18" t="n"/>
      <c r="O157" s="42" t="str">
        <f>IF(OR(ISNUMBER(L157),NOT(ISNUMBER(G157))),"",G157-$D$3)</f>
        <v/>
      </c>
      <c r="P157" s="20" t="str">
        <f>IF(N(I157)=0,"",I157*'参数'!$C$16*IF(ISNUMBER(L157),IF(N(M157)=0,1,2),1))</f>
        <v/>
      </c>
      <c r="Q157" s="23" t="n"/>
      <c r="R157" s="23" t="n"/>
      <c r="S157" s="20" t="str">
        <f>IF(ISNUMBER(R157),R157,IF(AND(E157="买方",ISNUMBER(J157),N(I157)&gt;0),J157*100*I157+I157*'参数'!$C$16,""))</f>
        <v/>
      </c>
      <c r="T157" s="53" t="str">
        <f>IF(AND(ISNUMBER(L157),ISNUMBER(M157),ISNUMBER(J157),N(I157)&gt;0),IF(E157="卖方",J157-M157,M157-J157)*100*I157-IF(ISNUMBER(Q157),Q157,P157),"")</f>
        <v/>
      </c>
      <c r="U157" s="45" t="str">
        <f>IF(AND(ISNUMBER(T157),N(S157)&gt;0),T157/S157,"")</f>
        <v/>
      </c>
      <c r="V157" s="31" t="n"/>
    </row>
    <row r="158">
      <c r="A158" s="29" t="n"/>
      <c r="B158" s="30" t="n"/>
      <c r="C158" s="31" t="n"/>
      <c r="D158" s="32" t="n"/>
      <c r="E158" s="32" t="n"/>
      <c r="F158" s="54" t="n"/>
      <c r="G158" s="30" t="n"/>
      <c r="H158" s="42" t="str">
        <f>IF(AND(ISNUMBER(G158),ISNUMBER(B158)),G158-B158,"")</f>
        <v/>
      </c>
      <c r="I158" s="29" t="n"/>
      <c r="J158" s="54" t="n"/>
      <c r="K158" s="18" t="n"/>
      <c r="L158" s="30" t="n"/>
      <c r="M158" s="54" t="n"/>
      <c r="N158" s="18" t="n"/>
      <c r="O158" s="42" t="str">
        <f>IF(OR(ISNUMBER(L158),NOT(ISNUMBER(G158))),"",G158-$D$3)</f>
        <v/>
      </c>
      <c r="P158" s="20" t="str">
        <f>IF(N(I158)=0,"",I158*'参数'!$C$16*IF(ISNUMBER(L158),IF(N(M158)=0,1,2),1))</f>
        <v/>
      </c>
      <c r="Q158" s="23" t="n"/>
      <c r="R158" s="23" t="n"/>
      <c r="S158" s="20" t="str">
        <f>IF(ISNUMBER(R158),R158,IF(AND(E158="买方",ISNUMBER(J158),N(I158)&gt;0),J158*100*I158+I158*'参数'!$C$16,""))</f>
        <v/>
      </c>
      <c r="T158" s="53" t="str">
        <f>IF(AND(ISNUMBER(L158),ISNUMBER(M158),ISNUMBER(J158),N(I158)&gt;0),IF(E158="卖方",J158-M158,M158-J158)*100*I158-IF(ISNUMBER(Q158),Q158,P158),"")</f>
        <v/>
      </c>
      <c r="U158" s="45" t="str">
        <f>IF(AND(ISNUMBER(T158),N(S158)&gt;0),T158/S158,"")</f>
        <v/>
      </c>
      <c r="V158" s="31" t="n"/>
    </row>
    <row r="159">
      <c r="A159" s="29" t="n"/>
      <c r="B159" s="30" t="n"/>
      <c r="C159" s="31" t="n"/>
      <c r="D159" s="32" t="n"/>
      <c r="E159" s="32" t="n"/>
      <c r="F159" s="54" t="n"/>
      <c r="G159" s="30" t="n"/>
      <c r="H159" s="42" t="str">
        <f>IF(AND(ISNUMBER(G159),ISNUMBER(B159)),G159-B159,"")</f>
        <v/>
      </c>
      <c r="I159" s="29" t="n"/>
      <c r="J159" s="54" t="n"/>
      <c r="K159" s="18" t="n"/>
      <c r="L159" s="30" t="n"/>
      <c r="M159" s="54" t="n"/>
      <c r="N159" s="18" t="n"/>
      <c r="O159" s="42" t="str">
        <f>IF(OR(ISNUMBER(L159),NOT(ISNUMBER(G159))),"",G159-$D$3)</f>
        <v/>
      </c>
      <c r="P159" s="20" t="str">
        <f>IF(N(I159)=0,"",I159*'参数'!$C$16*IF(ISNUMBER(L159),IF(N(M159)=0,1,2),1))</f>
        <v/>
      </c>
      <c r="Q159" s="23" t="n"/>
      <c r="R159" s="23" t="n"/>
      <c r="S159" s="20" t="str">
        <f>IF(ISNUMBER(R159),R159,IF(AND(E159="买方",ISNUMBER(J159),N(I159)&gt;0),J159*100*I159+I159*'参数'!$C$16,""))</f>
        <v/>
      </c>
      <c r="T159" s="53" t="str">
        <f>IF(AND(ISNUMBER(L159),ISNUMBER(M159),ISNUMBER(J159),N(I159)&gt;0),IF(E159="卖方",J159-M159,M159-J159)*100*I159-IF(ISNUMBER(Q159),Q159,P159),"")</f>
        <v/>
      </c>
      <c r="U159" s="45" t="str">
        <f>IF(AND(ISNUMBER(T159),N(S159)&gt;0),T159/S159,"")</f>
        <v/>
      </c>
      <c r="V159" s="31" t="n"/>
    </row>
    <row r="160">
      <c r="A160" s="29" t="n"/>
      <c r="B160" s="30" t="n"/>
      <c r="C160" s="31" t="n"/>
      <c r="D160" s="32" t="n"/>
      <c r="E160" s="32" t="n"/>
      <c r="F160" s="54" t="n"/>
      <c r="G160" s="30" t="n"/>
      <c r="H160" s="42" t="str">
        <f>IF(AND(ISNUMBER(G160),ISNUMBER(B160)),G160-B160,"")</f>
        <v/>
      </c>
      <c r="I160" s="29" t="n"/>
      <c r="J160" s="54" t="n"/>
      <c r="K160" s="18" t="n"/>
      <c r="L160" s="30" t="n"/>
      <c r="M160" s="54" t="n"/>
      <c r="N160" s="18" t="n"/>
      <c r="O160" s="42" t="str">
        <f>IF(OR(ISNUMBER(L160),NOT(ISNUMBER(G160))),"",G160-$D$3)</f>
        <v/>
      </c>
      <c r="P160" s="20" t="str">
        <f>IF(N(I160)=0,"",I160*'参数'!$C$16*IF(ISNUMBER(L160),IF(N(M160)=0,1,2),1))</f>
        <v/>
      </c>
      <c r="Q160" s="23" t="n"/>
      <c r="R160" s="23" t="n"/>
      <c r="S160" s="20" t="str">
        <f>IF(ISNUMBER(R160),R160,IF(AND(E160="买方",ISNUMBER(J160),N(I160)&gt;0),J160*100*I160+I160*'参数'!$C$16,""))</f>
        <v/>
      </c>
      <c r="T160" s="53" t="str">
        <f>IF(AND(ISNUMBER(L160),ISNUMBER(M160),ISNUMBER(J160),N(I160)&gt;0),IF(E160="卖方",J160-M160,M160-J160)*100*I160-IF(ISNUMBER(Q160),Q160,P160),"")</f>
        <v/>
      </c>
      <c r="U160" s="45" t="str">
        <f>IF(AND(ISNUMBER(T160),N(S160)&gt;0),T160/S160,"")</f>
        <v/>
      </c>
      <c r="V160" s="31" t="n"/>
    </row>
    <row r="161">
      <c r="A161" s="29" t="n"/>
      <c r="B161" s="30" t="n"/>
      <c r="C161" s="31" t="n"/>
      <c r="D161" s="32" t="n"/>
      <c r="E161" s="32" t="n"/>
      <c r="F161" s="54" t="n"/>
      <c r="G161" s="30" t="n"/>
      <c r="H161" s="42" t="str">
        <f>IF(AND(ISNUMBER(G161),ISNUMBER(B161)),G161-B161,"")</f>
        <v/>
      </c>
      <c r="I161" s="29" t="n"/>
      <c r="J161" s="54" t="n"/>
      <c r="K161" s="18" t="n"/>
      <c r="L161" s="30" t="n"/>
      <c r="M161" s="54" t="n"/>
      <c r="N161" s="18" t="n"/>
      <c r="O161" s="42" t="str">
        <f>IF(OR(ISNUMBER(L161),NOT(ISNUMBER(G161))),"",G161-$D$3)</f>
        <v/>
      </c>
      <c r="P161" s="20" t="str">
        <f>IF(N(I161)=0,"",I161*'参数'!$C$16*IF(ISNUMBER(L161),IF(N(M161)=0,1,2),1))</f>
        <v/>
      </c>
      <c r="Q161" s="23" t="n"/>
      <c r="R161" s="23" t="n"/>
      <c r="S161" s="20" t="str">
        <f>IF(ISNUMBER(R161),R161,IF(AND(E161="买方",ISNUMBER(J161),N(I161)&gt;0),J161*100*I161+I161*'参数'!$C$16,""))</f>
        <v/>
      </c>
      <c r="T161" s="53" t="str">
        <f>IF(AND(ISNUMBER(L161),ISNUMBER(M161),ISNUMBER(J161),N(I161)&gt;0),IF(E161="卖方",J161-M161,M161-J161)*100*I161-IF(ISNUMBER(Q161),Q161,P161),"")</f>
        <v/>
      </c>
      <c r="U161" s="45" t="str">
        <f>IF(AND(ISNUMBER(T161),N(S161)&gt;0),T161/S161,"")</f>
        <v/>
      </c>
      <c r="V161" s="31" t="n"/>
    </row>
    <row r="162">
      <c r="A162" s="29" t="n"/>
      <c r="B162" s="30" t="n"/>
      <c r="C162" s="31" t="n"/>
      <c r="D162" s="32" t="n"/>
      <c r="E162" s="32" t="n"/>
      <c r="F162" s="54" t="n"/>
      <c r="G162" s="30" t="n"/>
      <c r="H162" s="42" t="str">
        <f>IF(AND(ISNUMBER(G162),ISNUMBER(B162)),G162-B162,"")</f>
        <v/>
      </c>
      <c r="I162" s="29" t="n"/>
      <c r="J162" s="54" t="n"/>
      <c r="K162" s="18" t="n"/>
      <c r="L162" s="30" t="n"/>
      <c r="M162" s="54" t="n"/>
      <c r="N162" s="18" t="n"/>
      <c r="O162" s="42" t="str">
        <f>IF(OR(ISNUMBER(L162),NOT(ISNUMBER(G162))),"",G162-$D$3)</f>
        <v/>
      </c>
      <c r="P162" s="20" t="str">
        <f>IF(N(I162)=0,"",I162*'参数'!$C$16*IF(ISNUMBER(L162),IF(N(M162)=0,1,2),1))</f>
        <v/>
      </c>
      <c r="Q162" s="23" t="n"/>
      <c r="R162" s="23" t="n"/>
      <c r="S162" s="20" t="str">
        <f>IF(ISNUMBER(R162),R162,IF(AND(E162="买方",ISNUMBER(J162),N(I162)&gt;0),J162*100*I162+I162*'参数'!$C$16,""))</f>
        <v/>
      </c>
      <c r="T162" s="53" t="str">
        <f>IF(AND(ISNUMBER(L162),ISNUMBER(M162),ISNUMBER(J162),N(I162)&gt;0),IF(E162="卖方",J162-M162,M162-J162)*100*I162-IF(ISNUMBER(Q162),Q162,P162),"")</f>
        <v/>
      </c>
      <c r="U162" s="45" t="str">
        <f>IF(AND(ISNUMBER(T162),N(S162)&gt;0),T162/S162,"")</f>
        <v/>
      </c>
      <c r="V162" s="31" t="n"/>
    </row>
    <row r="163">
      <c r="A163" s="29" t="n"/>
      <c r="B163" s="30" t="n"/>
      <c r="C163" s="31" t="n"/>
      <c r="D163" s="32" t="n"/>
      <c r="E163" s="32" t="n"/>
      <c r="F163" s="54" t="n"/>
      <c r="G163" s="30" t="n"/>
      <c r="H163" s="42" t="str">
        <f>IF(AND(ISNUMBER(G163),ISNUMBER(B163)),G163-B163,"")</f>
        <v/>
      </c>
      <c r="I163" s="29" t="n"/>
      <c r="J163" s="54" t="n"/>
      <c r="K163" s="18" t="n"/>
      <c r="L163" s="30" t="n"/>
      <c r="M163" s="54" t="n"/>
      <c r="N163" s="18" t="n"/>
      <c r="O163" s="42" t="str">
        <f>IF(OR(ISNUMBER(L163),NOT(ISNUMBER(G163))),"",G163-$D$3)</f>
        <v/>
      </c>
      <c r="P163" s="20" t="str">
        <f>IF(N(I163)=0,"",I163*'参数'!$C$16*IF(ISNUMBER(L163),IF(N(M163)=0,1,2),1))</f>
        <v/>
      </c>
      <c r="Q163" s="23" t="n"/>
      <c r="R163" s="23" t="n"/>
      <c r="S163" s="20" t="str">
        <f>IF(ISNUMBER(R163),R163,IF(AND(E163="买方",ISNUMBER(J163),N(I163)&gt;0),J163*100*I163+I163*'参数'!$C$16,""))</f>
        <v/>
      </c>
      <c r="T163" s="53" t="str">
        <f>IF(AND(ISNUMBER(L163),ISNUMBER(M163),ISNUMBER(J163),N(I163)&gt;0),IF(E163="卖方",J163-M163,M163-J163)*100*I163-IF(ISNUMBER(Q163),Q163,P163),"")</f>
        <v/>
      </c>
      <c r="U163" s="45" t="str">
        <f>IF(AND(ISNUMBER(T163),N(S163)&gt;0),T163/S163,"")</f>
        <v/>
      </c>
      <c r="V163" s="31" t="n"/>
    </row>
    <row r="164">
      <c r="A164" s="29" t="n"/>
      <c r="B164" s="30" t="n"/>
      <c r="C164" s="31" t="n"/>
      <c r="D164" s="32" t="n"/>
      <c r="E164" s="32" t="n"/>
      <c r="F164" s="54" t="n"/>
      <c r="G164" s="30" t="n"/>
      <c r="H164" s="42" t="str">
        <f>IF(AND(ISNUMBER(G164),ISNUMBER(B164)),G164-B164,"")</f>
        <v/>
      </c>
      <c r="I164" s="29" t="n"/>
      <c r="J164" s="54" t="n"/>
      <c r="K164" s="18" t="n"/>
      <c r="L164" s="30" t="n"/>
      <c r="M164" s="54" t="n"/>
      <c r="N164" s="18" t="n"/>
      <c r="O164" s="42" t="str">
        <f>IF(OR(ISNUMBER(L164),NOT(ISNUMBER(G164))),"",G164-$D$3)</f>
        <v/>
      </c>
      <c r="P164" s="20" t="str">
        <f>IF(N(I164)=0,"",I164*'参数'!$C$16*IF(ISNUMBER(L164),IF(N(M164)=0,1,2),1))</f>
        <v/>
      </c>
      <c r="Q164" s="23" t="n"/>
      <c r="R164" s="23" t="n"/>
      <c r="S164" s="20" t="str">
        <f>IF(ISNUMBER(R164),R164,IF(AND(E164="买方",ISNUMBER(J164),N(I164)&gt;0),J164*100*I164+I164*'参数'!$C$16,""))</f>
        <v/>
      </c>
      <c r="T164" s="53" t="str">
        <f>IF(AND(ISNUMBER(L164),ISNUMBER(M164),ISNUMBER(J164),N(I164)&gt;0),IF(E164="卖方",J164-M164,M164-J164)*100*I164-IF(ISNUMBER(Q164),Q164,P164),"")</f>
        <v/>
      </c>
      <c r="U164" s="45" t="str">
        <f>IF(AND(ISNUMBER(T164),N(S164)&gt;0),T164/S164,"")</f>
        <v/>
      </c>
      <c r="V164" s="31" t="n"/>
    </row>
    <row r="165">
      <c r="A165" s="29" t="n"/>
      <c r="B165" s="30" t="n"/>
      <c r="C165" s="31" t="n"/>
      <c r="D165" s="32" t="n"/>
      <c r="E165" s="32" t="n"/>
      <c r="F165" s="54" t="n"/>
      <c r="G165" s="30" t="n"/>
      <c r="H165" s="42" t="str">
        <f>IF(AND(ISNUMBER(G165),ISNUMBER(B165)),G165-B165,"")</f>
        <v/>
      </c>
      <c r="I165" s="29" t="n"/>
      <c r="J165" s="54" t="n"/>
      <c r="K165" s="18" t="n"/>
      <c r="L165" s="30" t="n"/>
      <c r="M165" s="54" t="n"/>
      <c r="N165" s="18" t="n"/>
      <c r="O165" s="42" t="str">
        <f>IF(OR(ISNUMBER(L165),NOT(ISNUMBER(G165))),"",G165-$D$3)</f>
        <v/>
      </c>
      <c r="P165" s="20" t="str">
        <f>IF(N(I165)=0,"",I165*'参数'!$C$16*IF(ISNUMBER(L165),IF(N(M165)=0,1,2),1))</f>
        <v/>
      </c>
      <c r="Q165" s="23" t="n"/>
      <c r="R165" s="23" t="n"/>
      <c r="S165" s="20" t="str">
        <f>IF(ISNUMBER(R165),R165,IF(AND(E165="买方",ISNUMBER(J165),N(I165)&gt;0),J165*100*I165+I165*'参数'!$C$16,""))</f>
        <v/>
      </c>
      <c r="T165" s="53" t="str">
        <f>IF(AND(ISNUMBER(L165),ISNUMBER(M165),ISNUMBER(J165),N(I165)&gt;0),IF(E165="卖方",J165-M165,M165-J165)*100*I165-IF(ISNUMBER(Q165),Q165,P165),"")</f>
        <v/>
      </c>
      <c r="U165" s="45" t="str">
        <f>IF(AND(ISNUMBER(T165),N(S165)&gt;0),T165/S165,"")</f>
        <v/>
      </c>
      <c r="V165" s="31" t="n"/>
    </row>
    <row r="166">
      <c r="A166" s="29" t="n"/>
      <c r="B166" s="30" t="n"/>
      <c r="C166" s="31" t="n"/>
      <c r="D166" s="32" t="n"/>
      <c r="E166" s="32" t="n"/>
      <c r="F166" s="54" t="n"/>
      <c r="G166" s="30" t="n"/>
      <c r="H166" s="42" t="str">
        <f>IF(AND(ISNUMBER(G166),ISNUMBER(B166)),G166-B166,"")</f>
        <v/>
      </c>
      <c r="I166" s="29" t="n"/>
      <c r="J166" s="54" t="n"/>
      <c r="K166" s="18" t="n"/>
      <c r="L166" s="30" t="n"/>
      <c r="M166" s="54" t="n"/>
      <c r="N166" s="18" t="n"/>
      <c r="O166" s="42" t="str">
        <f>IF(OR(ISNUMBER(L166),NOT(ISNUMBER(G166))),"",G166-$D$3)</f>
        <v/>
      </c>
      <c r="P166" s="20" t="str">
        <f>IF(N(I166)=0,"",I166*'参数'!$C$16*IF(ISNUMBER(L166),IF(N(M166)=0,1,2),1))</f>
        <v/>
      </c>
      <c r="Q166" s="23" t="n"/>
      <c r="R166" s="23" t="n"/>
      <c r="S166" s="20" t="str">
        <f>IF(ISNUMBER(R166),R166,IF(AND(E166="买方",ISNUMBER(J166),N(I166)&gt;0),J166*100*I166+I166*'参数'!$C$16,""))</f>
        <v/>
      </c>
      <c r="T166" s="53" t="str">
        <f>IF(AND(ISNUMBER(L166),ISNUMBER(M166),ISNUMBER(J166),N(I166)&gt;0),IF(E166="卖方",J166-M166,M166-J166)*100*I166-IF(ISNUMBER(Q166),Q166,P166),"")</f>
        <v/>
      </c>
      <c r="U166" s="45" t="str">
        <f>IF(AND(ISNUMBER(T166),N(S166)&gt;0),T166/S166,"")</f>
        <v/>
      </c>
      <c r="V166" s="31" t="n"/>
    </row>
    <row r="167">
      <c r="A167" s="29" t="n"/>
      <c r="B167" s="30" t="n"/>
      <c r="C167" s="31" t="n"/>
      <c r="D167" s="32" t="n"/>
      <c r="E167" s="32" t="n"/>
      <c r="F167" s="54" t="n"/>
      <c r="G167" s="30" t="n"/>
      <c r="H167" s="42" t="str">
        <f>IF(AND(ISNUMBER(G167),ISNUMBER(B167)),G167-B167,"")</f>
        <v/>
      </c>
      <c r="I167" s="29" t="n"/>
      <c r="J167" s="54" t="n"/>
      <c r="K167" s="18" t="n"/>
      <c r="L167" s="30" t="n"/>
      <c r="M167" s="54" t="n"/>
      <c r="N167" s="18" t="n"/>
      <c r="O167" s="42" t="str">
        <f>IF(OR(ISNUMBER(L167),NOT(ISNUMBER(G167))),"",G167-$D$3)</f>
        <v/>
      </c>
      <c r="P167" s="20" t="str">
        <f>IF(N(I167)=0,"",I167*'参数'!$C$16*IF(ISNUMBER(L167),IF(N(M167)=0,1,2),1))</f>
        <v/>
      </c>
      <c r="Q167" s="23" t="n"/>
      <c r="R167" s="23" t="n"/>
      <c r="S167" s="20" t="str">
        <f>IF(ISNUMBER(R167),R167,IF(AND(E167="买方",ISNUMBER(J167),N(I167)&gt;0),J167*100*I167+I167*'参数'!$C$16,""))</f>
        <v/>
      </c>
      <c r="T167" s="53" t="str">
        <f>IF(AND(ISNUMBER(L167),ISNUMBER(M167),ISNUMBER(J167),N(I167)&gt;0),IF(E167="卖方",J167-M167,M167-J167)*100*I167-IF(ISNUMBER(Q167),Q167,P167),"")</f>
        <v/>
      </c>
      <c r="U167" s="45" t="str">
        <f>IF(AND(ISNUMBER(T167),N(S167)&gt;0),T167/S167,"")</f>
        <v/>
      </c>
      <c r="V167" s="31" t="n"/>
    </row>
    <row r="168">
      <c r="A168" s="29" t="n"/>
      <c r="B168" s="30" t="n"/>
      <c r="C168" s="31" t="n"/>
      <c r="D168" s="32" t="n"/>
      <c r="E168" s="32" t="n"/>
      <c r="F168" s="54" t="n"/>
      <c r="G168" s="30" t="n"/>
      <c r="H168" s="42" t="str">
        <f>IF(AND(ISNUMBER(G168),ISNUMBER(B168)),G168-B168,"")</f>
        <v/>
      </c>
      <c r="I168" s="29" t="n"/>
      <c r="J168" s="54" t="n"/>
      <c r="K168" s="18" t="n"/>
      <c r="L168" s="30" t="n"/>
      <c r="M168" s="54" t="n"/>
      <c r="N168" s="18" t="n"/>
      <c r="O168" s="42" t="str">
        <f>IF(OR(ISNUMBER(L168),NOT(ISNUMBER(G168))),"",G168-$D$3)</f>
        <v/>
      </c>
      <c r="P168" s="20" t="str">
        <f>IF(N(I168)=0,"",I168*'参数'!$C$16*IF(ISNUMBER(L168),IF(N(M168)=0,1,2),1))</f>
        <v/>
      </c>
      <c r="Q168" s="23" t="n"/>
      <c r="R168" s="23" t="n"/>
      <c r="S168" s="20" t="str">
        <f>IF(ISNUMBER(R168),R168,IF(AND(E168="买方",ISNUMBER(J168),N(I168)&gt;0),J168*100*I168+I168*'参数'!$C$16,""))</f>
        <v/>
      </c>
      <c r="T168" s="53" t="str">
        <f>IF(AND(ISNUMBER(L168),ISNUMBER(M168),ISNUMBER(J168),N(I168)&gt;0),IF(E168="卖方",J168-M168,M168-J168)*100*I168-IF(ISNUMBER(Q168),Q168,P168),"")</f>
        <v/>
      </c>
      <c r="U168" s="45" t="str">
        <f>IF(AND(ISNUMBER(T168),N(S168)&gt;0),T168/S168,"")</f>
        <v/>
      </c>
      <c r="V168" s="31" t="n"/>
    </row>
    <row r="169">
      <c r="A169" s="29" t="n"/>
      <c r="B169" s="30" t="n"/>
      <c r="C169" s="31" t="n"/>
      <c r="D169" s="32" t="n"/>
      <c r="E169" s="32" t="n"/>
      <c r="F169" s="54" t="n"/>
      <c r="G169" s="30" t="n"/>
      <c r="H169" s="42" t="str">
        <f>IF(AND(ISNUMBER(G169),ISNUMBER(B169)),G169-B169,"")</f>
        <v/>
      </c>
      <c r="I169" s="29" t="n"/>
      <c r="J169" s="54" t="n"/>
      <c r="K169" s="18" t="n"/>
      <c r="L169" s="30" t="n"/>
      <c r="M169" s="54" t="n"/>
      <c r="N169" s="18" t="n"/>
      <c r="O169" s="42" t="str">
        <f>IF(OR(ISNUMBER(L169),NOT(ISNUMBER(G169))),"",G169-$D$3)</f>
        <v/>
      </c>
      <c r="P169" s="20" t="str">
        <f>IF(N(I169)=0,"",I169*'参数'!$C$16*IF(ISNUMBER(L169),IF(N(M169)=0,1,2),1))</f>
        <v/>
      </c>
      <c r="Q169" s="23" t="n"/>
      <c r="R169" s="23" t="n"/>
      <c r="S169" s="20" t="str">
        <f>IF(ISNUMBER(R169),R169,IF(AND(E169="买方",ISNUMBER(J169),N(I169)&gt;0),J169*100*I169+I169*'参数'!$C$16,""))</f>
        <v/>
      </c>
      <c r="T169" s="53" t="str">
        <f>IF(AND(ISNUMBER(L169),ISNUMBER(M169),ISNUMBER(J169),N(I169)&gt;0),IF(E169="卖方",J169-M169,M169-J169)*100*I169-IF(ISNUMBER(Q169),Q169,P169),"")</f>
        <v/>
      </c>
      <c r="U169" s="45" t="str">
        <f>IF(AND(ISNUMBER(T169),N(S169)&gt;0),T169/S169,"")</f>
        <v/>
      </c>
      <c r="V169" s="31" t="n"/>
    </row>
    <row r="170">
      <c r="A170" s="29" t="n"/>
      <c r="B170" s="30" t="n"/>
      <c r="C170" s="31" t="n"/>
      <c r="D170" s="32" t="n"/>
      <c r="E170" s="32" t="n"/>
      <c r="F170" s="54" t="n"/>
      <c r="G170" s="30" t="n"/>
      <c r="H170" s="42" t="str">
        <f>IF(AND(ISNUMBER(G170),ISNUMBER(B170)),G170-B170,"")</f>
        <v/>
      </c>
      <c r="I170" s="29" t="n"/>
      <c r="J170" s="54" t="n"/>
      <c r="K170" s="18" t="n"/>
      <c r="L170" s="30" t="n"/>
      <c r="M170" s="54" t="n"/>
      <c r="N170" s="18" t="n"/>
      <c r="O170" s="42" t="str">
        <f>IF(OR(ISNUMBER(L170),NOT(ISNUMBER(G170))),"",G170-$D$3)</f>
        <v/>
      </c>
      <c r="P170" s="20" t="str">
        <f>IF(N(I170)=0,"",I170*'参数'!$C$16*IF(ISNUMBER(L170),IF(N(M170)=0,1,2),1))</f>
        <v/>
      </c>
      <c r="Q170" s="23" t="n"/>
      <c r="R170" s="23" t="n"/>
      <c r="S170" s="20" t="str">
        <f>IF(ISNUMBER(R170),R170,IF(AND(E170="买方",ISNUMBER(J170),N(I170)&gt;0),J170*100*I170+I170*'参数'!$C$16,""))</f>
        <v/>
      </c>
      <c r="T170" s="53" t="str">
        <f>IF(AND(ISNUMBER(L170),ISNUMBER(M170),ISNUMBER(J170),N(I170)&gt;0),IF(E170="卖方",J170-M170,M170-J170)*100*I170-IF(ISNUMBER(Q170),Q170,P170),"")</f>
        <v/>
      </c>
      <c r="U170" s="45" t="str">
        <f>IF(AND(ISNUMBER(T170),N(S170)&gt;0),T170/S170,"")</f>
        <v/>
      </c>
      <c r="V170" s="31" t="n"/>
    </row>
    <row r="171">
      <c r="A171" s="29" t="n"/>
      <c r="B171" s="30" t="n"/>
      <c r="C171" s="31" t="n"/>
      <c r="D171" s="32" t="n"/>
      <c r="E171" s="32" t="n"/>
      <c r="F171" s="54" t="n"/>
      <c r="G171" s="30" t="n"/>
      <c r="H171" s="42" t="str">
        <f>IF(AND(ISNUMBER(G171),ISNUMBER(B171)),G171-B171,"")</f>
        <v/>
      </c>
      <c r="I171" s="29" t="n"/>
      <c r="J171" s="54" t="n"/>
      <c r="K171" s="18" t="n"/>
      <c r="L171" s="30" t="n"/>
      <c r="M171" s="54" t="n"/>
      <c r="N171" s="18" t="n"/>
      <c r="O171" s="42" t="str">
        <f>IF(OR(ISNUMBER(L171),NOT(ISNUMBER(G171))),"",G171-$D$3)</f>
        <v/>
      </c>
      <c r="P171" s="20" t="str">
        <f>IF(N(I171)=0,"",I171*'参数'!$C$16*IF(ISNUMBER(L171),IF(N(M171)=0,1,2),1))</f>
        <v/>
      </c>
      <c r="Q171" s="23" t="n"/>
      <c r="R171" s="23" t="n"/>
      <c r="S171" s="20" t="str">
        <f>IF(ISNUMBER(R171),R171,IF(AND(E171="买方",ISNUMBER(J171),N(I171)&gt;0),J171*100*I171+I171*'参数'!$C$16,""))</f>
        <v/>
      </c>
      <c r="T171" s="53" t="str">
        <f>IF(AND(ISNUMBER(L171),ISNUMBER(M171),ISNUMBER(J171),N(I171)&gt;0),IF(E171="卖方",J171-M171,M171-J171)*100*I171-IF(ISNUMBER(Q171),Q171,P171),"")</f>
        <v/>
      </c>
      <c r="U171" s="45" t="str">
        <f>IF(AND(ISNUMBER(T171),N(S171)&gt;0),T171/S171,"")</f>
        <v/>
      </c>
      <c r="V171" s="31" t="n"/>
    </row>
    <row r="172">
      <c r="A172" s="29" t="n"/>
      <c r="B172" s="30" t="n"/>
      <c r="C172" s="31" t="n"/>
      <c r="D172" s="32" t="n"/>
      <c r="E172" s="32" t="n"/>
      <c r="F172" s="54" t="n"/>
      <c r="G172" s="30" t="n"/>
      <c r="H172" s="42" t="str">
        <f>IF(AND(ISNUMBER(G172),ISNUMBER(B172)),G172-B172,"")</f>
        <v/>
      </c>
      <c r="I172" s="29" t="n"/>
      <c r="J172" s="54" t="n"/>
      <c r="K172" s="18" t="n"/>
      <c r="L172" s="30" t="n"/>
      <c r="M172" s="54" t="n"/>
      <c r="N172" s="18" t="n"/>
      <c r="O172" s="42" t="str">
        <f>IF(OR(ISNUMBER(L172),NOT(ISNUMBER(G172))),"",G172-$D$3)</f>
        <v/>
      </c>
      <c r="P172" s="20" t="str">
        <f>IF(N(I172)=0,"",I172*'参数'!$C$16*IF(ISNUMBER(L172),IF(N(M172)=0,1,2),1))</f>
        <v/>
      </c>
      <c r="Q172" s="23" t="n"/>
      <c r="R172" s="23" t="n"/>
      <c r="S172" s="20" t="str">
        <f>IF(ISNUMBER(R172),R172,IF(AND(E172="买方",ISNUMBER(J172),N(I172)&gt;0),J172*100*I172+I172*'参数'!$C$16,""))</f>
        <v/>
      </c>
      <c r="T172" s="53" t="str">
        <f>IF(AND(ISNUMBER(L172),ISNUMBER(M172),ISNUMBER(J172),N(I172)&gt;0),IF(E172="卖方",J172-M172,M172-J172)*100*I172-IF(ISNUMBER(Q172),Q172,P172),"")</f>
        <v/>
      </c>
      <c r="U172" s="45" t="str">
        <f>IF(AND(ISNUMBER(T172),N(S172)&gt;0),T172/S172,"")</f>
        <v/>
      </c>
      <c r="V172" s="31" t="n"/>
    </row>
    <row r="173">
      <c r="A173" s="29" t="n"/>
      <c r="B173" s="30" t="n"/>
      <c r="C173" s="31" t="n"/>
      <c r="D173" s="32" t="n"/>
      <c r="E173" s="32" t="n"/>
      <c r="F173" s="54" t="n"/>
      <c r="G173" s="30" t="n"/>
      <c r="H173" s="42" t="str">
        <f>IF(AND(ISNUMBER(G173),ISNUMBER(B173)),G173-B173,"")</f>
        <v/>
      </c>
      <c r="I173" s="29" t="n"/>
      <c r="J173" s="54" t="n"/>
      <c r="K173" s="18" t="n"/>
      <c r="L173" s="30" t="n"/>
      <c r="M173" s="54" t="n"/>
      <c r="N173" s="18" t="n"/>
      <c r="O173" s="42" t="str">
        <f>IF(OR(ISNUMBER(L173),NOT(ISNUMBER(G173))),"",G173-$D$3)</f>
        <v/>
      </c>
      <c r="P173" s="20" t="str">
        <f>IF(N(I173)=0,"",I173*'参数'!$C$16*IF(ISNUMBER(L173),IF(N(M173)=0,1,2),1))</f>
        <v/>
      </c>
      <c r="Q173" s="23" t="n"/>
      <c r="R173" s="23" t="n"/>
      <c r="S173" s="20" t="str">
        <f>IF(ISNUMBER(R173),R173,IF(AND(E173="买方",ISNUMBER(J173),N(I173)&gt;0),J173*100*I173+I173*'参数'!$C$16,""))</f>
        <v/>
      </c>
      <c r="T173" s="53" t="str">
        <f>IF(AND(ISNUMBER(L173),ISNUMBER(M173),ISNUMBER(J173),N(I173)&gt;0),IF(E173="卖方",J173-M173,M173-J173)*100*I173-IF(ISNUMBER(Q173),Q173,P173),"")</f>
        <v/>
      </c>
      <c r="U173" s="45" t="str">
        <f>IF(AND(ISNUMBER(T173),N(S173)&gt;0),T173/S173,"")</f>
        <v/>
      </c>
      <c r="V173" s="31" t="n"/>
    </row>
    <row r="174">
      <c r="A174" s="29" t="n"/>
      <c r="B174" s="30" t="n"/>
      <c r="C174" s="31" t="n"/>
      <c r="D174" s="32" t="n"/>
      <c r="E174" s="32" t="n"/>
      <c r="F174" s="54" t="n"/>
      <c r="G174" s="30" t="n"/>
      <c r="H174" s="42" t="str">
        <f>IF(AND(ISNUMBER(G174),ISNUMBER(B174)),G174-B174,"")</f>
        <v/>
      </c>
      <c r="I174" s="29" t="n"/>
      <c r="J174" s="54" t="n"/>
      <c r="K174" s="18" t="n"/>
      <c r="L174" s="30" t="n"/>
      <c r="M174" s="54" t="n"/>
      <c r="N174" s="18" t="n"/>
      <c r="O174" s="42" t="str">
        <f>IF(OR(ISNUMBER(L174),NOT(ISNUMBER(G174))),"",G174-$D$3)</f>
        <v/>
      </c>
      <c r="P174" s="20" t="str">
        <f>IF(N(I174)=0,"",I174*'参数'!$C$16*IF(ISNUMBER(L174),IF(N(M174)=0,1,2),1))</f>
        <v/>
      </c>
      <c r="Q174" s="23" t="n"/>
      <c r="R174" s="23" t="n"/>
      <c r="S174" s="20" t="str">
        <f>IF(ISNUMBER(R174),R174,IF(AND(E174="买方",ISNUMBER(J174),N(I174)&gt;0),J174*100*I174+I174*'参数'!$C$16,""))</f>
        <v/>
      </c>
      <c r="T174" s="53" t="str">
        <f>IF(AND(ISNUMBER(L174),ISNUMBER(M174),ISNUMBER(J174),N(I174)&gt;0),IF(E174="卖方",J174-M174,M174-J174)*100*I174-IF(ISNUMBER(Q174),Q174,P174),"")</f>
        <v/>
      </c>
      <c r="U174" s="45" t="str">
        <f>IF(AND(ISNUMBER(T174),N(S174)&gt;0),T174/S174,"")</f>
        <v/>
      </c>
      <c r="V174" s="31" t="n"/>
    </row>
    <row r="175">
      <c r="A175" s="29" t="n"/>
      <c r="B175" s="30" t="n"/>
      <c r="C175" s="31" t="n"/>
      <c r="D175" s="32" t="n"/>
      <c r="E175" s="32" t="n"/>
      <c r="F175" s="54" t="n"/>
      <c r="G175" s="30" t="n"/>
      <c r="H175" s="42" t="str">
        <f>IF(AND(ISNUMBER(G175),ISNUMBER(B175)),G175-B175,"")</f>
        <v/>
      </c>
      <c r="I175" s="29" t="n"/>
      <c r="J175" s="54" t="n"/>
      <c r="K175" s="18" t="n"/>
      <c r="L175" s="30" t="n"/>
      <c r="M175" s="54" t="n"/>
      <c r="N175" s="18" t="n"/>
      <c r="O175" s="42" t="str">
        <f>IF(OR(ISNUMBER(L175),NOT(ISNUMBER(G175))),"",G175-$D$3)</f>
        <v/>
      </c>
      <c r="P175" s="20" t="str">
        <f>IF(N(I175)=0,"",I175*'参数'!$C$16*IF(ISNUMBER(L175),IF(N(M175)=0,1,2),1))</f>
        <v/>
      </c>
      <c r="Q175" s="23" t="n"/>
      <c r="R175" s="23" t="n"/>
      <c r="S175" s="20" t="str">
        <f>IF(ISNUMBER(R175),R175,IF(AND(E175="买方",ISNUMBER(J175),N(I175)&gt;0),J175*100*I175+I175*'参数'!$C$16,""))</f>
        <v/>
      </c>
      <c r="T175" s="53" t="str">
        <f>IF(AND(ISNUMBER(L175),ISNUMBER(M175),ISNUMBER(J175),N(I175)&gt;0),IF(E175="卖方",J175-M175,M175-J175)*100*I175-IF(ISNUMBER(Q175),Q175,P175),"")</f>
        <v/>
      </c>
      <c r="U175" s="45" t="str">
        <f>IF(AND(ISNUMBER(T175),N(S175)&gt;0),T175/S175,"")</f>
        <v/>
      </c>
      <c r="V175" s="31" t="n"/>
    </row>
    <row r="176">
      <c r="A176" s="29" t="n"/>
      <c r="B176" s="30" t="n"/>
      <c r="C176" s="31" t="n"/>
      <c r="D176" s="32" t="n"/>
      <c r="E176" s="32" t="n"/>
      <c r="F176" s="54" t="n"/>
      <c r="G176" s="30" t="n"/>
      <c r="H176" s="42" t="str">
        <f>IF(AND(ISNUMBER(G176),ISNUMBER(B176)),G176-B176,"")</f>
        <v/>
      </c>
      <c r="I176" s="29" t="n"/>
      <c r="J176" s="54" t="n"/>
      <c r="K176" s="18" t="n"/>
      <c r="L176" s="30" t="n"/>
      <c r="M176" s="54" t="n"/>
      <c r="N176" s="18" t="n"/>
      <c r="O176" s="42" t="str">
        <f>IF(OR(ISNUMBER(L176),NOT(ISNUMBER(G176))),"",G176-$D$3)</f>
        <v/>
      </c>
      <c r="P176" s="20" t="str">
        <f>IF(N(I176)=0,"",I176*'参数'!$C$16*IF(ISNUMBER(L176),IF(N(M176)=0,1,2),1))</f>
        <v/>
      </c>
      <c r="Q176" s="23" t="n"/>
      <c r="R176" s="23" t="n"/>
      <c r="S176" s="20" t="str">
        <f>IF(ISNUMBER(R176),R176,IF(AND(E176="买方",ISNUMBER(J176),N(I176)&gt;0),J176*100*I176+I176*'参数'!$C$16,""))</f>
        <v/>
      </c>
      <c r="T176" s="53" t="str">
        <f>IF(AND(ISNUMBER(L176),ISNUMBER(M176),ISNUMBER(J176),N(I176)&gt;0),IF(E176="卖方",J176-M176,M176-J176)*100*I176-IF(ISNUMBER(Q176),Q176,P176),"")</f>
        <v/>
      </c>
      <c r="U176" s="45" t="str">
        <f>IF(AND(ISNUMBER(T176),N(S176)&gt;0),T176/S176,"")</f>
        <v/>
      </c>
      <c r="V176" s="31" t="n"/>
    </row>
    <row r="177">
      <c r="A177" s="29" t="n"/>
      <c r="B177" s="30" t="n"/>
      <c r="C177" s="31" t="n"/>
      <c r="D177" s="32" t="n"/>
      <c r="E177" s="32" t="n"/>
      <c r="F177" s="54" t="n"/>
      <c r="G177" s="30" t="n"/>
      <c r="H177" s="42" t="str">
        <f>IF(AND(ISNUMBER(G177),ISNUMBER(B177)),G177-B177,"")</f>
        <v/>
      </c>
      <c r="I177" s="29" t="n"/>
      <c r="J177" s="54" t="n"/>
      <c r="K177" s="18" t="n"/>
      <c r="L177" s="30" t="n"/>
      <c r="M177" s="54" t="n"/>
      <c r="N177" s="18" t="n"/>
      <c r="O177" s="42" t="str">
        <f>IF(OR(ISNUMBER(L177),NOT(ISNUMBER(G177))),"",G177-$D$3)</f>
        <v/>
      </c>
      <c r="P177" s="20" t="str">
        <f>IF(N(I177)=0,"",I177*'参数'!$C$16*IF(ISNUMBER(L177),IF(N(M177)=0,1,2),1))</f>
        <v/>
      </c>
      <c r="Q177" s="23" t="n"/>
      <c r="R177" s="23" t="n"/>
      <c r="S177" s="20" t="str">
        <f>IF(ISNUMBER(R177),R177,IF(AND(E177="买方",ISNUMBER(J177),N(I177)&gt;0),J177*100*I177+I177*'参数'!$C$16,""))</f>
        <v/>
      </c>
      <c r="T177" s="53" t="str">
        <f>IF(AND(ISNUMBER(L177),ISNUMBER(M177),ISNUMBER(J177),N(I177)&gt;0),IF(E177="卖方",J177-M177,M177-J177)*100*I177-IF(ISNUMBER(Q177),Q177,P177),"")</f>
        <v/>
      </c>
      <c r="U177" s="45" t="str">
        <f>IF(AND(ISNUMBER(T177),N(S177)&gt;0),T177/S177,"")</f>
        <v/>
      </c>
      <c r="V177" s="31" t="n"/>
    </row>
    <row r="178">
      <c r="A178" s="29" t="n"/>
      <c r="B178" s="30" t="n"/>
      <c r="C178" s="31" t="n"/>
      <c r="D178" s="32" t="n"/>
      <c r="E178" s="32" t="n"/>
      <c r="F178" s="54" t="n"/>
      <c r="G178" s="30" t="n"/>
      <c r="H178" s="42" t="str">
        <f>IF(AND(ISNUMBER(G178),ISNUMBER(B178)),G178-B178,"")</f>
        <v/>
      </c>
      <c r="I178" s="29" t="n"/>
      <c r="J178" s="54" t="n"/>
      <c r="K178" s="18" t="n"/>
      <c r="L178" s="30" t="n"/>
      <c r="M178" s="54" t="n"/>
      <c r="N178" s="18" t="n"/>
      <c r="O178" s="42" t="str">
        <f>IF(OR(ISNUMBER(L178),NOT(ISNUMBER(G178))),"",G178-$D$3)</f>
        <v/>
      </c>
      <c r="P178" s="20" t="str">
        <f>IF(N(I178)=0,"",I178*'参数'!$C$16*IF(ISNUMBER(L178),IF(N(M178)=0,1,2),1))</f>
        <v/>
      </c>
      <c r="Q178" s="23" t="n"/>
      <c r="R178" s="23" t="n"/>
      <c r="S178" s="20" t="str">
        <f>IF(ISNUMBER(R178),R178,IF(AND(E178="买方",ISNUMBER(J178),N(I178)&gt;0),J178*100*I178+I178*'参数'!$C$16,""))</f>
        <v/>
      </c>
      <c r="T178" s="53" t="str">
        <f>IF(AND(ISNUMBER(L178),ISNUMBER(M178),ISNUMBER(J178),N(I178)&gt;0),IF(E178="卖方",J178-M178,M178-J178)*100*I178-IF(ISNUMBER(Q178),Q178,P178),"")</f>
        <v/>
      </c>
      <c r="U178" s="45" t="str">
        <f>IF(AND(ISNUMBER(T178),N(S178)&gt;0),T178/S178,"")</f>
        <v/>
      </c>
      <c r="V178" s="31" t="n"/>
    </row>
    <row r="179">
      <c r="A179" s="29" t="n"/>
      <c r="B179" s="30" t="n"/>
      <c r="C179" s="31" t="n"/>
      <c r="D179" s="32" t="n"/>
      <c r="E179" s="32" t="n"/>
      <c r="F179" s="54" t="n"/>
      <c r="G179" s="30" t="n"/>
      <c r="H179" s="42" t="str">
        <f>IF(AND(ISNUMBER(G179),ISNUMBER(B179)),G179-B179,"")</f>
        <v/>
      </c>
      <c r="I179" s="29" t="n"/>
      <c r="J179" s="54" t="n"/>
      <c r="K179" s="18" t="n"/>
      <c r="L179" s="30" t="n"/>
      <c r="M179" s="54" t="n"/>
      <c r="N179" s="18" t="n"/>
      <c r="O179" s="42" t="str">
        <f>IF(OR(ISNUMBER(L179),NOT(ISNUMBER(G179))),"",G179-$D$3)</f>
        <v/>
      </c>
      <c r="P179" s="20" t="str">
        <f>IF(N(I179)=0,"",I179*'参数'!$C$16*IF(ISNUMBER(L179),IF(N(M179)=0,1,2),1))</f>
        <v/>
      </c>
      <c r="Q179" s="23" t="n"/>
      <c r="R179" s="23" t="n"/>
      <c r="S179" s="20" t="str">
        <f>IF(ISNUMBER(R179),R179,IF(AND(E179="买方",ISNUMBER(J179),N(I179)&gt;0),J179*100*I179+I179*'参数'!$C$16,""))</f>
        <v/>
      </c>
      <c r="T179" s="53" t="str">
        <f>IF(AND(ISNUMBER(L179),ISNUMBER(M179),ISNUMBER(J179),N(I179)&gt;0),IF(E179="卖方",J179-M179,M179-J179)*100*I179-IF(ISNUMBER(Q179),Q179,P179),"")</f>
        <v/>
      </c>
      <c r="U179" s="45" t="str">
        <f>IF(AND(ISNUMBER(T179),N(S179)&gt;0),T179/S179,"")</f>
        <v/>
      </c>
      <c r="V179" s="31" t="n"/>
    </row>
    <row r="180">
      <c r="A180" s="29" t="n"/>
      <c r="B180" s="30" t="n"/>
      <c r="C180" s="31" t="n"/>
      <c r="D180" s="32" t="n"/>
      <c r="E180" s="32" t="n"/>
      <c r="F180" s="54" t="n"/>
      <c r="G180" s="30" t="n"/>
      <c r="H180" s="42" t="str">
        <f>IF(AND(ISNUMBER(G180),ISNUMBER(B180)),G180-B180,"")</f>
        <v/>
      </c>
      <c r="I180" s="29" t="n"/>
      <c r="J180" s="54" t="n"/>
      <c r="K180" s="18" t="n"/>
      <c r="L180" s="30" t="n"/>
      <c r="M180" s="54" t="n"/>
      <c r="N180" s="18" t="n"/>
      <c r="O180" s="42" t="str">
        <f>IF(OR(ISNUMBER(L180),NOT(ISNUMBER(G180))),"",G180-$D$3)</f>
        <v/>
      </c>
      <c r="P180" s="20" t="str">
        <f>IF(N(I180)=0,"",I180*'参数'!$C$16*IF(ISNUMBER(L180),IF(N(M180)=0,1,2),1))</f>
        <v/>
      </c>
      <c r="Q180" s="23" t="n"/>
      <c r="R180" s="23" t="n"/>
      <c r="S180" s="20" t="str">
        <f>IF(ISNUMBER(R180),R180,IF(AND(E180="买方",ISNUMBER(J180),N(I180)&gt;0),J180*100*I180+I180*'参数'!$C$16,""))</f>
        <v/>
      </c>
      <c r="T180" s="53" t="str">
        <f>IF(AND(ISNUMBER(L180),ISNUMBER(M180),ISNUMBER(J180),N(I180)&gt;0),IF(E180="卖方",J180-M180,M180-J180)*100*I180-IF(ISNUMBER(Q180),Q180,P180),"")</f>
        <v/>
      </c>
      <c r="U180" s="45" t="str">
        <f>IF(AND(ISNUMBER(T180),N(S180)&gt;0),T180/S180,"")</f>
        <v/>
      </c>
      <c r="V180" s="31" t="n"/>
    </row>
    <row r="181">
      <c r="A181" s="29" t="n"/>
      <c r="B181" s="30" t="n"/>
      <c r="C181" s="31" t="n"/>
      <c r="D181" s="32" t="n"/>
      <c r="E181" s="32" t="n"/>
      <c r="F181" s="54" t="n"/>
      <c r="G181" s="30" t="n"/>
      <c r="H181" s="42" t="str">
        <f>IF(AND(ISNUMBER(G181),ISNUMBER(B181)),G181-B181,"")</f>
        <v/>
      </c>
      <c r="I181" s="29" t="n"/>
      <c r="J181" s="54" t="n"/>
      <c r="K181" s="18" t="n"/>
      <c r="L181" s="30" t="n"/>
      <c r="M181" s="54" t="n"/>
      <c r="N181" s="18" t="n"/>
      <c r="O181" s="42" t="str">
        <f>IF(OR(ISNUMBER(L181),NOT(ISNUMBER(G181))),"",G181-$D$3)</f>
        <v/>
      </c>
      <c r="P181" s="20" t="str">
        <f>IF(N(I181)=0,"",I181*'参数'!$C$16*IF(ISNUMBER(L181),IF(N(M181)=0,1,2),1))</f>
        <v/>
      </c>
      <c r="Q181" s="23" t="n"/>
      <c r="R181" s="23" t="n"/>
      <c r="S181" s="20" t="str">
        <f>IF(ISNUMBER(R181),R181,IF(AND(E181="买方",ISNUMBER(J181),N(I181)&gt;0),J181*100*I181+I181*'参数'!$C$16,""))</f>
        <v/>
      </c>
      <c r="T181" s="53" t="str">
        <f>IF(AND(ISNUMBER(L181),ISNUMBER(M181),ISNUMBER(J181),N(I181)&gt;0),IF(E181="卖方",J181-M181,M181-J181)*100*I181-IF(ISNUMBER(Q181),Q181,P181),"")</f>
        <v/>
      </c>
      <c r="U181" s="45" t="str">
        <f>IF(AND(ISNUMBER(T181),N(S181)&gt;0),T181/S181,"")</f>
        <v/>
      </c>
      <c r="V181" s="31" t="n"/>
    </row>
    <row r="182">
      <c r="A182" s="29" t="n"/>
      <c r="B182" s="30" t="n"/>
      <c r="C182" s="31" t="n"/>
      <c r="D182" s="32" t="n"/>
      <c r="E182" s="32" t="n"/>
      <c r="F182" s="54" t="n"/>
      <c r="G182" s="30" t="n"/>
      <c r="H182" s="42" t="str">
        <f>IF(AND(ISNUMBER(G182),ISNUMBER(B182)),G182-B182,"")</f>
        <v/>
      </c>
      <c r="I182" s="29" t="n"/>
      <c r="J182" s="54" t="n"/>
      <c r="K182" s="18" t="n"/>
      <c r="L182" s="30" t="n"/>
      <c r="M182" s="54" t="n"/>
      <c r="N182" s="18" t="n"/>
      <c r="O182" s="42" t="str">
        <f>IF(OR(ISNUMBER(L182),NOT(ISNUMBER(G182))),"",G182-$D$3)</f>
        <v/>
      </c>
      <c r="P182" s="20" t="str">
        <f>IF(N(I182)=0,"",I182*'参数'!$C$16*IF(ISNUMBER(L182),IF(N(M182)=0,1,2),1))</f>
        <v/>
      </c>
      <c r="Q182" s="23" t="n"/>
      <c r="R182" s="23" t="n"/>
      <c r="S182" s="20" t="str">
        <f>IF(ISNUMBER(R182),R182,IF(AND(E182="买方",ISNUMBER(J182),N(I182)&gt;0),J182*100*I182+I182*'参数'!$C$16,""))</f>
        <v/>
      </c>
      <c r="T182" s="53" t="str">
        <f>IF(AND(ISNUMBER(L182),ISNUMBER(M182),ISNUMBER(J182),N(I182)&gt;0),IF(E182="卖方",J182-M182,M182-J182)*100*I182-IF(ISNUMBER(Q182),Q182,P182),"")</f>
        <v/>
      </c>
      <c r="U182" s="45" t="str">
        <f>IF(AND(ISNUMBER(T182),N(S182)&gt;0),T182/S182,"")</f>
        <v/>
      </c>
      <c r="V182" s="31" t="n"/>
    </row>
    <row r="183">
      <c r="A183" s="29" t="n"/>
      <c r="B183" s="30" t="n"/>
      <c r="C183" s="31" t="n"/>
      <c r="D183" s="32" t="n"/>
      <c r="E183" s="32" t="n"/>
      <c r="F183" s="54" t="n"/>
      <c r="G183" s="30" t="n"/>
      <c r="H183" s="42" t="str">
        <f>IF(AND(ISNUMBER(G183),ISNUMBER(B183)),G183-B183,"")</f>
        <v/>
      </c>
      <c r="I183" s="29" t="n"/>
      <c r="J183" s="54" t="n"/>
      <c r="K183" s="18" t="n"/>
      <c r="L183" s="30" t="n"/>
      <c r="M183" s="54" t="n"/>
      <c r="N183" s="18" t="n"/>
      <c r="O183" s="42" t="str">
        <f>IF(OR(ISNUMBER(L183),NOT(ISNUMBER(G183))),"",G183-$D$3)</f>
        <v/>
      </c>
      <c r="P183" s="20" t="str">
        <f>IF(N(I183)=0,"",I183*'参数'!$C$16*IF(ISNUMBER(L183),IF(N(M183)=0,1,2),1))</f>
        <v/>
      </c>
      <c r="Q183" s="23" t="n"/>
      <c r="R183" s="23" t="n"/>
      <c r="S183" s="20" t="str">
        <f>IF(ISNUMBER(R183),R183,IF(AND(E183="买方",ISNUMBER(J183),N(I183)&gt;0),J183*100*I183+I183*'参数'!$C$16,""))</f>
        <v/>
      </c>
      <c r="T183" s="53" t="str">
        <f>IF(AND(ISNUMBER(L183),ISNUMBER(M183),ISNUMBER(J183),N(I183)&gt;0),IF(E183="卖方",J183-M183,M183-J183)*100*I183-IF(ISNUMBER(Q183),Q183,P183),"")</f>
        <v/>
      </c>
      <c r="U183" s="45" t="str">
        <f>IF(AND(ISNUMBER(T183),N(S183)&gt;0),T183/S183,"")</f>
        <v/>
      </c>
      <c r="V183" s="31" t="n"/>
    </row>
    <row r="184">
      <c r="A184" s="29" t="n"/>
      <c r="B184" s="30" t="n"/>
      <c r="C184" s="31" t="n"/>
      <c r="D184" s="32" t="n"/>
      <c r="E184" s="32" t="n"/>
      <c r="F184" s="54" t="n"/>
      <c r="G184" s="30" t="n"/>
      <c r="H184" s="42" t="str">
        <f>IF(AND(ISNUMBER(G184),ISNUMBER(B184)),G184-B184,"")</f>
        <v/>
      </c>
      <c r="I184" s="29" t="n"/>
      <c r="J184" s="54" t="n"/>
      <c r="K184" s="18" t="n"/>
      <c r="L184" s="30" t="n"/>
      <c r="M184" s="54" t="n"/>
      <c r="N184" s="18" t="n"/>
      <c r="O184" s="42" t="str">
        <f>IF(OR(ISNUMBER(L184),NOT(ISNUMBER(G184))),"",G184-$D$3)</f>
        <v/>
      </c>
      <c r="P184" s="20" t="str">
        <f>IF(N(I184)=0,"",I184*'参数'!$C$16*IF(ISNUMBER(L184),IF(N(M184)=0,1,2),1))</f>
        <v/>
      </c>
      <c r="Q184" s="23" t="n"/>
      <c r="R184" s="23" t="n"/>
      <c r="S184" s="20" t="str">
        <f>IF(ISNUMBER(R184),R184,IF(AND(E184="买方",ISNUMBER(J184),N(I184)&gt;0),J184*100*I184+I184*'参数'!$C$16,""))</f>
        <v/>
      </c>
      <c r="T184" s="53" t="str">
        <f>IF(AND(ISNUMBER(L184),ISNUMBER(M184),ISNUMBER(J184),N(I184)&gt;0),IF(E184="卖方",J184-M184,M184-J184)*100*I184-IF(ISNUMBER(Q184),Q184,P184),"")</f>
        <v/>
      </c>
      <c r="U184" s="45" t="str">
        <f>IF(AND(ISNUMBER(T184),N(S184)&gt;0),T184/S184,"")</f>
        <v/>
      </c>
      <c r="V184" s="31" t="n"/>
    </row>
    <row r="185">
      <c r="A185" s="29" t="n"/>
      <c r="B185" s="30" t="n"/>
      <c r="C185" s="31" t="n"/>
      <c r="D185" s="32" t="n"/>
      <c r="E185" s="32" t="n"/>
      <c r="F185" s="54" t="n"/>
      <c r="G185" s="30" t="n"/>
      <c r="H185" s="42" t="str">
        <f>IF(AND(ISNUMBER(G185),ISNUMBER(B185)),G185-B185,"")</f>
        <v/>
      </c>
      <c r="I185" s="29" t="n"/>
      <c r="J185" s="54" t="n"/>
      <c r="K185" s="18" t="n"/>
      <c r="L185" s="30" t="n"/>
      <c r="M185" s="54" t="n"/>
      <c r="N185" s="18" t="n"/>
      <c r="O185" s="42" t="str">
        <f>IF(OR(ISNUMBER(L185),NOT(ISNUMBER(G185))),"",G185-$D$3)</f>
        <v/>
      </c>
      <c r="P185" s="20" t="str">
        <f>IF(N(I185)=0,"",I185*'参数'!$C$16*IF(ISNUMBER(L185),IF(N(M185)=0,1,2),1))</f>
        <v/>
      </c>
      <c r="Q185" s="23" t="n"/>
      <c r="R185" s="23" t="n"/>
      <c r="S185" s="20" t="str">
        <f>IF(ISNUMBER(R185),R185,IF(AND(E185="买方",ISNUMBER(J185),N(I185)&gt;0),J185*100*I185+I185*'参数'!$C$16,""))</f>
        <v/>
      </c>
      <c r="T185" s="53" t="str">
        <f>IF(AND(ISNUMBER(L185),ISNUMBER(M185),ISNUMBER(J185),N(I185)&gt;0),IF(E185="卖方",J185-M185,M185-J185)*100*I185-IF(ISNUMBER(Q185),Q185,P185),"")</f>
        <v/>
      </c>
      <c r="U185" s="45" t="str">
        <f>IF(AND(ISNUMBER(T185),N(S185)&gt;0),T185/S185,"")</f>
        <v/>
      </c>
      <c r="V185" s="31" t="n"/>
    </row>
    <row r="186">
      <c r="A186" s="29" t="n"/>
      <c r="B186" s="30" t="n"/>
      <c r="C186" s="31" t="n"/>
      <c r="D186" s="32" t="n"/>
      <c r="E186" s="32" t="n"/>
      <c r="F186" s="54" t="n"/>
      <c r="G186" s="30" t="n"/>
      <c r="H186" s="42" t="str">
        <f>IF(AND(ISNUMBER(G186),ISNUMBER(B186)),G186-B186,"")</f>
        <v/>
      </c>
      <c r="I186" s="29" t="n"/>
      <c r="J186" s="54" t="n"/>
      <c r="K186" s="18" t="n"/>
      <c r="L186" s="30" t="n"/>
      <c r="M186" s="54" t="n"/>
      <c r="N186" s="18" t="n"/>
      <c r="O186" s="42" t="str">
        <f>IF(OR(ISNUMBER(L186),NOT(ISNUMBER(G186))),"",G186-$D$3)</f>
        <v/>
      </c>
      <c r="P186" s="20" t="str">
        <f>IF(N(I186)=0,"",I186*'参数'!$C$16*IF(ISNUMBER(L186),IF(N(M186)=0,1,2),1))</f>
        <v/>
      </c>
      <c r="Q186" s="23" t="n"/>
      <c r="R186" s="23" t="n"/>
      <c r="S186" s="20" t="str">
        <f>IF(ISNUMBER(R186),R186,IF(AND(E186="买方",ISNUMBER(J186),N(I186)&gt;0),J186*100*I186+I186*'参数'!$C$16,""))</f>
        <v/>
      </c>
      <c r="T186" s="53" t="str">
        <f>IF(AND(ISNUMBER(L186),ISNUMBER(M186),ISNUMBER(J186),N(I186)&gt;0),IF(E186="卖方",J186-M186,M186-J186)*100*I186-IF(ISNUMBER(Q186),Q186,P186),"")</f>
        <v/>
      </c>
      <c r="U186" s="45" t="str">
        <f>IF(AND(ISNUMBER(T186),N(S186)&gt;0),T186/S186,"")</f>
        <v/>
      </c>
      <c r="V186" s="31" t="n"/>
    </row>
    <row r="187">
      <c r="A187" s="29" t="n"/>
      <c r="B187" s="30" t="n"/>
      <c r="C187" s="31" t="n"/>
      <c r="D187" s="32" t="n"/>
      <c r="E187" s="32" t="n"/>
      <c r="F187" s="54" t="n"/>
      <c r="G187" s="30" t="n"/>
      <c r="H187" s="42" t="str">
        <f>IF(AND(ISNUMBER(G187),ISNUMBER(B187)),G187-B187,"")</f>
        <v/>
      </c>
      <c r="I187" s="29" t="n"/>
      <c r="J187" s="54" t="n"/>
      <c r="K187" s="18" t="n"/>
      <c r="L187" s="30" t="n"/>
      <c r="M187" s="54" t="n"/>
      <c r="N187" s="18" t="n"/>
      <c r="O187" s="42" t="str">
        <f>IF(OR(ISNUMBER(L187),NOT(ISNUMBER(G187))),"",G187-$D$3)</f>
        <v/>
      </c>
      <c r="P187" s="20" t="str">
        <f>IF(N(I187)=0,"",I187*'参数'!$C$16*IF(ISNUMBER(L187),IF(N(M187)=0,1,2),1))</f>
        <v/>
      </c>
      <c r="Q187" s="23" t="n"/>
      <c r="R187" s="23" t="n"/>
      <c r="S187" s="20" t="str">
        <f>IF(ISNUMBER(R187),R187,IF(AND(E187="买方",ISNUMBER(J187),N(I187)&gt;0),J187*100*I187+I187*'参数'!$C$16,""))</f>
        <v/>
      </c>
      <c r="T187" s="53" t="str">
        <f>IF(AND(ISNUMBER(L187),ISNUMBER(M187),ISNUMBER(J187),N(I187)&gt;0),IF(E187="卖方",J187-M187,M187-J187)*100*I187-IF(ISNUMBER(Q187),Q187,P187),"")</f>
        <v/>
      </c>
      <c r="U187" s="45" t="str">
        <f>IF(AND(ISNUMBER(T187),N(S187)&gt;0),T187/S187,"")</f>
        <v/>
      </c>
      <c r="V187" s="31" t="n"/>
    </row>
    <row r="188">
      <c r="A188" s="29" t="n"/>
      <c r="B188" s="30" t="n"/>
      <c r="C188" s="31" t="n"/>
      <c r="D188" s="32" t="n"/>
      <c r="E188" s="32" t="n"/>
      <c r="F188" s="54" t="n"/>
      <c r="G188" s="30" t="n"/>
      <c r="H188" s="42" t="str">
        <f>IF(AND(ISNUMBER(G188),ISNUMBER(B188)),G188-B188,"")</f>
        <v/>
      </c>
      <c r="I188" s="29" t="n"/>
      <c r="J188" s="54" t="n"/>
      <c r="K188" s="18" t="n"/>
      <c r="L188" s="30" t="n"/>
      <c r="M188" s="54" t="n"/>
      <c r="N188" s="18" t="n"/>
      <c r="O188" s="42" t="str">
        <f>IF(OR(ISNUMBER(L188),NOT(ISNUMBER(G188))),"",G188-$D$3)</f>
        <v/>
      </c>
      <c r="P188" s="20" t="str">
        <f>IF(N(I188)=0,"",I188*'参数'!$C$16*IF(ISNUMBER(L188),IF(N(M188)=0,1,2),1))</f>
        <v/>
      </c>
      <c r="Q188" s="23" t="n"/>
      <c r="R188" s="23" t="n"/>
      <c r="S188" s="20" t="str">
        <f>IF(ISNUMBER(R188),R188,IF(AND(E188="买方",ISNUMBER(J188),N(I188)&gt;0),J188*100*I188+I188*'参数'!$C$16,""))</f>
        <v/>
      </c>
      <c r="T188" s="53" t="str">
        <f>IF(AND(ISNUMBER(L188),ISNUMBER(M188),ISNUMBER(J188),N(I188)&gt;0),IF(E188="卖方",J188-M188,M188-J188)*100*I188-IF(ISNUMBER(Q188),Q188,P188),"")</f>
        <v/>
      </c>
      <c r="U188" s="45" t="str">
        <f>IF(AND(ISNUMBER(T188),N(S188)&gt;0),T188/S188,"")</f>
        <v/>
      </c>
      <c r="V188" s="31" t="n"/>
    </row>
    <row r="189">
      <c r="A189" s="29" t="n"/>
      <c r="B189" s="30" t="n"/>
      <c r="C189" s="31" t="n"/>
      <c r="D189" s="32" t="n"/>
      <c r="E189" s="32" t="n"/>
      <c r="F189" s="54" t="n"/>
      <c r="G189" s="30" t="n"/>
      <c r="H189" s="42" t="str">
        <f>IF(AND(ISNUMBER(G189),ISNUMBER(B189)),G189-B189,"")</f>
        <v/>
      </c>
      <c r="I189" s="29" t="n"/>
      <c r="J189" s="54" t="n"/>
      <c r="K189" s="18" t="n"/>
      <c r="L189" s="30" t="n"/>
      <c r="M189" s="54" t="n"/>
      <c r="N189" s="18" t="n"/>
      <c r="O189" s="42" t="str">
        <f>IF(OR(ISNUMBER(L189),NOT(ISNUMBER(G189))),"",G189-$D$3)</f>
        <v/>
      </c>
      <c r="P189" s="20" t="str">
        <f>IF(N(I189)=0,"",I189*'参数'!$C$16*IF(ISNUMBER(L189),IF(N(M189)=0,1,2),1))</f>
        <v/>
      </c>
      <c r="Q189" s="23" t="n"/>
      <c r="R189" s="23" t="n"/>
      <c r="S189" s="20" t="str">
        <f>IF(ISNUMBER(R189),R189,IF(AND(E189="买方",ISNUMBER(J189),N(I189)&gt;0),J189*100*I189+I189*'参数'!$C$16,""))</f>
        <v/>
      </c>
      <c r="T189" s="53" t="str">
        <f>IF(AND(ISNUMBER(L189),ISNUMBER(M189),ISNUMBER(J189),N(I189)&gt;0),IF(E189="卖方",J189-M189,M189-J189)*100*I189-IF(ISNUMBER(Q189),Q189,P189),"")</f>
        <v/>
      </c>
      <c r="U189" s="45" t="str">
        <f>IF(AND(ISNUMBER(T189),N(S189)&gt;0),T189/S189,"")</f>
        <v/>
      </c>
      <c r="V189" s="31" t="n"/>
    </row>
    <row r="190">
      <c r="A190" s="29" t="n"/>
      <c r="B190" s="30" t="n"/>
      <c r="C190" s="31" t="n"/>
      <c r="D190" s="32" t="n"/>
      <c r="E190" s="32" t="n"/>
      <c r="F190" s="54" t="n"/>
      <c r="G190" s="30" t="n"/>
      <c r="H190" s="42" t="str">
        <f>IF(AND(ISNUMBER(G190),ISNUMBER(B190)),G190-B190,"")</f>
        <v/>
      </c>
      <c r="I190" s="29" t="n"/>
      <c r="J190" s="54" t="n"/>
      <c r="K190" s="18" t="n"/>
      <c r="L190" s="30" t="n"/>
      <c r="M190" s="54" t="n"/>
      <c r="N190" s="18" t="n"/>
      <c r="O190" s="42" t="str">
        <f>IF(OR(ISNUMBER(L190),NOT(ISNUMBER(G190))),"",G190-$D$3)</f>
        <v/>
      </c>
      <c r="P190" s="20" t="str">
        <f>IF(N(I190)=0,"",I190*'参数'!$C$16*IF(ISNUMBER(L190),IF(N(M190)=0,1,2),1))</f>
        <v/>
      </c>
      <c r="Q190" s="23" t="n"/>
      <c r="R190" s="23" t="n"/>
      <c r="S190" s="20" t="str">
        <f>IF(ISNUMBER(R190),R190,IF(AND(E190="买方",ISNUMBER(J190),N(I190)&gt;0),J190*100*I190+I190*'参数'!$C$16,""))</f>
        <v/>
      </c>
      <c r="T190" s="53" t="str">
        <f>IF(AND(ISNUMBER(L190),ISNUMBER(M190),ISNUMBER(J190),N(I190)&gt;0),IF(E190="卖方",J190-M190,M190-J190)*100*I190-IF(ISNUMBER(Q190),Q190,P190),"")</f>
        <v/>
      </c>
      <c r="U190" s="45" t="str">
        <f>IF(AND(ISNUMBER(T190),N(S190)&gt;0),T190/S190,"")</f>
        <v/>
      </c>
      <c r="V190" s="31" t="n"/>
    </row>
    <row r="191">
      <c r="A191" s="29" t="n"/>
      <c r="B191" s="30" t="n"/>
      <c r="C191" s="31" t="n"/>
      <c r="D191" s="32" t="n"/>
      <c r="E191" s="32" t="n"/>
      <c r="F191" s="54" t="n"/>
      <c r="G191" s="30" t="n"/>
      <c r="H191" s="42" t="str">
        <f>IF(AND(ISNUMBER(G191),ISNUMBER(B191)),G191-B191,"")</f>
        <v/>
      </c>
      <c r="I191" s="29" t="n"/>
      <c r="J191" s="54" t="n"/>
      <c r="K191" s="18" t="n"/>
      <c r="L191" s="30" t="n"/>
      <c r="M191" s="54" t="n"/>
      <c r="N191" s="18" t="n"/>
      <c r="O191" s="42" t="str">
        <f>IF(OR(ISNUMBER(L191),NOT(ISNUMBER(G191))),"",G191-$D$3)</f>
        <v/>
      </c>
      <c r="P191" s="20" t="str">
        <f>IF(N(I191)=0,"",I191*'参数'!$C$16*IF(ISNUMBER(L191),IF(N(M191)=0,1,2),1))</f>
        <v/>
      </c>
      <c r="Q191" s="23" t="n"/>
      <c r="R191" s="23" t="n"/>
      <c r="S191" s="20" t="str">
        <f>IF(ISNUMBER(R191),R191,IF(AND(E191="买方",ISNUMBER(J191),N(I191)&gt;0),J191*100*I191+I191*'参数'!$C$16,""))</f>
        <v/>
      </c>
      <c r="T191" s="53" t="str">
        <f>IF(AND(ISNUMBER(L191),ISNUMBER(M191),ISNUMBER(J191),N(I191)&gt;0),IF(E191="卖方",J191-M191,M191-J191)*100*I191-IF(ISNUMBER(Q191),Q191,P191),"")</f>
        <v/>
      </c>
      <c r="U191" s="45" t="str">
        <f>IF(AND(ISNUMBER(T191),N(S191)&gt;0),T191/S191,"")</f>
        <v/>
      </c>
      <c r="V191" s="31" t="n"/>
    </row>
    <row r="192">
      <c r="A192" s="29" t="n"/>
      <c r="B192" s="30" t="n"/>
      <c r="C192" s="31" t="n"/>
      <c r="D192" s="32" t="n"/>
      <c r="E192" s="32" t="n"/>
      <c r="F192" s="54" t="n"/>
      <c r="G192" s="30" t="n"/>
      <c r="H192" s="42" t="str">
        <f>IF(AND(ISNUMBER(G192),ISNUMBER(B192)),G192-B192,"")</f>
        <v/>
      </c>
      <c r="I192" s="29" t="n"/>
      <c r="J192" s="54" t="n"/>
      <c r="K192" s="18" t="n"/>
      <c r="L192" s="30" t="n"/>
      <c r="M192" s="54" t="n"/>
      <c r="N192" s="18" t="n"/>
      <c r="O192" s="42" t="str">
        <f>IF(OR(ISNUMBER(L192),NOT(ISNUMBER(G192))),"",G192-$D$3)</f>
        <v/>
      </c>
      <c r="P192" s="20" t="str">
        <f>IF(N(I192)=0,"",I192*'参数'!$C$16*IF(ISNUMBER(L192),IF(N(M192)=0,1,2),1))</f>
        <v/>
      </c>
      <c r="Q192" s="23" t="n"/>
      <c r="R192" s="23" t="n"/>
      <c r="S192" s="20" t="str">
        <f>IF(ISNUMBER(R192),R192,IF(AND(E192="买方",ISNUMBER(J192),N(I192)&gt;0),J192*100*I192+I192*'参数'!$C$16,""))</f>
        <v/>
      </c>
      <c r="T192" s="53" t="str">
        <f>IF(AND(ISNUMBER(L192),ISNUMBER(M192),ISNUMBER(J192),N(I192)&gt;0),IF(E192="卖方",J192-M192,M192-J192)*100*I192-IF(ISNUMBER(Q192),Q192,P192),"")</f>
        <v/>
      </c>
      <c r="U192" s="45" t="str">
        <f>IF(AND(ISNUMBER(T192),N(S192)&gt;0),T192/S192,"")</f>
        <v/>
      </c>
      <c r="V192" s="31" t="n"/>
    </row>
    <row r="193">
      <c r="A193" s="29" t="n"/>
      <c r="B193" s="30" t="n"/>
      <c r="C193" s="31" t="n"/>
      <c r="D193" s="32" t="n"/>
      <c r="E193" s="32" t="n"/>
      <c r="F193" s="54" t="n"/>
      <c r="G193" s="30" t="n"/>
      <c r="H193" s="42" t="str">
        <f>IF(AND(ISNUMBER(G193),ISNUMBER(B193)),G193-B193,"")</f>
        <v/>
      </c>
      <c r="I193" s="29" t="n"/>
      <c r="J193" s="54" t="n"/>
      <c r="K193" s="18" t="n"/>
      <c r="L193" s="30" t="n"/>
      <c r="M193" s="54" t="n"/>
      <c r="N193" s="18" t="n"/>
      <c r="O193" s="42" t="str">
        <f>IF(OR(ISNUMBER(L193),NOT(ISNUMBER(G193))),"",G193-$D$3)</f>
        <v/>
      </c>
      <c r="P193" s="20" t="str">
        <f>IF(N(I193)=0,"",I193*'参数'!$C$16*IF(ISNUMBER(L193),IF(N(M193)=0,1,2),1))</f>
        <v/>
      </c>
      <c r="Q193" s="23" t="n"/>
      <c r="R193" s="23" t="n"/>
      <c r="S193" s="20" t="str">
        <f>IF(ISNUMBER(R193),R193,IF(AND(E193="买方",ISNUMBER(J193),N(I193)&gt;0),J193*100*I193+I193*'参数'!$C$16,""))</f>
        <v/>
      </c>
      <c r="T193" s="53" t="str">
        <f>IF(AND(ISNUMBER(L193),ISNUMBER(M193),ISNUMBER(J193),N(I193)&gt;0),IF(E193="卖方",J193-M193,M193-J193)*100*I193-IF(ISNUMBER(Q193),Q193,P193),"")</f>
        <v/>
      </c>
      <c r="U193" s="45" t="str">
        <f>IF(AND(ISNUMBER(T193),N(S193)&gt;0),T193/S193,"")</f>
        <v/>
      </c>
      <c r="V193" s="31" t="n"/>
    </row>
    <row r="194">
      <c r="A194" s="29" t="n"/>
      <c r="B194" s="30" t="n"/>
      <c r="C194" s="31" t="n"/>
      <c r="D194" s="32" t="n"/>
      <c r="E194" s="32" t="n"/>
      <c r="F194" s="54" t="n"/>
      <c r="G194" s="30" t="n"/>
      <c r="H194" s="42" t="str">
        <f>IF(AND(ISNUMBER(G194),ISNUMBER(B194)),G194-B194,"")</f>
        <v/>
      </c>
      <c r="I194" s="29" t="n"/>
      <c r="J194" s="54" t="n"/>
      <c r="K194" s="18" t="n"/>
      <c r="L194" s="30" t="n"/>
      <c r="M194" s="54" t="n"/>
      <c r="N194" s="18" t="n"/>
      <c r="O194" s="42" t="str">
        <f>IF(OR(ISNUMBER(L194),NOT(ISNUMBER(G194))),"",G194-$D$3)</f>
        <v/>
      </c>
      <c r="P194" s="20" t="str">
        <f>IF(N(I194)=0,"",I194*'参数'!$C$16*IF(ISNUMBER(L194),IF(N(M194)=0,1,2),1))</f>
        <v/>
      </c>
      <c r="Q194" s="23" t="n"/>
      <c r="R194" s="23" t="n"/>
      <c r="S194" s="20" t="str">
        <f>IF(ISNUMBER(R194),R194,IF(AND(E194="买方",ISNUMBER(J194),N(I194)&gt;0),J194*100*I194+I194*'参数'!$C$16,""))</f>
        <v/>
      </c>
      <c r="T194" s="53" t="str">
        <f>IF(AND(ISNUMBER(L194),ISNUMBER(M194),ISNUMBER(J194),N(I194)&gt;0),IF(E194="卖方",J194-M194,M194-J194)*100*I194-IF(ISNUMBER(Q194),Q194,P194),"")</f>
        <v/>
      </c>
      <c r="U194" s="45" t="str">
        <f>IF(AND(ISNUMBER(T194),N(S194)&gt;0),T194/S194,"")</f>
        <v/>
      </c>
      <c r="V194" s="31" t="n"/>
    </row>
    <row r="195">
      <c r="A195" s="29" t="n"/>
      <c r="B195" s="30" t="n"/>
      <c r="C195" s="31" t="n"/>
      <c r="D195" s="32" t="n"/>
      <c r="E195" s="32" t="n"/>
      <c r="F195" s="54" t="n"/>
      <c r="G195" s="30" t="n"/>
      <c r="H195" s="42" t="str">
        <f>IF(AND(ISNUMBER(G195),ISNUMBER(B195)),G195-B195,"")</f>
        <v/>
      </c>
      <c r="I195" s="29" t="n"/>
      <c r="J195" s="54" t="n"/>
      <c r="K195" s="18" t="n"/>
      <c r="L195" s="30" t="n"/>
      <c r="M195" s="54" t="n"/>
      <c r="N195" s="18" t="n"/>
      <c r="O195" s="42" t="str">
        <f>IF(OR(ISNUMBER(L195),NOT(ISNUMBER(G195))),"",G195-$D$3)</f>
        <v/>
      </c>
      <c r="P195" s="20" t="str">
        <f>IF(N(I195)=0,"",I195*'参数'!$C$16*IF(ISNUMBER(L195),IF(N(M195)=0,1,2),1))</f>
        <v/>
      </c>
      <c r="Q195" s="23" t="n"/>
      <c r="R195" s="23" t="n"/>
      <c r="S195" s="20" t="str">
        <f>IF(ISNUMBER(R195),R195,IF(AND(E195="买方",ISNUMBER(J195),N(I195)&gt;0),J195*100*I195+I195*'参数'!$C$16,""))</f>
        <v/>
      </c>
      <c r="T195" s="53" t="str">
        <f>IF(AND(ISNUMBER(L195),ISNUMBER(M195),ISNUMBER(J195),N(I195)&gt;0),IF(E195="卖方",J195-M195,M195-J195)*100*I195-IF(ISNUMBER(Q195),Q195,P195),"")</f>
        <v/>
      </c>
      <c r="U195" s="45" t="str">
        <f>IF(AND(ISNUMBER(T195),N(S195)&gt;0),T195/S195,"")</f>
        <v/>
      </c>
      <c r="V195" s="31" t="n"/>
    </row>
    <row r="196">
      <c r="A196" s="29" t="n"/>
      <c r="B196" s="30" t="n"/>
      <c r="C196" s="31" t="n"/>
      <c r="D196" s="32" t="n"/>
      <c r="E196" s="32" t="n"/>
      <c r="F196" s="54" t="n"/>
      <c r="G196" s="30" t="n"/>
      <c r="H196" s="42" t="str">
        <f>IF(AND(ISNUMBER(G196),ISNUMBER(B196)),G196-B196,"")</f>
        <v/>
      </c>
      <c r="I196" s="29" t="n"/>
      <c r="J196" s="54" t="n"/>
      <c r="K196" s="18" t="n"/>
      <c r="L196" s="30" t="n"/>
      <c r="M196" s="54" t="n"/>
      <c r="N196" s="18" t="n"/>
      <c r="O196" s="42" t="str">
        <f>IF(OR(ISNUMBER(L196),NOT(ISNUMBER(G196))),"",G196-$D$3)</f>
        <v/>
      </c>
      <c r="P196" s="20" t="str">
        <f>IF(N(I196)=0,"",I196*'参数'!$C$16*IF(ISNUMBER(L196),IF(N(M196)=0,1,2),1))</f>
        <v/>
      </c>
      <c r="Q196" s="23" t="n"/>
      <c r="R196" s="23" t="n"/>
      <c r="S196" s="20" t="str">
        <f>IF(ISNUMBER(R196),R196,IF(AND(E196="买方",ISNUMBER(J196),N(I196)&gt;0),J196*100*I196+I196*'参数'!$C$16,""))</f>
        <v/>
      </c>
      <c r="T196" s="53" t="str">
        <f>IF(AND(ISNUMBER(L196),ISNUMBER(M196),ISNUMBER(J196),N(I196)&gt;0),IF(E196="卖方",J196-M196,M196-J196)*100*I196-IF(ISNUMBER(Q196),Q196,P196),"")</f>
        <v/>
      </c>
      <c r="U196" s="45" t="str">
        <f>IF(AND(ISNUMBER(T196),N(S196)&gt;0),T196/S196,"")</f>
        <v/>
      </c>
      <c r="V196" s="31" t="n"/>
    </row>
    <row r="197">
      <c r="A197" s="29" t="n"/>
      <c r="B197" s="30" t="n"/>
      <c r="C197" s="31" t="n"/>
      <c r="D197" s="32" t="n"/>
      <c r="E197" s="32" t="n"/>
      <c r="F197" s="54" t="n"/>
      <c r="G197" s="30" t="n"/>
      <c r="H197" s="42" t="str">
        <f>IF(AND(ISNUMBER(G197),ISNUMBER(B197)),G197-B197,"")</f>
        <v/>
      </c>
      <c r="I197" s="29" t="n"/>
      <c r="J197" s="54" t="n"/>
      <c r="K197" s="18" t="n"/>
      <c r="L197" s="30" t="n"/>
      <c r="M197" s="54" t="n"/>
      <c r="N197" s="18" t="n"/>
      <c r="O197" s="42" t="str">
        <f>IF(OR(ISNUMBER(L197),NOT(ISNUMBER(G197))),"",G197-$D$3)</f>
        <v/>
      </c>
      <c r="P197" s="20" t="str">
        <f>IF(N(I197)=0,"",I197*'参数'!$C$16*IF(ISNUMBER(L197),IF(N(M197)=0,1,2),1))</f>
        <v/>
      </c>
      <c r="Q197" s="23" t="n"/>
      <c r="R197" s="23" t="n"/>
      <c r="S197" s="20" t="str">
        <f>IF(ISNUMBER(R197),R197,IF(AND(E197="买方",ISNUMBER(J197),N(I197)&gt;0),J197*100*I197+I197*'参数'!$C$16,""))</f>
        <v/>
      </c>
      <c r="T197" s="53" t="str">
        <f>IF(AND(ISNUMBER(L197),ISNUMBER(M197),ISNUMBER(J197),N(I197)&gt;0),IF(E197="卖方",J197-M197,M197-J197)*100*I197-IF(ISNUMBER(Q197),Q197,P197),"")</f>
        <v/>
      </c>
      <c r="U197" s="45" t="str">
        <f>IF(AND(ISNUMBER(T197),N(S197)&gt;0),T197/S197,"")</f>
        <v/>
      </c>
      <c r="V197" s="31" t="n"/>
    </row>
    <row r="198">
      <c r="A198" s="29" t="n"/>
      <c r="B198" s="30" t="n"/>
      <c r="C198" s="31" t="n"/>
      <c r="D198" s="32" t="n"/>
      <c r="E198" s="32" t="n"/>
      <c r="F198" s="54" t="n"/>
      <c r="G198" s="30" t="n"/>
      <c r="H198" s="42" t="str">
        <f>IF(AND(ISNUMBER(G198),ISNUMBER(B198)),G198-B198,"")</f>
        <v/>
      </c>
      <c r="I198" s="29" t="n"/>
      <c r="J198" s="54" t="n"/>
      <c r="K198" s="18" t="n"/>
      <c r="L198" s="30" t="n"/>
      <c r="M198" s="54" t="n"/>
      <c r="N198" s="18" t="n"/>
      <c r="O198" s="42" t="str">
        <f>IF(OR(ISNUMBER(L198),NOT(ISNUMBER(G198))),"",G198-$D$3)</f>
        <v/>
      </c>
      <c r="P198" s="20" t="str">
        <f>IF(N(I198)=0,"",I198*'参数'!$C$16*IF(ISNUMBER(L198),IF(N(M198)=0,1,2),1))</f>
        <v/>
      </c>
      <c r="Q198" s="23" t="n"/>
      <c r="R198" s="23" t="n"/>
      <c r="S198" s="20" t="str">
        <f>IF(ISNUMBER(R198),R198,IF(AND(E198="买方",ISNUMBER(J198),N(I198)&gt;0),J198*100*I198+I198*'参数'!$C$16,""))</f>
        <v/>
      </c>
      <c r="T198" s="53" t="str">
        <f>IF(AND(ISNUMBER(L198),ISNUMBER(M198),ISNUMBER(J198),N(I198)&gt;0),IF(E198="卖方",J198-M198,M198-J198)*100*I198-IF(ISNUMBER(Q198),Q198,P198),"")</f>
        <v/>
      </c>
      <c r="U198" s="45" t="str">
        <f>IF(AND(ISNUMBER(T198),N(S198)&gt;0),T198/S198,"")</f>
        <v/>
      </c>
      <c r="V198" s="31" t="n"/>
    </row>
    <row r="199">
      <c r="A199" s="29" t="n"/>
      <c r="B199" s="30" t="n"/>
      <c r="C199" s="31" t="n"/>
      <c r="D199" s="32" t="n"/>
      <c r="E199" s="32" t="n"/>
      <c r="F199" s="54" t="n"/>
      <c r="G199" s="30" t="n"/>
      <c r="H199" s="42" t="str">
        <f>IF(AND(ISNUMBER(G199),ISNUMBER(B199)),G199-B199,"")</f>
        <v/>
      </c>
      <c r="I199" s="29" t="n"/>
      <c r="J199" s="54" t="n"/>
      <c r="K199" s="18" t="n"/>
      <c r="L199" s="30" t="n"/>
      <c r="M199" s="54" t="n"/>
      <c r="N199" s="18" t="n"/>
      <c r="O199" s="42" t="str">
        <f>IF(OR(ISNUMBER(L199),NOT(ISNUMBER(G199))),"",G199-$D$3)</f>
        <v/>
      </c>
      <c r="P199" s="20" t="str">
        <f>IF(N(I199)=0,"",I199*'参数'!$C$16*IF(ISNUMBER(L199),IF(N(M199)=0,1,2),1))</f>
        <v/>
      </c>
      <c r="Q199" s="23" t="n"/>
      <c r="R199" s="23" t="n"/>
      <c r="S199" s="20" t="str">
        <f>IF(ISNUMBER(R199),R199,IF(AND(E199="买方",ISNUMBER(J199),N(I199)&gt;0),J199*100*I199+I199*'参数'!$C$16,""))</f>
        <v/>
      </c>
      <c r="T199" s="53" t="str">
        <f>IF(AND(ISNUMBER(L199),ISNUMBER(M199),ISNUMBER(J199),N(I199)&gt;0),IF(E199="卖方",J199-M199,M199-J199)*100*I199-IF(ISNUMBER(Q199),Q199,P199),"")</f>
        <v/>
      </c>
      <c r="U199" s="45" t="str">
        <f>IF(AND(ISNUMBER(T199),N(S199)&gt;0),T199/S199,"")</f>
        <v/>
      </c>
      <c r="V199" s="31" t="n"/>
    </row>
    <row r="200">
      <c r="A200" s="29" t="n"/>
      <c r="B200" s="30" t="n"/>
      <c r="C200" s="31" t="n"/>
      <c r="D200" s="32" t="n"/>
      <c r="E200" s="32" t="n"/>
      <c r="F200" s="54" t="n"/>
      <c r="G200" s="30" t="n"/>
      <c r="H200" s="42" t="str">
        <f>IF(AND(ISNUMBER(G200),ISNUMBER(B200)),G200-B200,"")</f>
        <v/>
      </c>
      <c r="I200" s="29" t="n"/>
      <c r="J200" s="54" t="n"/>
      <c r="K200" s="18" t="n"/>
      <c r="L200" s="30" t="n"/>
      <c r="M200" s="54" t="n"/>
      <c r="N200" s="18" t="n"/>
      <c r="O200" s="42" t="str">
        <f>IF(OR(ISNUMBER(L200),NOT(ISNUMBER(G200))),"",G200-$D$3)</f>
        <v/>
      </c>
      <c r="P200" s="20" t="str">
        <f>IF(N(I200)=0,"",I200*'参数'!$C$16*IF(ISNUMBER(L200),IF(N(M200)=0,1,2),1))</f>
        <v/>
      </c>
      <c r="Q200" s="23" t="n"/>
      <c r="R200" s="23" t="n"/>
      <c r="S200" s="20" t="str">
        <f>IF(ISNUMBER(R200),R200,IF(AND(E200="买方",ISNUMBER(J200),N(I200)&gt;0),J200*100*I200+I200*'参数'!$C$16,""))</f>
        <v/>
      </c>
      <c r="T200" s="53" t="str">
        <f>IF(AND(ISNUMBER(L200),ISNUMBER(M200),ISNUMBER(J200),N(I200)&gt;0),IF(E200="卖方",J200-M200,M200-J200)*100*I200-IF(ISNUMBER(Q200),Q200,P200),"")</f>
        <v/>
      </c>
      <c r="U200" s="45" t="str">
        <f>IF(AND(ISNUMBER(T200),N(S200)&gt;0),T200/S200,"")</f>
        <v/>
      </c>
      <c r="V200" s="31" t="n"/>
    </row>
    <row r="201">
      <c r="A201" s="29" t="n"/>
      <c r="B201" s="30" t="n"/>
      <c r="C201" s="31" t="n"/>
      <c r="D201" s="32" t="n"/>
      <c r="E201" s="32" t="n"/>
      <c r="F201" s="54" t="n"/>
      <c r="G201" s="30" t="n"/>
      <c r="H201" s="42" t="str">
        <f>IF(AND(ISNUMBER(G201),ISNUMBER(B201)),G201-B201,"")</f>
        <v/>
      </c>
      <c r="I201" s="29" t="n"/>
      <c r="J201" s="54" t="n"/>
      <c r="K201" s="18" t="n"/>
      <c r="L201" s="30" t="n"/>
      <c r="M201" s="54" t="n"/>
      <c r="N201" s="18" t="n"/>
      <c r="O201" s="42" t="str">
        <f>IF(OR(ISNUMBER(L201),NOT(ISNUMBER(G201))),"",G201-$D$3)</f>
        <v/>
      </c>
      <c r="P201" s="20" t="str">
        <f>IF(N(I201)=0,"",I201*'参数'!$C$16*IF(ISNUMBER(L201),IF(N(M201)=0,1,2),1))</f>
        <v/>
      </c>
      <c r="Q201" s="23" t="n"/>
      <c r="R201" s="23" t="n"/>
      <c r="S201" s="20" t="str">
        <f>IF(ISNUMBER(R201),R201,IF(AND(E201="买方",ISNUMBER(J201),N(I201)&gt;0),J201*100*I201+I201*'参数'!$C$16,""))</f>
        <v/>
      </c>
      <c r="T201" s="53" t="str">
        <f>IF(AND(ISNUMBER(L201),ISNUMBER(M201),ISNUMBER(J201),N(I201)&gt;0),IF(E201="卖方",J201-M201,M201-J201)*100*I201-IF(ISNUMBER(Q201),Q201,P201),"")</f>
        <v/>
      </c>
      <c r="U201" s="45" t="str">
        <f>IF(AND(ISNUMBER(T201),N(S201)&gt;0),T201/S201,"")</f>
        <v/>
      </c>
      <c r="V201" s="31" t="n"/>
    </row>
    <row r="202">
      <c r="A202" s="29" t="n"/>
      <c r="B202" s="30" t="n"/>
      <c r="C202" s="31" t="n"/>
      <c r="D202" s="32" t="n"/>
      <c r="E202" s="32" t="n"/>
      <c r="F202" s="54" t="n"/>
      <c r="G202" s="30" t="n"/>
      <c r="H202" s="42" t="str">
        <f>IF(AND(ISNUMBER(G202),ISNUMBER(B202)),G202-B202,"")</f>
        <v/>
      </c>
      <c r="I202" s="29" t="n"/>
      <c r="J202" s="54" t="n"/>
      <c r="K202" s="18" t="n"/>
      <c r="L202" s="30" t="n"/>
      <c r="M202" s="54" t="n"/>
      <c r="N202" s="18" t="n"/>
      <c r="O202" s="42" t="str">
        <f>IF(OR(ISNUMBER(L202),NOT(ISNUMBER(G202))),"",G202-$D$3)</f>
        <v/>
      </c>
      <c r="P202" s="20" t="str">
        <f>IF(N(I202)=0,"",I202*'参数'!$C$16*IF(ISNUMBER(L202),IF(N(M202)=0,1,2),1))</f>
        <v/>
      </c>
      <c r="Q202" s="23" t="n"/>
      <c r="R202" s="23" t="n"/>
      <c r="S202" s="20" t="str">
        <f>IF(ISNUMBER(R202),R202,IF(AND(E202="买方",ISNUMBER(J202),N(I202)&gt;0),J202*100*I202+I202*'参数'!$C$16,""))</f>
        <v/>
      </c>
      <c r="T202" s="53" t="str">
        <f>IF(AND(ISNUMBER(L202),ISNUMBER(M202),ISNUMBER(J202),N(I202)&gt;0),IF(E202="卖方",J202-M202,M202-J202)*100*I202-IF(ISNUMBER(Q202),Q202,P202),"")</f>
        <v/>
      </c>
      <c r="U202" s="45" t="str">
        <f>IF(AND(ISNUMBER(T202),N(S202)&gt;0),T202/S202,"")</f>
        <v/>
      </c>
      <c r="V202" s="31" t="n"/>
    </row>
    <row r="203">
      <c r="A203" s="29" t="n"/>
      <c r="B203" s="30" t="n"/>
      <c r="C203" s="31" t="n"/>
      <c r="D203" s="32" t="n"/>
      <c r="E203" s="32" t="n"/>
      <c r="F203" s="54" t="n"/>
      <c r="G203" s="30" t="n"/>
      <c r="H203" s="42" t="str">
        <f>IF(AND(ISNUMBER(G203),ISNUMBER(B203)),G203-B203,"")</f>
        <v/>
      </c>
      <c r="I203" s="29" t="n"/>
      <c r="J203" s="54" t="n"/>
      <c r="K203" s="18" t="n"/>
      <c r="L203" s="30" t="n"/>
      <c r="M203" s="54" t="n"/>
      <c r="N203" s="18" t="n"/>
      <c r="O203" s="42" t="str">
        <f>IF(OR(ISNUMBER(L203),NOT(ISNUMBER(G203))),"",G203-$D$3)</f>
        <v/>
      </c>
      <c r="P203" s="20" t="str">
        <f>IF(N(I203)=0,"",I203*'参数'!$C$16*IF(ISNUMBER(L203),IF(N(M203)=0,1,2),1))</f>
        <v/>
      </c>
      <c r="Q203" s="23" t="n"/>
      <c r="R203" s="23" t="n"/>
      <c r="S203" s="20" t="str">
        <f>IF(ISNUMBER(R203),R203,IF(AND(E203="买方",ISNUMBER(J203),N(I203)&gt;0),J203*100*I203+I203*'参数'!$C$16,""))</f>
        <v/>
      </c>
      <c r="T203" s="53" t="str">
        <f>IF(AND(ISNUMBER(L203),ISNUMBER(M203),ISNUMBER(J203),N(I203)&gt;0),IF(E203="卖方",J203-M203,M203-J203)*100*I203-IF(ISNUMBER(Q203),Q203,P203),"")</f>
        <v/>
      </c>
      <c r="U203" s="45" t="str">
        <f>IF(AND(ISNUMBER(T203),N(S203)&gt;0),T203/S203,"")</f>
        <v/>
      </c>
      <c r="V203" s="31" t="n"/>
    </row>
    <row r="204">
      <c r="A204" s="29" t="n"/>
      <c r="B204" s="30" t="n"/>
      <c r="C204" s="31" t="n"/>
      <c r="D204" s="32" t="n"/>
      <c r="E204" s="32" t="n"/>
      <c r="F204" s="54" t="n"/>
      <c r="G204" s="30" t="n"/>
      <c r="H204" s="42" t="str">
        <f>IF(AND(ISNUMBER(G204),ISNUMBER(B204)),G204-B204,"")</f>
        <v/>
      </c>
      <c r="I204" s="29" t="n"/>
      <c r="J204" s="54" t="n"/>
      <c r="K204" s="18" t="n"/>
      <c r="L204" s="30" t="n"/>
      <c r="M204" s="54" t="n"/>
      <c r="N204" s="18" t="n"/>
      <c r="O204" s="42" t="str">
        <f>IF(OR(ISNUMBER(L204),NOT(ISNUMBER(G204))),"",G204-$D$3)</f>
        <v/>
      </c>
      <c r="P204" s="20" t="str">
        <f>IF(N(I204)=0,"",I204*'参数'!$C$16*IF(ISNUMBER(L204),IF(N(M204)=0,1,2),1))</f>
        <v/>
      </c>
      <c r="Q204" s="23" t="n"/>
      <c r="R204" s="23" t="n"/>
      <c r="S204" s="20" t="str">
        <f>IF(ISNUMBER(R204),R204,IF(AND(E204="买方",ISNUMBER(J204),N(I204)&gt;0),J204*100*I204+I204*'参数'!$C$16,""))</f>
        <v/>
      </c>
      <c r="T204" s="53" t="str">
        <f>IF(AND(ISNUMBER(L204),ISNUMBER(M204),ISNUMBER(J204),N(I204)&gt;0),IF(E204="卖方",J204-M204,M204-J204)*100*I204-IF(ISNUMBER(Q204),Q204,P204),"")</f>
        <v/>
      </c>
      <c r="U204" s="45" t="str">
        <f>IF(AND(ISNUMBER(T204),N(S204)&gt;0),T204/S204,"")</f>
        <v/>
      </c>
      <c r="V204" s="31" t="n"/>
    </row>
    <row r="205">
      <c r="A205" s="29" t="n"/>
      <c r="B205" s="30" t="n"/>
      <c r="C205" s="31" t="n"/>
      <c r="D205" s="32" t="n"/>
      <c r="E205" s="32" t="n"/>
      <c r="F205" s="54" t="n"/>
      <c r="G205" s="30" t="n"/>
      <c r="H205" s="42" t="str">
        <f>IF(AND(ISNUMBER(G205),ISNUMBER(B205)),G205-B205,"")</f>
        <v/>
      </c>
      <c r="I205" s="29" t="n"/>
      <c r="J205" s="54" t="n"/>
      <c r="K205" s="18" t="n"/>
      <c r="L205" s="30" t="n"/>
      <c r="M205" s="54" t="n"/>
      <c r="N205" s="18" t="n"/>
      <c r="O205" s="42" t="str">
        <f>IF(OR(ISNUMBER(L205),NOT(ISNUMBER(G205))),"",G205-$D$3)</f>
        <v/>
      </c>
      <c r="P205" s="20" t="str">
        <f>IF(N(I205)=0,"",I205*'参数'!$C$16*IF(ISNUMBER(L205),IF(N(M205)=0,1,2),1))</f>
        <v/>
      </c>
      <c r="Q205" s="23" t="n"/>
      <c r="R205" s="23" t="n"/>
      <c r="S205" s="20" t="str">
        <f>IF(ISNUMBER(R205),R205,IF(AND(E205="买方",ISNUMBER(J205),N(I205)&gt;0),J205*100*I205+I205*'参数'!$C$16,""))</f>
        <v/>
      </c>
      <c r="T205" s="53" t="str">
        <f>IF(AND(ISNUMBER(L205),ISNUMBER(M205),ISNUMBER(J205),N(I205)&gt;0),IF(E205="卖方",J205-M205,M205-J205)*100*I205-IF(ISNUMBER(Q205),Q205,P205),"")</f>
        <v/>
      </c>
      <c r="U205" s="45" t="str">
        <f>IF(AND(ISNUMBER(T205),N(S205)&gt;0),T205/S205,"")</f>
        <v/>
      </c>
      <c r="V205" s="31" t="n"/>
    </row>
    <row r="206">
      <c r="A206" s="29" t="n"/>
      <c r="B206" s="30" t="n"/>
      <c r="C206" s="31" t="n"/>
      <c r="D206" s="32" t="n"/>
      <c r="E206" s="32" t="n"/>
      <c r="F206" s="54" t="n"/>
      <c r="G206" s="30" t="n"/>
      <c r="H206" s="42" t="str">
        <f>IF(AND(ISNUMBER(G206),ISNUMBER(B206)),G206-B206,"")</f>
        <v/>
      </c>
      <c r="I206" s="29" t="n"/>
      <c r="J206" s="54" t="n"/>
      <c r="K206" s="18" t="n"/>
      <c r="L206" s="30" t="n"/>
      <c r="M206" s="54" t="n"/>
      <c r="N206" s="18" t="n"/>
      <c r="O206" s="42" t="str">
        <f>IF(OR(ISNUMBER(L206),NOT(ISNUMBER(G206))),"",G206-$D$3)</f>
        <v/>
      </c>
      <c r="P206" s="20" t="str">
        <f>IF(N(I206)=0,"",I206*'参数'!$C$16*IF(ISNUMBER(L206),IF(N(M206)=0,1,2),1))</f>
        <v/>
      </c>
      <c r="Q206" s="23" t="n"/>
      <c r="R206" s="23" t="n"/>
      <c r="S206" s="20" t="str">
        <f>IF(ISNUMBER(R206),R206,IF(AND(E206="买方",ISNUMBER(J206),N(I206)&gt;0),J206*100*I206+I206*'参数'!$C$16,""))</f>
        <v/>
      </c>
      <c r="T206" s="53" t="str">
        <f>IF(AND(ISNUMBER(L206),ISNUMBER(M206),ISNUMBER(J206),N(I206)&gt;0),IF(E206="卖方",J206-M206,M206-J206)*100*I206-IF(ISNUMBER(Q206),Q206,P206),"")</f>
        <v/>
      </c>
      <c r="U206" s="45" t="str">
        <f>IF(AND(ISNUMBER(T206),N(S206)&gt;0),T206/S206,"")</f>
        <v/>
      </c>
      <c r="V206" s="31" t="n"/>
    </row>
  </sheetData>
  <mergeCells count="12">
    <mergeCell ref="A2:V2"/>
    <mergeCell ref="L5:O5"/>
    <mergeCell ref="J3:K3"/>
    <mergeCell ref="L3:M3"/>
    <mergeCell ref="N3:O3"/>
    <mergeCell ref="T1:V1"/>
    <mergeCell ref="P5:U5"/>
    <mergeCell ref="A1:S1"/>
    <mergeCell ref="A3:C3"/>
    <mergeCell ref="D3:E3"/>
    <mergeCell ref="A5:K5"/>
    <mergeCell ref="G3:H3"/>
  </mergeCells>
  <conditionalFormatting sqref="T7:U20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L3:P3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O7:O206">
    <cfRule type="expression" priority="5" dxfId="4">
      <formula>AND(ISNUMBER($O7),$O7&lt;=7)</formula>
    </cfRule>
  </conditionalFormatting>
  <conditionalFormatting sqref="R7:R206">
    <cfRule type="expression" priority="6" dxfId="3">
      <formula>AND($E7="卖方",NOT(ISNUMBER($R7)))</formula>
    </cfRule>
  </conditionalFormatting>
  <dataValidations count="3">
    <dataValidation sqref="D7:D206" showDropDown="0" showInputMessage="0" showErrorMessage="1" allowBlank="1" errorTitle="不在选项里" error="请从下拉里选；要加新选项，先去参数页的下拉选项里加。" type="list" errorStyle="stop">
      <formula1>"看涨,看跌"</formula1>
    </dataValidation>
    <dataValidation sqref="E7:E206" showDropDown="0" showInputMessage="1" showErrorMessage="1" allowBlank="1" errorTitle="不在选项里" error="请从下拉里选；要加新选项，先去参数页的下拉选项里加。" promptTitle="怎么填" prompt="买方：先付权利金，最多亏掉权利金。卖方：先收权利金，风险可能远大于收到的钱，必须写计划最多亏。" type="list" errorStyle="stop">
      <formula1>"买方,卖方"</formula1>
    </dataValidation>
    <dataValidation sqref="B7:B206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</worksheet>
</file>

<file path=xl/worksheets/sheet6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I12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8" customWidth="1" min="3" max="3"/>
    <col width="7" customWidth="1" min="4" max="4"/>
    <col width="6" customWidth="1" min="5" max="5"/>
    <col width="12" customWidth="1" min="6" max="6"/>
    <col width="16" customWidth="1" min="7" max="7"/>
    <col width="26" customWidth="1" min="8" max="8"/>
  </cols>
  <sheetData>
    <row r="1" ht="30" customHeight="1">
      <c r="A1" s="13" t="inlineStr">
        <is>
          <t>财报日历：持仓和观察名单</t>
        </is>
      </c>
      <c r="G1" s="14" t="inlineStr">
        <is>
          <t>TradeLearn · XtradingTime 交易内训</t>
        </is>
      </c>
    </row>
    <row r="2" ht="20" customHeight="1">
      <c r="A2" s="2" t="inlineStr">
        <is>
          <t>每周看一次：两周内要出财报的标黄。持仓过财报要先想好怎么处理：财报前减仓、按跳空情景重算股数，还是干脆不持有过财报。</t>
        </is>
      </c>
    </row>
    <row r="3">
      <c r="A3" s="50" t="inlineStr">
        <is>
          <t>今天（默认今天，可以改）</t>
        </is>
      </c>
      <c r="B3" s="50" t="n"/>
      <c r="C3" s="51">
        <f>TODAY()</f>
        <v>46308.0</v>
      </c>
      <c r="D3" s="51" t="n"/>
    </row>
    <row r="4" ht="6" customHeight="1"/>
    <row r="5" ht="18" customHeight="1">
      <c r="A5" s="28" t="inlineStr">
        <is>
          <t>财报</t>
        </is>
      </c>
      <c r="B5" s="28" t="n"/>
      <c r="C5" s="28" t="n"/>
      <c r="D5" s="28" t="n"/>
      <c r="E5" s="28" t="inlineStr">
        <is>
          <t>怎么处理</t>
        </is>
      </c>
      <c r="F5" s="28" t="n"/>
      <c r="G5" s="28" t="n"/>
      <c r="H5" s="28" t="n"/>
    </row>
    <row r="6" ht="41.8" customHeight="1">
      <c r="A6" s="26" t="inlineStr">
        <is>
          <t>股票</t>
        </is>
      </c>
      <c r="B6" s="26" t="inlineStr">
        <is>
          <t>财报日期</t>
        </is>
      </c>
      <c r="C6" s="26" t="inlineStr">
        <is>
          <t>盘前 / 盘后公布</t>
        </is>
      </c>
      <c r="D6" s="26" t="inlineStr">
        <is>
          <t>距今天（天）</t>
        </is>
      </c>
      <c r="E6" s="26" t="inlineStr">
        <is>
          <t>持仓吗</t>
        </is>
      </c>
      <c r="F6" s="26" t="inlineStr">
        <is>
          <t>怎么处理</t>
        </is>
      </c>
      <c r="G6" s="26" t="inlineStr">
        <is>
          <t>上几次财报后的跳空（自己查了填）</t>
        </is>
      </c>
      <c r="H6" s="26" t="inlineStr">
        <is>
          <t>备注</t>
        </is>
      </c>
    </row>
    <row r="7">
      <c r="A7" s="31" t="n"/>
      <c r="B7" s="30" t="n"/>
      <c r="C7" s="32" t="n"/>
      <c r="D7" s="42" t="str">
        <f>IF(ISNUMBER(B7),B7-$C$3,"")</f>
        <v/>
      </c>
      <c r="E7" s="32" t="n"/>
      <c r="F7" s="32" t="n"/>
      <c r="G7" s="31" t="n"/>
      <c r="H7" s="31" t="n"/>
    </row>
    <row r="8">
      <c r="A8" s="31" t="n"/>
      <c r="B8" s="30" t="n"/>
      <c r="C8" s="32" t="n"/>
      <c r="D8" s="42" t="str">
        <f>IF(ISNUMBER(B8),B8-$C$3,"")</f>
        <v/>
      </c>
      <c r="E8" s="32" t="n"/>
      <c r="F8" s="32" t="n"/>
      <c r="G8" s="31" t="n"/>
      <c r="H8" s="31" t="n"/>
    </row>
    <row r="9">
      <c r="A9" s="31" t="n"/>
      <c r="B9" s="30" t="n"/>
      <c r="C9" s="32" t="n"/>
      <c r="D9" s="42" t="str">
        <f>IF(ISNUMBER(B9),B9-$C$3,"")</f>
        <v/>
      </c>
      <c r="E9" s="32" t="n"/>
      <c r="F9" s="32" t="n"/>
      <c r="G9" s="31" t="n"/>
      <c r="H9" s="31" t="n"/>
    </row>
    <row r="10">
      <c r="A10" s="31" t="n"/>
      <c r="B10" s="30" t="n"/>
      <c r="C10" s="32" t="n"/>
      <c r="D10" s="42" t="str">
        <f>IF(ISNUMBER(B10),B10-$C$3,"")</f>
        <v/>
      </c>
      <c r="E10" s="32" t="n"/>
      <c r="F10" s="32" t="n"/>
      <c r="G10" s="31" t="n"/>
      <c r="H10" s="31" t="n"/>
    </row>
    <row r="11">
      <c r="A11" s="31" t="n"/>
      <c r="B11" s="30" t="n"/>
      <c r="C11" s="32" t="n"/>
      <c r="D11" s="42" t="str">
        <f>IF(ISNUMBER(B11),B11-$C$3,"")</f>
        <v/>
      </c>
      <c r="E11" s="32" t="n"/>
      <c r="F11" s="32" t="n"/>
      <c r="G11" s="31" t="n"/>
      <c r="H11" s="31" t="n"/>
    </row>
    <row r="12">
      <c r="A12" s="31" t="n"/>
      <c r="B12" s="30" t="n"/>
      <c r="C12" s="32" t="n"/>
      <c r="D12" s="42" t="str">
        <f>IF(ISNUMBER(B12),B12-$C$3,"")</f>
        <v/>
      </c>
      <c r="E12" s="32" t="n"/>
      <c r="F12" s="32" t="n"/>
      <c r="G12" s="31" t="n"/>
      <c r="H12" s="31" t="n"/>
    </row>
    <row r="13">
      <c r="A13" s="31" t="n"/>
      <c r="B13" s="30" t="n"/>
      <c r="C13" s="32" t="n"/>
      <c r="D13" s="42" t="str">
        <f>IF(ISNUMBER(B13),B13-$C$3,"")</f>
        <v/>
      </c>
      <c r="E13" s="32" t="n"/>
      <c r="F13" s="32" t="n"/>
      <c r="G13" s="31" t="n"/>
      <c r="H13" s="31" t="n"/>
    </row>
    <row r="14">
      <c r="A14" s="31" t="n"/>
      <c r="B14" s="30" t="n"/>
      <c r="C14" s="32" t="n"/>
      <c r="D14" s="42" t="str">
        <f>IF(ISNUMBER(B14),B14-$C$3,"")</f>
        <v/>
      </c>
      <c r="E14" s="32" t="n"/>
      <c r="F14" s="32" t="n"/>
      <c r="G14" s="31" t="n"/>
      <c r="H14" s="31" t="n"/>
    </row>
    <row r="15">
      <c r="A15" s="31" t="n"/>
      <c r="B15" s="30" t="n"/>
      <c r="C15" s="32" t="n"/>
      <c r="D15" s="42" t="str">
        <f>IF(ISNUMBER(B15),B15-$C$3,"")</f>
        <v/>
      </c>
      <c r="E15" s="32" t="n"/>
      <c r="F15" s="32" t="n"/>
      <c r="G15" s="31" t="n"/>
      <c r="H15" s="31" t="n"/>
    </row>
    <row r="16">
      <c r="A16" s="31" t="n"/>
      <c r="B16" s="30" t="n"/>
      <c r="C16" s="32" t="n"/>
      <c r="D16" s="42" t="str">
        <f>IF(ISNUMBER(B16),B16-$C$3,"")</f>
        <v/>
      </c>
      <c r="E16" s="32" t="n"/>
      <c r="F16" s="32" t="n"/>
      <c r="G16" s="31" t="n"/>
      <c r="H16" s="31" t="n"/>
    </row>
    <row r="17">
      <c r="A17" s="31" t="n"/>
      <c r="B17" s="30" t="n"/>
      <c r="C17" s="32" t="n"/>
      <c r="D17" s="42" t="str">
        <f>IF(ISNUMBER(B17),B17-$C$3,"")</f>
        <v/>
      </c>
      <c r="E17" s="32" t="n"/>
      <c r="F17" s="32" t="n"/>
      <c r="G17" s="31" t="n"/>
      <c r="H17" s="31" t="n"/>
    </row>
    <row r="18">
      <c r="A18" s="31" t="n"/>
      <c r="B18" s="30" t="n"/>
      <c r="C18" s="32" t="n"/>
      <c r="D18" s="42" t="str">
        <f>IF(ISNUMBER(B18),B18-$C$3,"")</f>
        <v/>
      </c>
      <c r="E18" s="32" t="n"/>
      <c r="F18" s="32" t="n"/>
      <c r="G18" s="31" t="n"/>
      <c r="H18" s="31" t="n"/>
    </row>
    <row r="19">
      <c r="A19" s="31" t="n"/>
      <c r="B19" s="30" t="n"/>
      <c r="C19" s="32" t="n"/>
      <c r="D19" s="42" t="str">
        <f>IF(ISNUMBER(B19),B19-$C$3,"")</f>
        <v/>
      </c>
      <c r="E19" s="32" t="n"/>
      <c r="F19" s="32" t="n"/>
      <c r="G19" s="31" t="n"/>
      <c r="H19" s="31" t="n"/>
    </row>
    <row r="20">
      <c r="A20" s="31" t="n"/>
      <c r="B20" s="30" t="n"/>
      <c r="C20" s="32" t="n"/>
      <c r="D20" s="42" t="str">
        <f>IF(ISNUMBER(B20),B20-$C$3,"")</f>
        <v/>
      </c>
      <c r="E20" s="32" t="n"/>
      <c r="F20" s="32" t="n"/>
      <c r="G20" s="31" t="n"/>
      <c r="H20" s="31" t="n"/>
    </row>
    <row r="21">
      <c r="A21" s="31" t="n"/>
      <c r="B21" s="30" t="n"/>
      <c r="C21" s="32" t="n"/>
      <c r="D21" s="42" t="str">
        <f>IF(ISNUMBER(B21),B21-$C$3,"")</f>
        <v/>
      </c>
      <c r="E21" s="32" t="n"/>
      <c r="F21" s="32" t="n"/>
      <c r="G21" s="31" t="n"/>
      <c r="H21" s="31" t="n"/>
    </row>
    <row r="22">
      <c r="A22" s="31" t="n"/>
      <c r="B22" s="30" t="n"/>
      <c r="C22" s="32" t="n"/>
      <c r="D22" s="42" t="str">
        <f>IF(ISNUMBER(B22),B22-$C$3,"")</f>
        <v/>
      </c>
      <c r="E22" s="32" t="n"/>
      <c r="F22" s="32" t="n"/>
      <c r="G22" s="31" t="n"/>
      <c r="H22" s="31" t="n"/>
    </row>
    <row r="23">
      <c r="A23" s="31" t="n"/>
      <c r="B23" s="30" t="n"/>
      <c r="C23" s="32" t="n"/>
      <c r="D23" s="42" t="str">
        <f>IF(ISNUMBER(B23),B23-$C$3,"")</f>
        <v/>
      </c>
      <c r="E23" s="32" t="n"/>
      <c r="F23" s="32" t="n"/>
      <c r="G23" s="31" t="n"/>
      <c r="H23" s="31" t="n"/>
    </row>
    <row r="24">
      <c r="A24" s="31" t="n"/>
      <c r="B24" s="30" t="n"/>
      <c r="C24" s="32" t="n"/>
      <c r="D24" s="42" t="str">
        <f>IF(ISNUMBER(B24),B24-$C$3,"")</f>
        <v/>
      </c>
      <c r="E24" s="32" t="n"/>
      <c r="F24" s="32" t="n"/>
      <c r="G24" s="31" t="n"/>
      <c r="H24" s="31" t="n"/>
    </row>
    <row r="25">
      <c r="A25" s="31" t="n"/>
      <c r="B25" s="30" t="n"/>
      <c r="C25" s="32" t="n"/>
      <c r="D25" s="42" t="str">
        <f>IF(ISNUMBER(B25),B25-$C$3,"")</f>
        <v/>
      </c>
      <c r="E25" s="32" t="n"/>
      <c r="F25" s="32" t="n"/>
      <c r="G25" s="31" t="n"/>
      <c r="H25" s="31" t="n"/>
    </row>
    <row r="26">
      <c r="A26" s="31" t="n"/>
      <c r="B26" s="30" t="n"/>
      <c r="C26" s="32" t="n"/>
      <c r="D26" s="42" t="str">
        <f>IF(ISNUMBER(B26),B26-$C$3,"")</f>
        <v/>
      </c>
      <c r="E26" s="32" t="n"/>
      <c r="F26" s="32" t="n"/>
      <c r="G26" s="31" t="n"/>
      <c r="H26" s="31" t="n"/>
    </row>
    <row r="27">
      <c r="A27" s="31" t="n"/>
      <c r="B27" s="30" t="n"/>
      <c r="C27" s="32" t="n"/>
      <c r="D27" s="42" t="str">
        <f>IF(ISNUMBER(B27),B27-$C$3,"")</f>
        <v/>
      </c>
      <c r="E27" s="32" t="n"/>
      <c r="F27" s="32" t="n"/>
      <c r="G27" s="31" t="n"/>
      <c r="H27" s="31" t="n"/>
    </row>
    <row r="28">
      <c r="A28" s="31" t="n"/>
      <c r="B28" s="30" t="n"/>
      <c r="C28" s="32" t="n"/>
      <c r="D28" s="42" t="str">
        <f>IF(ISNUMBER(B28),B28-$C$3,"")</f>
        <v/>
      </c>
      <c r="E28" s="32" t="n"/>
      <c r="F28" s="32" t="n"/>
      <c r="G28" s="31" t="n"/>
      <c r="H28" s="31" t="n"/>
    </row>
    <row r="29">
      <c r="A29" s="31" t="n"/>
      <c r="B29" s="30" t="n"/>
      <c r="C29" s="32" t="n"/>
      <c r="D29" s="42" t="str">
        <f>IF(ISNUMBER(B29),B29-$C$3,"")</f>
        <v/>
      </c>
      <c r="E29" s="32" t="n"/>
      <c r="F29" s="32" t="n"/>
      <c r="G29" s="31" t="n"/>
      <c r="H29" s="31" t="n"/>
    </row>
    <row r="30">
      <c r="A30" s="31" t="n"/>
      <c r="B30" s="30" t="n"/>
      <c r="C30" s="32" t="n"/>
      <c r="D30" s="42" t="str">
        <f>IF(ISNUMBER(B30),B30-$C$3,"")</f>
        <v/>
      </c>
      <c r="E30" s="32" t="n"/>
      <c r="F30" s="32" t="n"/>
      <c r="G30" s="31" t="n"/>
      <c r="H30" s="31" t="n"/>
    </row>
    <row r="31">
      <c r="A31" s="31" t="n"/>
      <c r="B31" s="30" t="n"/>
      <c r="C31" s="32" t="n"/>
      <c r="D31" s="42" t="str">
        <f>IF(ISNUMBER(B31),B31-$C$3,"")</f>
        <v/>
      </c>
      <c r="E31" s="32" t="n"/>
      <c r="F31" s="32" t="n"/>
      <c r="G31" s="31" t="n"/>
      <c r="H31" s="31" t="n"/>
    </row>
    <row r="32">
      <c r="A32" s="31" t="n"/>
      <c r="B32" s="30" t="n"/>
      <c r="C32" s="32" t="n"/>
      <c r="D32" s="42" t="str">
        <f>IF(ISNUMBER(B32),B32-$C$3,"")</f>
        <v/>
      </c>
      <c r="E32" s="32" t="n"/>
      <c r="F32" s="32" t="n"/>
      <c r="G32" s="31" t="n"/>
      <c r="H32" s="31" t="n"/>
    </row>
    <row r="33">
      <c r="A33" s="31" t="n"/>
      <c r="B33" s="30" t="n"/>
      <c r="C33" s="32" t="n"/>
      <c r="D33" s="42" t="str">
        <f>IF(ISNUMBER(B33),B33-$C$3,"")</f>
        <v/>
      </c>
      <c r="E33" s="32" t="n"/>
      <c r="F33" s="32" t="n"/>
      <c r="G33" s="31" t="n"/>
      <c r="H33" s="31" t="n"/>
    </row>
    <row r="34">
      <c r="A34" s="31" t="n"/>
      <c r="B34" s="30" t="n"/>
      <c r="C34" s="32" t="n"/>
      <c r="D34" s="42" t="str">
        <f>IF(ISNUMBER(B34),B34-$C$3,"")</f>
        <v/>
      </c>
      <c r="E34" s="32" t="n"/>
      <c r="F34" s="32" t="n"/>
      <c r="G34" s="31" t="n"/>
      <c r="H34" s="31" t="n"/>
    </row>
    <row r="35">
      <c r="A35" s="31" t="n"/>
      <c r="B35" s="30" t="n"/>
      <c r="C35" s="32" t="n"/>
      <c r="D35" s="42" t="str">
        <f>IF(ISNUMBER(B35),B35-$C$3,"")</f>
        <v/>
      </c>
      <c r="E35" s="32" t="n"/>
      <c r="F35" s="32" t="n"/>
      <c r="G35" s="31" t="n"/>
      <c r="H35" s="31" t="n"/>
    </row>
    <row r="36">
      <c r="A36" s="31" t="n"/>
      <c r="B36" s="30" t="n"/>
      <c r="C36" s="32" t="n"/>
      <c r="D36" s="42" t="str">
        <f>IF(ISNUMBER(B36),B36-$C$3,"")</f>
        <v/>
      </c>
      <c r="E36" s="32" t="n"/>
      <c r="F36" s="32" t="n"/>
      <c r="G36" s="31" t="n"/>
      <c r="H36" s="31" t="n"/>
    </row>
    <row r="37">
      <c r="A37" s="31" t="n"/>
      <c r="B37" s="30" t="n"/>
      <c r="C37" s="32" t="n"/>
      <c r="D37" s="42" t="str">
        <f>IF(ISNUMBER(B37),B37-$C$3,"")</f>
        <v/>
      </c>
      <c r="E37" s="32" t="n"/>
      <c r="F37" s="32" t="n"/>
      <c r="G37" s="31" t="n"/>
      <c r="H37" s="31" t="n"/>
    </row>
    <row r="38">
      <c r="A38" s="31" t="n"/>
      <c r="B38" s="30" t="n"/>
      <c r="C38" s="32" t="n"/>
      <c r="D38" s="42" t="str">
        <f>IF(ISNUMBER(B38),B38-$C$3,"")</f>
        <v/>
      </c>
      <c r="E38" s="32" t="n"/>
      <c r="F38" s="32" t="n"/>
      <c r="G38" s="31" t="n"/>
      <c r="H38" s="31" t="n"/>
    </row>
    <row r="39">
      <c r="A39" s="31" t="n"/>
      <c r="B39" s="30" t="n"/>
      <c r="C39" s="32" t="n"/>
      <c r="D39" s="42" t="str">
        <f>IF(ISNUMBER(B39),B39-$C$3,"")</f>
        <v/>
      </c>
      <c r="E39" s="32" t="n"/>
      <c r="F39" s="32" t="n"/>
      <c r="G39" s="31" t="n"/>
      <c r="H39" s="31" t="n"/>
    </row>
    <row r="40">
      <c r="A40" s="31" t="n"/>
      <c r="B40" s="30" t="n"/>
      <c r="C40" s="32" t="n"/>
      <c r="D40" s="42" t="str">
        <f>IF(ISNUMBER(B40),B40-$C$3,"")</f>
        <v/>
      </c>
      <c r="E40" s="32" t="n"/>
      <c r="F40" s="32" t="n"/>
      <c r="G40" s="31" t="n"/>
      <c r="H40" s="31" t="n"/>
    </row>
    <row r="41">
      <c r="A41" s="31" t="n"/>
      <c r="B41" s="30" t="n"/>
      <c r="C41" s="32" t="n"/>
      <c r="D41" s="42" t="str">
        <f>IF(ISNUMBER(B41),B41-$C$3,"")</f>
        <v/>
      </c>
      <c r="E41" s="32" t="n"/>
      <c r="F41" s="32" t="n"/>
      <c r="G41" s="31" t="n"/>
      <c r="H41" s="31" t="n"/>
    </row>
    <row r="42">
      <c r="A42" s="31" t="n"/>
      <c r="B42" s="30" t="n"/>
      <c r="C42" s="32" t="n"/>
      <c r="D42" s="42" t="str">
        <f>IF(ISNUMBER(B42),B42-$C$3,"")</f>
        <v/>
      </c>
      <c r="E42" s="32" t="n"/>
      <c r="F42" s="32" t="n"/>
      <c r="G42" s="31" t="n"/>
      <c r="H42" s="31" t="n"/>
    </row>
    <row r="43">
      <c r="A43" s="31" t="n"/>
      <c r="B43" s="30" t="n"/>
      <c r="C43" s="32" t="n"/>
      <c r="D43" s="42" t="str">
        <f>IF(ISNUMBER(B43),B43-$C$3,"")</f>
        <v/>
      </c>
      <c r="E43" s="32" t="n"/>
      <c r="F43" s="32" t="n"/>
      <c r="G43" s="31" t="n"/>
      <c r="H43" s="31" t="n"/>
    </row>
    <row r="44">
      <c r="A44" s="31" t="n"/>
      <c r="B44" s="30" t="n"/>
      <c r="C44" s="32" t="n"/>
      <c r="D44" s="42" t="str">
        <f>IF(ISNUMBER(B44),B44-$C$3,"")</f>
        <v/>
      </c>
      <c r="E44" s="32" t="n"/>
      <c r="F44" s="32" t="n"/>
      <c r="G44" s="31" t="n"/>
      <c r="H44" s="31" t="n"/>
    </row>
    <row r="45">
      <c r="A45" s="31" t="n"/>
      <c r="B45" s="30" t="n"/>
      <c r="C45" s="32" t="n"/>
      <c r="D45" s="42" t="str">
        <f>IF(ISNUMBER(B45),B45-$C$3,"")</f>
        <v/>
      </c>
      <c r="E45" s="32" t="n"/>
      <c r="F45" s="32" t="n"/>
      <c r="G45" s="31" t="n"/>
      <c r="H45" s="31" t="n"/>
    </row>
    <row r="46">
      <c r="A46" s="31" t="n"/>
      <c r="B46" s="30" t="n"/>
      <c r="C46" s="32" t="n"/>
      <c r="D46" s="42" t="str">
        <f>IF(ISNUMBER(B46),B46-$C$3,"")</f>
        <v/>
      </c>
      <c r="E46" s="32" t="n"/>
      <c r="F46" s="32" t="n"/>
      <c r="G46" s="31" t="n"/>
      <c r="H46" s="31" t="n"/>
    </row>
    <row r="47">
      <c r="A47" s="31" t="n"/>
      <c r="B47" s="30" t="n"/>
      <c r="C47" s="32" t="n"/>
      <c r="D47" s="42" t="str">
        <f>IF(ISNUMBER(B47),B47-$C$3,"")</f>
        <v/>
      </c>
      <c r="E47" s="32" t="n"/>
      <c r="F47" s="32" t="n"/>
      <c r="G47" s="31" t="n"/>
      <c r="H47" s="31" t="n"/>
    </row>
    <row r="48">
      <c r="A48" s="31" t="n"/>
      <c r="B48" s="30" t="n"/>
      <c r="C48" s="32" t="n"/>
      <c r="D48" s="42" t="str">
        <f>IF(ISNUMBER(B48),B48-$C$3,"")</f>
        <v/>
      </c>
      <c r="E48" s="32" t="n"/>
      <c r="F48" s="32" t="n"/>
      <c r="G48" s="31" t="n"/>
      <c r="H48" s="31" t="n"/>
    </row>
    <row r="49">
      <c r="A49" s="31" t="n"/>
      <c r="B49" s="30" t="n"/>
      <c r="C49" s="32" t="n"/>
      <c r="D49" s="42" t="str">
        <f>IF(ISNUMBER(B49),B49-$C$3,"")</f>
        <v/>
      </c>
      <c r="E49" s="32" t="n"/>
      <c r="F49" s="32" t="n"/>
      <c r="G49" s="31" t="n"/>
      <c r="H49" s="31" t="n"/>
    </row>
    <row r="50">
      <c r="A50" s="31" t="n"/>
      <c r="B50" s="30" t="n"/>
      <c r="C50" s="32" t="n"/>
      <c r="D50" s="42" t="str">
        <f>IF(ISNUMBER(B50),B50-$C$3,"")</f>
        <v/>
      </c>
      <c r="E50" s="32" t="n"/>
      <c r="F50" s="32" t="n"/>
      <c r="G50" s="31" t="n"/>
      <c r="H50" s="31" t="n"/>
    </row>
    <row r="51">
      <c r="A51" s="31" t="n"/>
      <c r="B51" s="30" t="n"/>
      <c r="C51" s="32" t="n"/>
      <c r="D51" s="42" t="str">
        <f>IF(ISNUMBER(B51),B51-$C$3,"")</f>
        <v/>
      </c>
      <c r="E51" s="32" t="n"/>
      <c r="F51" s="32" t="n"/>
      <c r="G51" s="31" t="n"/>
      <c r="H51" s="31" t="n"/>
    </row>
    <row r="52">
      <c r="A52" s="31" t="n"/>
      <c r="B52" s="30" t="n"/>
      <c r="C52" s="32" t="n"/>
      <c r="D52" s="42" t="str">
        <f>IF(ISNUMBER(B52),B52-$C$3,"")</f>
        <v/>
      </c>
      <c r="E52" s="32" t="n"/>
      <c r="F52" s="32" t="n"/>
      <c r="G52" s="31" t="n"/>
      <c r="H52" s="31" t="n"/>
    </row>
    <row r="53">
      <c r="A53" s="31" t="n"/>
      <c r="B53" s="30" t="n"/>
      <c r="C53" s="32" t="n"/>
      <c r="D53" s="42" t="str">
        <f>IF(ISNUMBER(B53),B53-$C$3,"")</f>
        <v/>
      </c>
      <c r="E53" s="32" t="n"/>
      <c r="F53" s="32" t="n"/>
      <c r="G53" s="31" t="n"/>
      <c r="H53" s="31" t="n"/>
    </row>
    <row r="54">
      <c r="A54" s="31" t="n"/>
      <c r="B54" s="30" t="n"/>
      <c r="C54" s="32" t="n"/>
      <c r="D54" s="42" t="str">
        <f>IF(ISNUMBER(B54),B54-$C$3,"")</f>
        <v/>
      </c>
      <c r="E54" s="32" t="n"/>
      <c r="F54" s="32" t="n"/>
      <c r="G54" s="31" t="n"/>
      <c r="H54" s="31" t="n"/>
    </row>
    <row r="55">
      <c r="A55" s="31" t="n"/>
      <c r="B55" s="30" t="n"/>
      <c r="C55" s="32" t="n"/>
      <c r="D55" s="42" t="str">
        <f>IF(ISNUMBER(B55),B55-$C$3,"")</f>
        <v/>
      </c>
      <c r="E55" s="32" t="n"/>
      <c r="F55" s="32" t="n"/>
      <c r="G55" s="31" t="n"/>
      <c r="H55" s="31" t="n"/>
    </row>
    <row r="56">
      <c r="A56" s="31" t="n"/>
      <c r="B56" s="30" t="n"/>
      <c r="C56" s="32" t="n"/>
      <c r="D56" s="42" t="str">
        <f>IF(ISNUMBER(B56),B56-$C$3,"")</f>
        <v/>
      </c>
      <c r="E56" s="32" t="n"/>
      <c r="F56" s="32" t="n"/>
      <c r="G56" s="31" t="n"/>
      <c r="H56" s="31" t="n"/>
    </row>
    <row r="57">
      <c r="A57" s="31" t="n"/>
      <c r="B57" s="30" t="n"/>
      <c r="C57" s="32" t="n"/>
      <c r="D57" s="42" t="str">
        <f>IF(ISNUMBER(B57),B57-$C$3,"")</f>
        <v/>
      </c>
      <c r="E57" s="32" t="n"/>
      <c r="F57" s="32" t="n"/>
      <c r="G57" s="31" t="n"/>
      <c r="H57" s="31" t="n"/>
    </row>
    <row r="58">
      <c r="A58" s="31" t="n"/>
      <c r="B58" s="30" t="n"/>
      <c r="C58" s="32" t="n"/>
      <c r="D58" s="42" t="str">
        <f>IF(ISNUMBER(B58),B58-$C$3,"")</f>
        <v/>
      </c>
      <c r="E58" s="32" t="n"/>
      <c r="F58" s="32" t="n"/>
      <c r="G58" s="31" t="n"/>
      <c r="H58" s="31" t="n"/>
    </row>
    <row r="59">
      <c r="A59" s="31" t="n"/>
      <c r="B59" s="30" t="n"/>
      <c r="C59" s="32" t="n"/>
      <c r="D59" s="42" t="str">
        <f>IF(ISNUMBER(B59),B59-$C$3,"")</f>
        <v/>
      </c>
      <c r="E59" s="32" t="n"/>
      <c r="F59" s="32" t="n"/>
      <c r="G59" s="31" t="n"/>
      <c r="H59" s="31" t="n"/>
    </row>
    <row r="60">
      <c r="A60" s="31" t="n"/>
      <c r="B60" s="30" t="n"/>
      <c r="C60" s="32" t="n"/>
      <c r="D60" s="42" t="str">
        <f>IF(ISNUMBER(B60),B60-$C$3,"")</f>
        <v/>
      </c>
      <c r="E60" s="32" t="n"/>
      <c r="F60" s="32" t="n"/>
      <c r="G60" s="31" t="n"/>
      <c r="H60" s="31" t="n"/>
    </row>
    <row r="61">
      <c r="A61" s="31" t="n"/>
      <c r="B61" s="30" t="n"/>
      <c r="C61" s="32" t="n"/>
      <c r="D61" s="42" t="str">
        <f>IF(ISNUMBER(B61),B61-$C$3,"")</f>
        <v/>
      </c>
      <c r="E61" s="32" t="n"/>
      <c r="F61" s="32" t="n"/>
      <c r="G61" s="31" t="n"/>
      <c r="H61" s="31" t="n"/>
    </row>
    <row r="62">
      <c r="A62" s="31" t="n"/>
      <c r="B62" s="30" t="n"/>
      <c r="C62" s="32" t="n"/>
      <c r="D62" s="42" t="str">
        <f>IF(ISNUMBER(B62),B62-$C$3,"")</f>
        <v/>
      </c>
      <c r="E62" s="32" t="n"/>
      <c r="F62" s="32" t="n"/>
      <c r="G62" s="31" t="n"/>
      <c r="H62" s="31" t="n"/>
    </row>
    <row r="63">
      <c r="A63" s="31" t="n"/>
      <c r="B63" s="30" t="n"/>
      <c r="C63" s="32" t="n"/>
      <c r="D63" s="42" t="str">
        <f>IF(ISNUMBER(B63),B63-$C$3,"")</f>
        <v/>
      </c>
      <c r="E63" s="32" t="n"/>
      <c r="F63" s="32" t="n"/>
      <c r="G63" s="31" t="n"/>
      <c r="H63" s="31" t="n"/>
    </row>
    <row r="64">
      <c r="A64" s="31" t="n"/>
      <c r="B64" s="30" t="n"/>
      <c r="C64" s="32" t="n"/>
      <c r="D64" s="42" t="str">
        <f>IF(ISNUMBER(B64),B64-$C$3,"")</f>
        <v/>
      </c>
      <c r="E64" s="32" t="n"/>
      <c r="F64" s="32" t="n"/>
      <c r="G64" s="31" t="n"/>
      <c r="H64" s="31" t="n"/>
    </row>
    <row r="65">
      <c r="A65" s="31" t="n"/>
      <c r="B65" s="30" t="n"/>
      <c r="C65" s="32" t="n"/>
      <c r="D65" s="42" t="str">
        <f>IF(ISNUMBER(B65),B65-$C$3,"")</f>
        <v/>
      </c>
      <c r="E65" s="32" t="n"/>
      <c r="F65" s="32" t="n"/>
      <c r="G65" s="31" t="n"/>
      <c r="H65" s="31" t="n"/>
    </row>
    <row r="66">
      <c r="A66" s="31" t="n"/>
      <c r="B66" s="30" t="n"/>
      <c r="C66" s="32" t="n"/>
      <c r="D66" s="42" t="str">
        <f>IF(ISNUMBER(B66),B66-$C$3,"")</f>
        <v/>
      </c>
      <c r="E66" s="32" t="n"/>
      <c r="F66" s="32" t="n"/>
      <c r="G66" s="31" t="n"/>
      <c r="H66" s="31" t="n"/>
    </row>
    <row r="67">
      <c r="A67" s="31" t="n"/>
      <c r="B67" s="30" t="n"/>
      <c r="C67" s="32" t="n"/>
      <c r="D67" s="42" t="str">
        <f>IF(ISNUMBER(B67),B67-$C$3,"")</f>
        <v/>
      </c>
      <c r="E67" s="32" t="n"/>
      <c r="F67" s="32" t="n"/>
      <c r="G67" s="31" t="n"/>
      <c r="H67" s="31" t="n"/>
    </row>
    <row r="68">
      <c r="A68" s="31" t="n"/>
      <c r="B68" s="30" t="n"/>
      <c r="C68" s="32" t="n"/>
      <c r="D68" s="42" t="str">
        <f>IF(ISNUMBER(B68),B68-$C$3,"")</f>
        <v/>
      </c>
      <c r="E68" s="32" t="n"/>
      <c r="F68" s="32" t="n"/>
      <c r="G68" s="31" t="n"/>
      <c r="H68" s="31" t="n"/>
    </row>
    <row r="69">
      <c r="A69" s="31" t="n"/>
      <c r="B69" s="30" t="n"/>
      <c r="C69" s="32" t="n"/>
      <c r="D69" s="42" t="str">
        <f>IF(ISNUMBER(B69),B69-$C$3,"")</f>
        <v/>
      </c>
      <c r="E69" s="32" t="n"/>
      <c r="F69" s="32" t="n"/>
      <c r="G69" s="31" t="n"/>
      <c r="H69" s="31" t="n"/>
    </row>
    <row r="70">
      <c r="A70" s="31" t="n"/>
      <c r="B70" s="30" t="n"/>
      <c r="C70" s="32" t="n"/>
      <c r="D70" s="42" t="str">
        <f>IF(ISNUMBER(B70),B70-$C$3,"")</f>
        <v/>
      </c>
      <c r="E70" s="32" t="n"/>
      <c r="F70" s="32" t="n"/>
      <c r="G70" s="31" t="n"/>
      <c r="H70" s="31" t="n"/>
    </row>
    <row r="71">
      <c r="A71" s="31" t="n"/>
      <c r="B71" s="30" t="n"/>
      <c r="C71" s="32" t="n"/>
      <c r="D71" s="42" t="str">
        <f>IF(ISNUMBER(B71),B71-$C$3,"")</f>
        <v/>
      </c>
      <c r="E71" s="32" t="n"/>
      <c r="F71" s="32" t="n"/>
      <c r="G71" s="31" t="n"/>
      <c r="H71" s="31" t="n"/>
    </row>
    <row r="72">
      <c r="A72" s="31" t="n"/>
      <c r="B72" s="30" t="n"/>
      <c r="C72" s="32" t="n"/>
      <c r="D72" s="42" t="str">
        <f>IF(ISNUMBER(B72),B72-$C$3,"")</f>
        <v/>
      </c>
      <c r="E72" s="32" t="n"/>
      <c r="F72" s="32" t="n"/>
      <c r="G72" s="31" t="n"/>
      <c r="H72" s="31" t="n"/>
    </row>
    <row r="73">
      <c r="A73" s="31" t="n"/>
      <c r="B73" s="30" t="n"/>
      <c r="C73" s="32" t="n"/>
      <c r="D73" s="42" t="str">
        <f>IF(ISNUMBER(B73),B73-$C$3,"")</f>
        <v/>
      </c>
      <c r="E73" s="32" t="n"/>
      <c r="F73" s="32" t="n"/>
      <c r="G73" s="31" t="n"/>
      <c r="H73" s="31" t="n"/>
    </row>
    <row r="74">
      <c r="A74" s="31" t="n"/>
      <c r="B74" s="30" t="n"/>
      <c r="C74" s="32" t="n"/>
      <c r="D74" s="42" t="str">
        <f>IF(ISNUMBER(B74),B74-$C$3,"")</f>
        <v/>
      </c>
      <c r="E74" s="32" t="n"/>
      <c r="F74" s="32" t="n"/>
      <c r="G74" s="31" t="n"/>
      <c r="H74" s="31" t="n"/>
    </row>
    <row r="75">
      <c r="A75" s="31" t="n"/>
      <c r="B75" s="30" t="n"/>
      <c r="C75" s="32" t="n"/>
      <c r="D75" s="42" t="str">
        <f>IF(ISNUMBER(B75),B75-$C$3,"")</f>
        <v/>
      </c>
      <c r="E75" s="32" t="n"/>
      <c r="F75" s="32" t="n"/>
      <c r="G75" s="31" t="n"/>
      <c r="H75" s="31" t="n"/>
    </row>
    <row r="76">
      <c r="A76" s="31" t="n"/>
      <c r="B76" s="30" t="n"/>
      <c r="C76" s="32" t="n"/>
      <c r="D76" s="42" t="str">
        <f>IF(ISNUMBER(B76),B76-$C$3,"")</f>
        <v/>
      </c>
      <c r="E76" s="32" t="n"/>
      <c r="F76" s="32" t="n"/>
      <c r="G76" s="31" t="n"/>
      <c r="H76" s="31" t="n"/>
    </row>
    <row r="77">
      <c r="A77" s="31" t="n"/>
      <c r="B77" s="30" t="n"/>
      <c r="C77" s="32" t="n"/>
      <c r="D77" s="42" t="str">
        <f>IF(ISNUMBER(B77),B77-$C$3,"")</f>
        <v/>
      </c>
      <c r="E77" s="32" t="n"/>
      <c r="F77" s="32" t="n"/>
      <c r="G77" s="31" t="n"/>
      <c r="H77" s="31" t="n"/>
    </row>
    <row r="78">
      <c r="A78" s="31" t="n"/>
      <c r="B78" s="30" t="n"/>
      <c r="C78" s="32" t="n"/>
      <c r="D78" s="42" t="str">
        <f>IF(ISNUMBER(B78),B78-$C$3,"")</f>
        <v/>
      </c>
      <c r="E78" s="32" t="n"/>
      <c r="F78" s="32" t="n"/>
      <c r="G78" s="31" t="n"/>
      <c r="H78" s="31" t="n"/>
    </row>
    <row r="79">
      <c r="A79" s="31" t="n"/>
      <c r="B79" s="30" t="n"/>
      <c r="C79" s="32" t="n"/>
      <c r="D79" s="42" t="str">
        <f>IF(ISNUMBER(B79),B79-$C$3,"")</f>
        <v/>
      </c>
      <c r="E79" s="32" t="n"/>
      <c r="F79" s="32" t="n"/>
      <c r="G79" s="31" t="n"/>
      <c r="H79" s="31" t="n"/>
    </row>
    <row r="80">
      <c r="A80" s="31" t="n"/>
      <c r="B80" s="30" t="n"/>
      <c r="C80" s="32" t="n"/>
      <c r="D80" s="42" t="str">
        <f>IF(ISNUMBER(B80),B80-$C$3,"")</f>
        <v/>
      </c>
      <c r="E80" s="32" t="n"/>
      <c r="F80" s="32" t="n"/>
      <c r="G80" s="31" t="n"/>
      <c r="H80" s="31" t="n"/>
    </row>
    <row r="81">
      <c r="A81" s="31" t="n"/>
      <c r="B81" s="30" t="n"/>
      <c r="C81" s="32" t="n"/>
      <c r="D81" s="42" t="str">
        <f>IF(ISNUMBER(B81),B81-$C$3,"")</f>
        <v/>
      </c>
      <c r="E81" s="32" t="n"/>
      <c r="F81" s="32" t="n"/>
      <c r="G81" s="31" t="n"/>
      <c r="H81" s="31" t="n"/>
    </row>
    <row r="82">
      <c r="A82" s="31" t="n"/>
      <c r="B82" s="30" t="n"/>
      <c r="C82" s="32" t="n"/>
      <c r="D82" s="42" t="str">
        <f>IF(ISNUMBER(B82),B82-$C$3,"")</f>
        <v/>
      </c>
      <c r="E82" s="32" t="n"/>
      <c r="F82" s="32" t="n"/>
      <c r="G82" s="31" t="n"/>
      <c r="H82" s="31" t="n"/>
    </row>
    <row r="83">
      <c r="A83" s="31" t="n"/>
      <c r="B83" s="30" t="n"/>
      <c r="C83" s="32" t="n"/>
      <c r="D83" s="42" t="str">
        <f>IF(ISNUMBER(B83),B83-$C$3,"")</f>
        <v/>
      </c>
      <c r="E83" s="32" t="n"/>
      <c r="F83" s="32" t="n"/>
      <c r="G83" s="31" t="n"/>
      <c r="H83" s="31" t="n"/>
    </row>
    <row r="84">
      <c r="A84" s="31" t="n"/>
      <c r="B84" s="30" t="n"/>
      <c r="C84" s="32" t="n"/>
      <c r="D84" s="42" t="str">
        <f>IF(ISNUMBER(B84),B84-$C$3,"")</f>
        <v/>
      </c>
      <c r="E84" s="32" t="n"/>
      <c r="F84" s="32" t="n"/>
      <c r="G84" s="31" t="n"/>
      <c r="H84" s="31" t="n"/>
    </row>
    <row r="85">
      <c r="A85" s="31" t="n"/>
      <c r="B85" s="30" t="n"/>
      <c r="C85" s="32" t="n"/>
      <c r="D85" s="42" t="str">
        <f>IF(ISNUMBER(B85),B85-$C$3,"")</f>
        <v/>
      </c>
      <c r="E85" s="32" t="n"/>
      <c r="F85" s="32" t="n"/>
      <c r="G85" s="31" t="n"/>
      <c r="H85" s="31" t="n"/>
    </row>
    <row r="86">
      <c r="A86" s="31" t="n"/>
      <c r="B86" s="30" t="n"/>
      <c r="C86" s="32" t="n"/>
      <c r="D86" s="42" t="str">
        <f>IF(ISNUMBER(B86),B86-$C$3,"")</f>
        <v/>
      </c>
      <c r="E86" s="32" t="n"/>
      <c r="F86" s="32" t="n"/>
      <c r="G86" s="31" t="n"/>
      <c r="H86" s="31" t="n"/>
    </row>
    <row r="87">
      <c r="A87" s="31" t="n"/>
      <c r="B87" s="30" t="n"/>
      <c r="C87" s="32" t="n"/>
      <c r="D87" s="42" t="str">
        <f>IF(ISNUMBER(B87),B87-$C$3,"")</f>
        <v/>
      </c>
      <c r="E87" s="32" t="n"/>
      <c r="F87" s="32" t="n"/>
      <c r="G87" s="31" t="n"/>
      <c r="H87" s="31" t="n"/>
    </row>
    <row r="88">
      <c r="A88" s="31" t="n"/>
      <c r="B88" s="30" t="n"/>
      <c r="C88" s="32" t="n"/>
      <c r="D88" s="42" t="str">
        <f>IF(ISNUMBER(B88),B88-$C$3,"")</f>
        <v/>
      </c>
      <c r="E88" s="32" t="n"/>
      <c r="F88" s="32" t="n"/>
      <c r="G88" s="31" t="n"/>
      <c r="H88" s="31" t="n"/>
    </row>
    <row r="89">
      <c r="A89" s="31" t="n"/>
      <c r="B89" s="30" t="n"/>
      <c r="C89" s="32" t="n"/>
      <c r="D89" s="42" t="str">
        <f>IF(ISNUMBER(B89),B89-$C$3,"")</f>
        <v/>
      </c>
      <c r="E89" s="32" t="n"/>
      <c r="F89" s="32" t="n"/>
      <c r="G89" s="31" t="n"/>
      <c r="H89" s="31" t="n"/>
    </row>
    <row r="90">
      <c r="A90" s="31" t="n"/>
      <c r="B90" s="30" t="n"/>
      <c r="C90" s="32" t="n"/>
      <c r="D90" s="42" t="str">
        <f>IF(ISNUMBER(B90),B90-$C$3,"")</f>
        <v/>
      </c>
      <c r="E90" s="32" t="n"/>
      <c r="F90" s="32" t="n"/>
      <c r="G90" s="31" t="n"/>
      <c r="H90" s="31" t="n"/>
    </row>
    <row r="91">
      <c r="A91" s="31" t="n"/>
      <c r="B91" s="30" t="n"/>
      <c r="C91" s="32" t="n"/>
      <c r="D91" s="42" t="str">
        <f>IF(ISNUMBER(B91),B91-$C$3,"")</f>
        <v/>
      </c>
      <c r="E91" s="32" t="n"/>
      <c r="F91" s="32" t="n"/>
      <c r="G91" s="31" t="n"/>
      <c r="H91" s="31" t="n"/>
    </row>
    <row r="92">
      <c r="A92" s="31" t="n"/>
      <c r="B92" s="30" t="n"/>
      <c r="C92" s="32" t="n"/>
      <c r="D92" s="42" t="str">
        <f>IF(ISNUMBER(B92),B92-$C$3,"")</f>
        <v/>
      </c>
      <c r="E92" s="32" t="n"/>
      <c r="F92" s="32" t="n"/>
      <c r="G92" s="31" t="n"/>
      <c r="H92" s="31" t="n"/>
    </row>
    <row r="93">
      <c r="A93" s="31" t="n"/>
      <c r="B93" s="30" t="n"/>
      <c r="C93" s="32" t="n"/>
      <c r="D93" s="42" t="str">
        <f>IF(ISNUMBER(B93),B93-$C$3,"")</f>
        <v/>
      </c>
      <c r="E93" s="32" t="n"/>
      <c r="F93" s="32" t="n"/>
      <c r="G93" s="31" t="n"/>
      <c r="H93" s="31" t="n"/>
    </row>
    <row r="94">
      <c r="A94" s="31" t="n"/>
      <c r="B94" s="30" t="n"/>
      <c r="C94" s="32" t="n"/>
      <c r="D94" s="42" t="str">
        <f>IF(ISNUMBER(B94),B94-$C$3,"")</f>
        <v/>
      </c>
      <c r="E94" s="32" t="n"/>
      <c r="F94" s="32" t="n"/>
      <c r="G94" s="31" t="n"/>
      <c r="H94" s="31" t="n"/>
    </row>
    <row r="95">
      <c r="A95" s="31" t="n"/>
      <c r="B95" s="30" t="n"/>
      <c r="C95" s="32" t="n"/>
      <c r="D95" s="42" t="str">
        <f>IF(ISNUMBER(B95),B95-$C$3,"")</f>
        <v/>
      </c>
      <c r="E95" s="32" t="n"/>
      <c r="F95" s="32" t="n"/>
      <c r="G95" s="31" t="n"/>
      <c r="H95" s="31" t="n"/>
    </row>
    <row r="96">
      <c r="A96" s="31" t="n"/>
      <c r="B96" s="30" t="n"/>
      <c r="C96" s="32" t="n"/>
      <c r="D96" s="42" t="str">
        <f>IF(ISNUMBER(B96),B96-$C$3,"")</f>
        <v/>
      </c>
      <c r="E96" s="32" t="n"/>
      <c r="F96" s="32" t="n"/>
      <c r="G96" s="31" t="n"/>
      <c r="H96" s="31" t="n"/>
    </row>
    <row r="97">
      <c r="A97" s="31" t="n"/>
      <c r="B97" s="30" t="n"/>
      <c r="C97" s="32" t="n"/>
      <c r="D97" s="42" t="str">
        <f>IF(ISNUMBER(B97),B97-$C$3,"")</f>
        <v/>
      </c>
      <c r="E97" s="32" t="n"/>
      <c r="F97" s="32" t="n"/>
      <c r="G97" s="31" t="n"/>
      <c r="H97" s="31" t="n"/>
    </row>
    <row r="98">
      <c r="A98" s="31" t="n"/>
      <c r="B98" s="30" t="n"/>
      <c r="C98" s="32" t="n"/>
      <c r="D98" s="42" t="str">
        <f>IF(ISNUMBER(B98),B98-$C$3,"")</f>
        <v/>
      </c>
      <c r="E98" s="32" t="n"/>
      <c r="F98" s="32" t="n"/>
      <c r="G98" s="31" t="n"/>
      <c r="H98" s="31" t="n"/>
    </row>
    <row r="99">
      <c r="A99" s="31" t="n"/>
      <c r="B99" s="30" t="n"/>
      <c r="C99" s="32" t="n"/>
      <c r="D99" s="42" t="str">
        <f>IF(ISNUMBER(B99),B99-$C$3,"")</f>
        <v/>
      </c>
      <c r="E99" s="32" t="n"/>
      <c r="F99" s="32" t="n"/>
      <c r="G99" s="31" t="n"/>
      <c r="H99" s="31" t="n"/>
    </row>
    <row r="100">
      <c r="A100" s="31" t="n"/>
      <c r="B100" s="30" t="n"/>
      <c r="C100" s="32" t="n"/>
      <c r="D100" s="42" t="str">
        <f>IF(ISNUMBER(B100),B100-$C$3,"")</f>
        <v/>
      </c>
      <c r="E100" s="32" t="n"/>
      <c r="F100" s="32" t="n"/>
      <c r="G100" s="31" t="n"/>
      <c r="H100" s="31" t="n"/>
    </row>
    <row r="101">
      <c r="A101" s="31" t="n"/>
      <c r="B101" s="30" t="n"/>
      <c r="C101" s="32" t="n"/>
      <c r="D101" s="42" t="str">
        <f>IF(ISNUMBER(B101),B101-$C$3,"")</f>
        <v/>
      </c>
      <c r="E101" s="32" t="n"/>
      <c r="F101" s="32" t="n"/>
      <c r="G101" s="31" t="n"/>
      <c r="H101" s="31" t="n"/>
    </row>
    <row r="102">
      <c r="A102" s="31" t="n"/>
      <c r="B102" s="30" t="n"/>
      <c r="C102" s="32" t="n"/>
      <c r="D102" s="42" t="str">
        <f>IF(ISNUMBER(B102),B102-$C$3,"")</f>
        <v/>
      </c>
      <c r="E102" s="32" t="n"/>
      <c r="F102" s="32" t="n"/>
      <c r="G102" s="31" t="n"/>
      <c r="H102" s="31" t="n"/>
    </row>
    <row r="103">
      <c r="A103" s="31" t="n"/>
      <c r="B103" s="30" t="n"/>
      <c r="C103" s="32" t="n"/>
      <c r="D103" s="42" t="str">
        <f>IF(ISNUMBER(B103),B103-$C$3,"")</f>
        <v/>
      </c>
      <c r="E103" s="32" t="n"/>
      <c r="F103" s="32" t="n"/>
      <c r="G103" s="31" t="n"/>
      <c r="H103" s="31" t="n"/>
    </row>
    <row r="104">
      <c r="A104" s="31" t="n"/>
      <c r="B104" s="30" t="n"/>
      <c r="C104" s="32" t="n"/>
      <c r="D104" s="42" t="str">
        <f>IF(ISNUMBER(B104),B104-$C$3,"")</f>
        <v/>
      </c>
      <c r="E104" s="32" t="n"/>
      <c r="F104" s="32" t="n"/>
      <c r="G104" s="31" t="n"/>
      <c r="H104" s="31" t="n"/>
    </row>
    <row r="105">
      <c r="A105" s="31" t="n"/>
      <c r="B105" s="30" t="n"/>
      <c r="C105" s="32" t="n"/>
      <c r="D105" s="42" t="str">
        <f>IF(ISNUMBER(B105),B105-$C$3,"")</f>
        <v/>
      </c>
      <c r="E105" s="32" t="n"/>
      <c r="F105" s="32" t="n"/>
      <c r="G105" s="31" t="n"/>
      <c r="H105" s="31" t="n"/>
    </row>
    <row r="106">
      <c r="A106" s="31" t="n"/>
      <c r="B106" s="30" t="n"/>
      <c r="C106" s="32" t="n"/>
      <c r="D106" s="42" t="str">
        <f>IF(ISNUMBER(B106),B106-$C$3,"")</f>
        <v/>
      </c>
      <c r="E106" s="32" t="n"/>
      <c r="F106" s="32" t="n"/>
      <c r="G106" s="31" t="n"/>
      <c r="H106" s="31" t="n"/>
    </row>
    <row r="107">
      <c r="A107" s="31" t="n"/>
      <c r="B107" s="30" t="n"/>
      <c r="C107" s="32" t="n"/>
      <c r="D107" s="42" t="str">
        <f>IF(ISNUMBER(B107),B107-$C$3,"")</f>
        <v/>
      </c>
      <c r="E107" s="32" t="n"/>
      <c r="F107" s="32" t="n"/>
      <c r="G107" s="31" t="n"/>
      <c r="H107" s="31" t="n"/>
    </row>
    <row r="108">
      <c r="A108" s="31" t="n"/>
      <c r="B108" s="30" t="n"/>
      <c r="C108" s="32" t="n"/>
      <c r="D108" s="42" t="str">
        <f>IF(ISNUMBER(B108),B108-$C$3,"")</f>
        <v/>
      </c>
      <c r="E108" s="32" t="n"/>
      <c r="F108" s="32" t="n"/>
      <c r="G108" s="31" t="n"/>
      <c r="H108" s="31" t="n"/>
    </row>
    <row r="109">
      <c r="A109" s="31" t="n"/>
      <c r="B109" s="30" t="n"/>
      <c r="C109" s="32" t="n"/>
      <c r="D109" s="42" t="str">
        <f>IF(ISNUMBER(B109),B109-$C$3,"")</f>
        <v/>
      </c>
      <c r="E109" s="32" t="n"/>
      <c r="F109" s="32" t="n"/>
      <c r="G109" s="31" t="n"/>
      <c r="H109" s="31" t="n"/>
    </row>
    <row r="110">
      <c r="A110" s="31" t="n"/>
      <c r="B110" s="30" t="n"/>
      <c r="C110" s="32" t="n"/>
      <c r="D110" s="42" t="str">
        <f>IF(ISNUMBER(B110),B110-$C$3,"")</f>
        <v/>
      </c>
      <c r="E110" s="32" t="n"/>
      <c r="F110" s="32" t="n"/>
      <c r="G110" s="31" t="n"/>
      <c r="H110" s="31" t="n"/>
    </row>
    <row r="111">
      <c r="A111" s="31" t="n"/>
      <c r="B111" s="30" t="n"/>
      <c r="C111" s="32" t="n"/>
      <c r="D111" s="42" t="str">
        <f>IF(ISNUMBER(B111),B111-$C$3,"")</f>
        <v/>
      </c>
      <c r="E111" s="32" t="n"/>
      <c r="F111" s="32" t="n"/>
      <c r="G111" s="31" t="n"/>
      <c r="H111" s="31" t="n"/>
    </row>
    <row r="112">
      <c r="A112" s="31" t="n"/>
      <c r="B112" s="30" t="n"/>
      <c r="C112" s="32" t="n"/>
      <c r="D112" s="42" t="str">
        <f>IF(ISNUMBER(B112),B112-$C$3,"")</f>
        <v/>
      </c>
      <c r="E112" s="32" t="n"/>
      <c r="F112" s="32" t="n"/>
      <c r="G112" s="31" t="n"/>
      <c r="H112" s="31" t="n"/>
    </row>
    <row r="113">
      <c r="A113" s="31" t="n"/>
      <c r="B113" s="30" t="n"/>
      <c r="C113" s="32" t="n"/>
      <c r="D113" s="42" t="str">
        <f>IF(ISNUMBER(B113),B113-$C$3,"")</f>
        <v/>
      </c>
      <c r="E113" s="32" t="n"/>
      <c r="F113" s="32" t="n"/>
      <c r="G113" s="31" t="n"/>
      <c r="H113" s="31" t="n"/>
    </row>
    <row r="114">
      <c r="A114" s="31" t="n"/>
      <c r="B114" s="30" t="n"/>
      <c r="C114" s="32" t="n"/>
      <c r="D114" s="42" t="str">
        <f>IF(ISNUMBER(B114),B114-$C$3,"")</f>
        <v/>
      </c>
      <c r="E114" s="32" t="n"/>
      <c r="F114" s="32" t="n"/>
      <c r="G114" s="31" t="n"/>
      <c r="H114" s="31" t="n"/>
    </row>
    <row r="115">
      <c r="A115" s="31" t="n"/>
      <c r="B115" s="30" t="n"/>
      <c r="C115" s="32" t="n"/>
      <c r="D115" s="42" t="str">
        <f>IF(ISNUMBER(B115),B115-$C$3,"")</f>
        <v/>
      </c>
      <c r="E115" s="32" t="n"/>
      <c r="F115" s="32" t="n"/>
      <c r="G115" s="31" t="n"/>
      <c r="H115" s="31" t="n"/>
    </row>
    <row r="116">
      <c r="A116" s="31" t="n"/>
      <c r="B116" s="30" t="n"/>
      <c r="C116" s="32" t="n"/>
      <c r="D116" s="42" t="str">
        <f>IF(ISNUMBER(B116),B116-$C$3,"")</f>
        <v/>
      </c>
      <c r="E116" s="32" t="n"/>
      <c r="F116" s="32" t="n"/>
      <c r="G116" s="31" t="n"/>
      <c r="H116" s="31" t="n"/>
    </row>
    <row r="117">
      <c r="A117" s="31" t="n"/>
      <c r="B117" s="30" t="n"/>
      <c r="C117" s="32" t="n"/>
      <c r="D117" s="42" t="str">
        <f>IF(ISNUMBER(B117),B117-$C$3,"")</f>
        <v/>
      </c>
      <c r="E117" s="32" t="n"/>
      <c r="F117" s="32" t="n"/>
      <c r="G117" s="31" t="n"/>
      <c r="H117" s="31" t="n"/>
    </row>
    <row r="118">
      <c r="A118" s="31" t="n"/>
      <c r="B118" s="30" t="n"/>
      <c r="C118" s="32" t="n"/>
      <c r="D118" s="42" t="str">
        <f>IF(ISNUMBER(B118),B118-$C$3,"")</f>
        <v/>
      </c>
      <c r="E118" s="32" t="n"/>
      <c r="F118" s="32" t="n"/>
      <c r="G118" s="31" t="n"/>
      <c r="H118" s="31" t="n"/>
    </row>
    <row r="119">
      <c r="A119" s="31" t="n"/>
      <c r="B119" s="30" t="n"/>
      <c r="C119" s="32" t="n"/>
      <c r="D119" s="42" t="str">
        <f>IF(ISNUMBER(B119),B119-$C$3,"")</f>
        <v/>
      </c>
      <c r="E119" s="32" t="n"/>
      <c r="F119" s="32" t="n"/>
      <c r="G119" s="31" t="n"/>
      <c r="H119" s="31" t="n"/>
    </row>
    <row r="120">
      <c r="A120" s="31" t="n"/>
      <c r="B120" s="30" t="n"/>
      <c r="C120" s="32" t="n"/>
      <c r="D120" s="42" t="str">
        <f>IF(ISNUMBER(B120),B120-$C$3,"")</f>
        <v/>
      </c>
      <c r="E120" s="32" t="n"/>
      <c r="F120" s="32" t="n"/>
      <c r="G120" s="31" t="n"/>
      <c r="H120" s="31" t="n"/>
    </row>
    <row r="121">
      <c r="A121" s="31" t="n"/>
      <c r="B121" s="30" t="n"/>
      <c r="C121" s="32" t="n"/>
      <c r="D121" s="42" t="str">
        <f>IF(ISNUMBER(B121),B121-$C$3,"")</f>
        <v/>
      </c>
      <c r="E121" s="32" t="n"/>
      <c r="F121" s="32" t="n"/>
      <c r="G121" s="31" t="n"/>
      <c r="H121" s="31" t="n"/>
    </row>
    <row r="122">
      <c r="A122" s="31" t="n"/>
      <c r="B122" s="30" t="n"/>
      <c r="C122" s="32" t="n"/>
      <c r="D122" s="42" t="str">
        <f>IF(ISNUMBER(B122),B122-$C$3,"")</f>
        <v/>
      </c>
      <c r="E122" s="32" t="n"/>
      <c r="F122" s="32" t="n"/>
      <c r="G122" s="31" t="n"/>
      <c r="H122" s="31" t="n"/>
    </row>
    <row r="123">
      <c r="A123" s="31" t="n"/>
      <c r="B123" s="30" t="n"/>
      <c r="C123" s="32" t="n"/>
      <c r="D123" s="42" t="str">
        <f>IF(ISNUMBER(B123),B123-$C$3,"")</f>
        <v/>
      </c>
      <c r="E123" s="32" t="n"/>
      <c r="F123" s="32" t="n"/>
      <c r="G123" s="31" t="n"/>
      <c r="H123" s="31" t="n"/>
    </row>
    <row r="124">
      <c r="A124" s="31" t="n"/>
      <c r="B124" s="30" t="n"/>
      <c r="C124" s="32" t="n"/>
      <c r="D124" s="42" t="str">
        <f>IF(ISNUMBER(B124),B124-$C$3,"")</f>
        <v/>
      </c>
      <c r="E124" s="32" t="n"/>
      <c r="F124" s="32" t="n"/>
      <c r="G124" s="31" t="n"/>
      <c r="H124" s="31" t="n"/>
    </row>
    <row r="125">
      <c r="A125" s="31" t="n"/>
      <c r="B125" s="30" t="n"/>
      <c r="C125" s="32" t="n"/>
      <c r="D125" s="42" t="str">
        <f>IF(ISNUMBER(B125),B125-$C$3,"")</f>
        <v/>
      </c>
      <c r="E125" s="32" t="n"/>
      <c r="F125" s="32" t="n"/>
      <c r="G125" s="31" t="n"/>
      <c r="H125" s="31" t="n"/>
    </row>
    <row r="126">
      <c r="A126" s="31" t="n"/>
      <c r="B126" s="30" t="n"/>
      <c r="C126" s="32" t="n"/>
      <c r="D126" s="42" t="str">
        <f>IF(ISNUMBER(B126),B126-$C$3,"")</f>
        <v/>
      </c>
      <c r="E126" s="32" t="n"/>
      <c r="F126" s="32" t="n"/>
      <c r="G126" s="31" t="n"/>
      <c r="H126" s="31" t="n"/>
    </row>
  </sheetData>
  <mergeCells count="7">
    <mergeCell ref="A5:D5"/>
    <mergeCell ref="A2:I2"/>
    <mergeCell ref="A1:F1"/>
    <mergeCell ref="C3:D3"/>
    <mergeCell ref="A3:B3"/>
    <mergeCell ref="E5:H5"/>
    <mergeCell ref="G1:I1"/>
  </mergeCells>
  <conditionalFormatting sqref="A7:H126">
    <cfRule type="expression" priority="1" dxfId="4">
      <formula>AND(ISNUMBER($D7),$D7&gt;=0,$D7&lt;=14)</formula>
    </cfRule>
  </conditionalFormatting>
  <dataValidations count="3">
    <dataValidation sqref="C7:C126" showDropDown="0" showInputMessage="0" showErrorMessage="1" allowBlank="1" errorTitle="不在选项里" error="请从下拉里选；要加新选项，先去参数页的下拉选项里加。" type="list" errorStyle="stop">
      <formula1>"盘前,盘后,没公布"</formula1>
    </dataValidation>
    <dataValidation sqref="E7:E126" showDropDown="0" showInputMessage="0" showErrorMessage="1" allowBlank="1" errorTitle="不在选项里" error="请从下拉里选；要加新选项，先去参数页的下拉选项里加。" type="list" errorStyle="stop">
      <formula1>"持仓,观察"</formula1>
    </dataValidation>
    <dataValidation sqref="F7:F126" showDropDown="0" showInputMessage="0" showErrorMessage="1" allowBlank="1" errorTitle="不在选项里" error="请从下拉里选；要加新选项，先去参数页的下拉选项里加。" type="list" errorStyle="warning">
      <formula1>'参数'!$J$22:$J$33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</worksheet>
</file>

<file path=xl/worksheets/sheet7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K26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0" customWidth="1" min="3" max="3"/>
    <col width="7" customWidth="1" min="4" max="4"/>
    <col width="7" customWidth="1" min="5" max="5"/>
    <col width="24" customWidth="1" min="6" max="6"/>
    <col width="6" customWidth="1" min="7" max="7"/>
    <col width="8" customWidth="1" min="8" max="8"/>
    <col width="9" customWidth="1" min="9" max="9"/>
    <col width="30" customWidth="1" min="10" max="10"/>
    <col width="16" customWidth="1" min="11" max="11"/>
  </cols>
  <sheetData>
    <row r="1" ht="30" customHeight="1">
      <c r="A1" s="13" t="inlineStr">
        <is>
          <t>每日记录：没交易的日子也写一行</t>
        </is>
      </c>
      <c r="I1" s="14" t="inlineStr">
        <is>
          <t>TradeLearn · XtradingTime 交易内训</t>
        </is>
      </c>
    </row>
    <row r="2" ht="20" customHeight="1">
      <c r="A2" s="2" t="inlineStr">
        <is>
          <t>收盘后或睡前写。空仓是按计划做出来的，也算执行；连续几天「没等到条件」，比连续几天乱下单好。</t>
        </is>
      </c>
    </row>
    <row r="3" ht="18" customHeight="1">
      <c r="A3" s="28" t="inlineStr">
        <is>
          <t>日期</t>
        </is>
      </c>
      <c r="B3" s="28" t="n"/>
      <c r="C3" s="28" t="inlineStr">
        <is>
          <t>今天</t>
        </is>
      </c>
      <c r="D3" s="28" t="n"/>
      <c r="E3" s="28" t="n"/>
      <c r="F3" s="28" t="n"/>
      <c r="G3" s="28" t="n"/>
      <c r="H3" s="28" t="n"/>
      <c r="I3" s="28" t="n"/>
      <c r="J3" s="28" t="inlineStr">
        <is>
          <t>明天</t>
        </is>
      </c>
      <c r="K3" s="28" t="n"/>
    </row>
    <row r="4" ht="41.8" customHeight="1">
      <c r="A4" s="26" t="inlineStr">
        <is>
          <t>日期</t>
        </is>
      </c>
      <c r="B4" s="26" t="inlineStr">
        <is>
          <t>星期</t>
        </is>
      </c>
      <c r="C4" s="26" t="inlineStr">
        <is>
          <t>今天做了什么</t>
        </is>
      </c>
      <c r="D4" s="26" t="inlineStr">
        <is>
          <t>看到几次机会</t>
        </is>
      </c>
      <c r="E4" s="26" t="inlineStr">
        <is>
          <t>下了几笔（自动）</t>
        </is>
      </c>
      <c r="F4" s="26" t="inlineStr">
        <is>
          <t>没做的原因（一句话）</t>
        </is>
      </c>
      <c r="G4" s="26" t="inlineStr">
        <is>
          <t>状态 1～5</t>
        </is>
      </c>
      <c r="H4" s="26" t="inlineStr">
        <is>
          <t>当日平仓净R</t>
        </is>
      </c>
      <c r="I4" s="26" t="inlineStr">
        <is>
          <t>停手线</t>
        </is>
      </c>
      <c r="J4" s="26" t="inlineStr">
        <is>
          <t>明天的条件（写成能检查的话）</t>
        </is>
      </c>
      <c r="K4" s="26" t="inlineStr">
        <is>
          <t>备注</t>
        </is>
      </c>
    </row>
    <row r="5">
      <c r="A5" s="30" t="n"/>
      <c r="B5" s="41" t="str">
        <f>IF(ISNUMBER(A5),"周"&amp;CHOOSE(WEEKDAY(A5,2),"一","二","三","四","五","六","日"),"")</f>
        <v/>
      </c>
      <c r="C5" s="32" t="n"/>
      <c r="D5" s="29" t="n"/>
      <c r="E5" s="55" t="str">
        <f>IF(ISNUMBER(A5),COUNTIFS('交易记录'!$B$5:$B$304,A5,'交易记录'!$Q$5:$Q$304,"已执行"),"")</f>
        <v/>
      </c>
      <c r="F5" s="31" t="n"/>
      <c r="G5" s="29" t="n"/>
      <c r="H5" s="56" t="str">
        <f>IF(NOT(ISNUMBER(A5)),"",IF(COUNTIFS('交易记录'!$S$5:$S$304,A5,'交易记录'!$Y$5:$Y$304,"已平仓")=0,"",SUMIFS('交易记录'!$AG$5:$AG$304,'交易记录'!$S$5:$S$304,A5,'交易记录'!$Y$5:$Y$304,"已平仓")))</f>
        <v/>
      </c>
      <c r="I5" s="41" t="str">
        <f>IF(NOT(ISNUMBER(H5)),"",IF(H5&lt;=-'参数'!$C$8,"触及停手线",""))</f>
        <v/>
      </c>
      <c r="J5" s="31" t="n"/>
      <c r="K5" s="31" t="n"/>
    </row>
    <row r="6">
      <c r="A6" s="30" t="n"/>
      <c r="B6" s="41" t="str">
        <f>IF(ISNUMBER(A6),"周"&amp;CHOOSE(WEEKDAY(A6,2),"一","二","三","四","五","六","日"),"")</f>
        <v/>
      </c>
      <c r="C6" s="32" t="n"/>
      <c r="D6" s="29" t="n"/>
      <c r="E6" s="55" t="str">
        <f>IF(ISNUMBER(A6),COUNTIFS('交易记录'!$B$5:$B$304,A6,'交易记录'!$Q$5:$Q$304,"已执行"),"")</f>
        <v/>
      </c>
      <c r="F6" s="31" t="n"/>
      <c r="G6" s="29" t="n"/>
      <c r="H6" s="56" t="str">
        <f>IF(NOT(ISNUMBER(A6)),"",IF(COUNTIFS('交易记录'!$S$5:$S$304,A6,'交易记录'!$Y$5:$Y$304,"已平仓")=0,"",SUMIFS('交易记录'!$AG$5:$AG$304,'交易记录'!$S$5:$S$304,A6,'交易记录'!$Y$5:$Y$304,"已平仓")))</f>
        <v/>
      </c>
      <c r="I6" s="41" t="str">
        <f>IF(NOT(ISNUMBER(H6)),"",IF(H6&lt;=-'参数'!$C$8,"触及停手线",""))</f>
        <v/>
      </c>
      <c r="J6" s="31" t="n"/>
      <c r="K6" s="31" t="n"/>
    </row>
    <row r="7">
      <c r="A7" s="30" t="n"/>
      <c r="B7" s="41" t="str">
        <f>IF(ISNUMBER(A7),"周"&amp;CHOOSE(WEEKDAY(A7,2),"一","二","三","四","五","六","日"),"")</f>
        <v/>
      </c>
      <c r="C7" s="32" t="n"/>
      <c r="D7" s="29" t="n"/>
      <c r="E7" s="55" t="str">
        <f>IF(ISNUMBER(A7),COUNTIFS('交易记录'!$B$5:$B$304,A7,'交易记录'!$Q$5:$Q$304,"已执行"),"")</f>
        <v/>
      </c>
      <c r="F7" s="31" t="n"/>
      <c r="G7" s="29" t="n"/>
      <c r="H7" s="56" t="str">
        <f>IF(NOT(ISNUMBER(A7)),"",IF(COUNTIFS('交易记录'!$S$5:$S$304,A7,'交易记录'!$Y$5:$Y$304,"已平仓")=0,"",SUMIFS('交易记录'!$AG$5:$AG$304,'交易记录'!$S$5:$S$304,A7,'交易记录'!$Y$5:$Y$304,"已平仓")))</f>
        <v/>
      </c>
      <c r="I7" s="41" t="str">
        <f>IF(NOT(ISNUMBER(H7)),"",IF(H7&lt;=-'参数'!$C$8,"触及停手线",""))</f>
        <v/>
      </c>
      <c r="J7" s="31" t="n"/>
      <c r="K7" s="31" t="n"/>
    </row>
    <row r="8">
      <c r="A8" s="30" t="n"/>
      <c r="B8" s="41" t="str">
        <f>IF(ISNUMBER(A8),"周"&amp;CHOOSE(WEEKDAY(A8,2),"一","二","三","四","五","六","日"),"")</f>
        <v/>
      </c>
      <c r="C8" s="32" t="n"/>
      <c r="D8" s="29" t="n"/>
      <c r="E8" s="55" t="str">
        <f>IF(ISNUMBER(A8),COUNTIFS('交易记录'!$B$5:$B$304,A8,'交易记录'!$Q$5:$Q$304,"已执行"),"")</f>
        <v/>
      </c>
      <c r="F8" s="31" t="n"/>
      <c r="G8" s="29" t="n"/>
      <c r="H8" s="56" t="str">
        <f>IF(NOT(ISNUMBER(A8)),"",IF(COUNTIFS('交易记录'!$S$5:$S$304,A8,'交易记录'!$Y$5:$Y$304,"已平仓")=0,"",SUMIFS('交易记录'!$AG$5:$AG$304,'交易记录'!$S$5:$S$304,A8,'交易记录'!$Y$5:$Y$304,"已平仓")))</f>
        <v/>
      </c>
      <c r="I8" s="41" t="str">
        <f>IF(NOT(ISNUMBER(H8)),"",IF(H8&lt;=-'参数'!$C$8,"触及停手线",""))</f>
        <v/>
      </c>
      <c r="J8" s="31" t="n"/>
      <c r="K8" s="31" t="n"/>
    </row>
    <row r="9">
      <c r="A9" s="30" t="n"/>
      <c r="B9" s="41" t="str">
        <f>IF(ISNUMBER(A9),"周"&amp;CHOOSE(WEEKDAY(A9,2),"一","二","三","四","五","六","日"),"")</f>
        <v/>
      </c>
      <c r="C9" s="32" t="n"/>
      <c r="D9" s="29" t="n"/>
      <c r="E9" s="55" t="str">
        <f>IF(ISNUMBER(A9),COUNTIFS('交易记录'!$B$5:$B$304,A9,'交易记录'!$Q$5:$Q$304,"已执行"),"")</f>
        <v/>
      </c>
      <c r="F9" s="31" t="n"/>
      <c r="G9" s="29" t="n"/>
      <c r="H9" s="56" t="str">
        <f>IF(NOT(ISNUMBER(A9)),"",IF(COUNTIFS('交易记录'!$S$5:$S$304,A9,'交易记录'!$Y$5:$Y$304,"已平仓")=0,"",SUMIFS('交易记录'!$AG$5:$AG$304,'交易记录'!$S$5:$S$304,A9,'交易记录'!$Y$5:$Y$304,"已平仓")))</f>
        <v/>
      </c>
      <c r="I9" s="41" t="str">
        <f>IF(NOT(ISNUMBER(H9)),"",IF(H9&lt;=-'参数'!$C$8,"触及停手线",""))</f>
        <v/>
      </c>
      <c r="J9" s="31" t="n"/>
      <c r="K9" s="31" t="n"/>
    </row>
    <row r="10">
      <c r="A10" s="30" t="n"/>
      <c r="B10" s="41" t="str">
        <f>IF(ISNUMBER(A10),"周"&amp;CHOOSE(WEEKDAY(A10,2),"一","二","三","四","五","六","日"),"")</f>
        <v/>
      </c>
      <c r="C10" s="32" t="n"/>
      <c r="D10" s="29" t="n"/>
      <c r="E10" s="55" t="str">
        <f>IF(ISNUMBER(A10),COUNTIFS('交易记录'!$B$5:$B$304,A10,'交易记录'!$Q$5:$Q$304,"已执行"),"")</f>
        <v/>
      </c>
      <c r="F10" s="31" t="n"/>
      <c r="G10" s="29" t="n"/>
      <c r="H10" s="56" t="str">
        <f>IF(NOT(ISNUMBER(A10)),"",IF(COUNTIFS('交易记录'!$S$5:$S$304,A10,'交易记录'!$Y$5:$Y$304,"已平仓")=0,"",SUMIFS('交易记录'!$AG$5:$AG$304,'交易记录'!$S$5:$S$304,A10,'交易记录'!$Y$5:$Y$304,"已平仓")))</f>
        <v/>
      </c>
      <c r="I10" s="41" t="str">
        <f>IF(NOT(ISNUMBER(H10)),"",IF(H10&lt;=-'参数'!$C$8,"触及停手线",""))</f>
        <v/>
      </c>
      <c r="J10" s="31" t="n"/>
      <c r="K10" s="31" t="n"/>
    </row>
    <row r="11">
      <c r="A11" s="30" t="n"/>
      <c r="B11" s="41" t="str">
        <f>IF(ISNUMBER(A11),"周"&amp;CHOOSE(WEEKDAY(A11,2),"一","二","三","四","五","六","日"),"")</f>
        <v/>
      </c>
      <c r="C11" s="32" t="n"/>
      <c r="D11" s="29" t="n"/>
      <c r="E11" s="55" t="str">
        <f>IF(ISNUMBER(A11),COUNTIFS('交易记录'!$B$5:$B$304,A11,'交易记录'!$Q$5:$Q$304,"已执行"),"")</f>
        <v/>
      </c>
      <c r="F11" s="31" t="n"/>
      <c r="G11" s="29" t="n"/>
      <c r="H11" s="56" t="str">
        <f>IF(NOT(ISNUMBER(A11)),"",IF(COUNTIFS('交易记录'!$S$5:$S$304,A11,'交易记录'!$Y$5:$Y$304,"已平仓")=0,"",SUMIFS('交易记录'!$AG$5:$AG$304,'交易记录'!$S$5:$S$304,A11,'交易记录'!$Y$5:$Y$304,"已平仓")))</f>
        <v/>
      </c>
      <c r="I11" s="41" t="str">
        <f>IF(NOT(ISNUMBER(H11)),"",IF(H11&lt;=-'参数'!$C$8,"触及停手线",""))</f>
        <v/>
      </c>
      <c r="J11" s="31" t="n"/>
      <c r="K11" s="31" t="n"/>
    </row>
    <row r="12">
      <c r="A12" s="30" t="n"/>
      <c r="B12" s="41" t="str">
        <f>IF(ISNUMBER(A12),"周"&amp;CHOOSE(WEEKDAY(A12,2),"一","二","三","四","五","六","日"),"")</f>
        <v/>
      </c>
      <c r="C12" s="32" t="n"/>
      <c r="D12" s="29" t="n"/>
      <c r="E12" s="55" t="str">
        <f>IF(ISNUMBER(A12),COUNTIFS('交易记录'!$B$5:$B$304,A12,'交易记录'!$Q$5:$Q$304,"已执行"),"")</f>
        <v/>
      </c>
      <c r="F12" s="31" t="n"/>
      <c r="G12" s="29" t="n"/>
      <c r="H12" s="56" t="str">
        <f>IF(NOT(ISNUMBER(A12)),"",IF(COUNTIFS('交易记录'!$S$5:$S$304,A12,'交易记录'!$Y$5:$Y$304,"已平仓")=0,"",SUMIFS('交易记录'!$AG$5:$AG$304,'交易记录'!$S$5:$S$304,A12,'交易记录'!$Y$5:$Y$304,"已平仓")))</f>
        <v/>
      </c>
      <c r="I12" s="41" t="str">
        <f>IF(NOT(ISNUMBER(H12)),"",IF(H12&lt;=-'参数'!$C$8,"触及停手线",""))</f>
        <v/>
      </c>
      <c r="J12" s="31" t="n"/>
      <c r="K12" s="31" t="n"/>
    </row>
    <row r="13">
      <c r="A13" s="30" t="n"/>
      <c r="B13" s="41" t="str">
        <f>IF(ISNUMBER(A13),"周"&amp;CHOOSE(WEEKDAY(A13,2),"一","二","三","四","五","六","日"),"")</f>
        <v/>
      </c>
      <c r="C13" s="32" t="n"/>
      <c r="D13" s="29" t="n"/>
      <c r="E13" s="55" t="str">
        <f>IF(ISNUMBER(A13),COUNTIFS('交易记录'!$B$5:$B$304,A13,'交易记录'!$Q$5:$Q$304,"已执行"),"")</f>
        <v/>
      </c>
      <c r="F13" s="31" t="n"/>
      <c r="G13" s="29" t="n"/>
      <c r="H13" s="56" t="str">
        <f>IF(NOT(ISNUMBER(A13)),"",IF(COUNTIFS('交易记录'!$S$5:$S$304,A13,'交易记录'!$Y$5:$Y$304,"已平仓")=0,"",SUMIFS('交易记录'!$AG$5:$AG$304,'交易记录'!$S$5:$S$304,A13,'交易记录'!$Y$5:$Y$304,"已平仓")))</f>
        <v/>
      </c>
      <c r="I13" s="41" t="str">
        <f>IF(NOT(ISNUMBER(H13)),"",IF(H13&lt;=-'参数'!$C$8,"触及停手线",""))</f>
        <v/>
      </c>
      <c r="J13" s="31" t="n"/>
      <c r="K13" s="31" t="n"/>
    </row>
    <row r="14">
      <c r="A14" s="30" t="n"/>
      <c r="B14" s="41" t="str">
        <f>IF(ISNUMBER(A14),"周"&amp;CHOOSE(WEEKDAY(A14,2),"一","二","三","四","五","六","日"),"")</f>
        <v/>
      </c>
      <c r="C14" s="32" t="n"/>
      <c r="D14" s="29" t="n"/>
      <c r="E14" s="55" t="str">
        <f>IF(ISNUMBER(A14),COUNTIFS('交易记录'!$B$5:$B$304,A14,'交易记录'!$Q$5:$Q$304,"已执行"),"")</f>
        <v/>
      </c>
      <c r="F14" s="31" t="n"/>
      <c r="G14" s="29" t="n"/>
      <c r="H14" s="56" t="str">
        <f>IF(NOT(ISNUMBER(A14)),"",IF(COUNTIFS('交易记录'!$S$5:$S$304,A14,'交易记录'!$Y$5:$Y$304,"已平仓")=0,"",SUMIFS('交易记录'!$AG$5:$AG$304,'交易记录'!$S$5:$S$304,A14,'交易记录'!$Y$5:$Y$304,"已平仓")))</f>
        <v/>
      </c>
      <c r="I14" s="41" t="str">
        <f>IF(NOT(ISNUMBER(H14)),"",IF(H14&lt;=-'参数'!$C$8,"触及停手线",""))</f>
        <v/>
      </c>
      <c r="J14" s="31" t="n"/>
      <c r="K14" s="31" t="n"/>
    </row>
    <row r="15">
      <c r="A15" s="30" t="n"/>
      <c r="B15" s="41" t="str">
        <f>IF(ISNUMBER(A15),"周"&amp;CHOOSE(WEEKDAY(A15,2),"一","二","三","四","五","六","日"),"")</f>
        <v/>
      </c>
      <c r="C15" s="32" t="n"/>
      <c r="D15" s="29" t="n"/>
      <c r="E15" s="55" t="str">
        <f>IF(ISNUMBER(A15),COUNTIFS('交易记录'!$B$5:$B$304,A15,'交易记录'!$Q$5:$Q$304,"已执行"),"")</f>
        <v/>
      </c>
      <c r="F15" s="31" t="n"/>
      <c r="G15" s="29" t="n"/>
      <c r="H15" s="56" t="str">
        <f>IF(NOT(ISNUMBER(A15)),"",IF(COUNTIFS('交易记录'!$S$5:$S$304,A15,'交易记录'!$Y$5:$Y$304,"已平仓")=0,"",SUMIFS('交易记录'!$AG$5:$AG$304,'交易记录'!$S$5:$S$304,A15,'交易记录'!$Y$5:$Y$304,"已平仓")))</f>
        <v/>
      </c>
      <c r="I15" s="41" t="str">
        <f>IF(NOT(ISNUMBER(H15)),"",IF(H15&lt;=-'参数'!$C$8,"触及停手线",""))</f>
        <v/>
      </c>
      <c r="J15" s="31" t="n"/>
      <c r="K15" s="31" t="n"/>
    </row>
    <row r="16">
      <c r="A16" s="30" t="n"/>
      <c r="B16" s="41" t="str">
        <f>IF(ISNUMBER(A16),"周"&amp;CHOOSE(WEEKDAY(A16,2),"一","二","三","四","五","六","日"),"")</f>
        <v/>
      </c>
      <c r="C16" s="32" t="n"/>
      <c r="D16" s="29" t="n"/>
      <c r="E16" s="55" t="str">
        <f>IF(ISNUMBER(A16),COUNTIFS('交易记录'!$B$5:$B$304,A16,'交易记录'!$Q$5:$Q$304,"已执行"),"")</f>
        <v/>
      </c>
      <c r="F16" s="31" t="n"/>
      <c r="G16" s="29" t="n"/>
      <c r="H16" s="56" t="str">
        <f>IF(NOT(ISNUMBER(A16)),"",IF(COUNTIFS('交易记录'!$S$5:$S$304,A16,'交易记录'!$Y$5:$Y$304,"已平仓")=0,"",SUMIFS('交易记录'!$AG$5:$AG$304,'交易记录'!$S$5:$S$304,A16,'交易记录'!$Y$5:$Y$304,"已平仓")))</f>
        <v/>
      </c>
      <c r="I16" s="41" t="str">
        <f>IF(NOT(ISNUMBER(H16)),"",IF(H16&lt;=-'参数'!$C$8,"触及停手线",""))</f>
        <v/>
      </c>
      <c r="J16" s="31" t="n"/>
      <c r="K16" s="31" t="n"/>
    </row>
    <row r="17">
      <c r="A17" s="30" t="n"/>
      <c r="B17" s="41" t="str">
        <f>IF(ISNUMBER(A17),"周"&amp;CHOOSE(WEEKDAY(A17,2),"一","二","三","四","五","六","日"),"")</f>
        <v/>
      </c>
      <c r="C17" s="32" t="n"/>
      <c r="D17" s="29" t="n"/>
      <c r="E17" s="55" t="str">
        <f>IF(ISNUMBER(A17),COUNTIFS('交易记录'!$B$5:$B$304,A17,'交易记录'!$Q$5:$Q$304,"已执行"),"")</f>
        <v/>
      </c>
      <c r="F17" s="31" t="n"/>
      <c r="G17" s="29" t="n"/>
      <c r="H17" s="56" t="str">
        <f>IF(NOT(ISNUMBER(A17)),"",IF(COUNTIFS('交易记录'!$S$5:$S$304,A17,'交易记录'!$Y$5:$Y$304,"已平仓")=0,"",SUMIFS('交易记录'!$AG$5:$AG$304,'交易记录'!$S$5:$S$304,A17,'交易记录'!$Y$5:$Y$304,"已平仓")))</f>
        <v/>
      </c>
      <c r="I17" s="41" t="str">
        <f>IF(NOT(ISNUMBER(H17)),"",IF(H17&lt;=-'参数'!$C$8,"触及停手线",""))</f>
        <v/>
      </c>
      <c r="J17" s="31" t="n"/>
      <c r="K17" s="31" t="n"/>
    </row>
    <row r="18">
      <c r="A18" s="30" t="n"/>
      <c r="B18" s="41" t="str">
        <f>IF(ISNUMBER(A18),"周"&amp;CHOOSE(WEEKDAY(A18,2),"一","二","三","四","五","六","日"),"")</f>
        <v/>
      </c>
      <c r="C18" s="32" t="n"/>
      <c r="D18" s="29" t="n"/>
      <c r="E18" s="55" t="str">
        <f>IF(ISNUMBER(A18),COUNTIFS('交易记录'!$B$5:$B$304,A18,'交易记录'!$Q$5:$Q$304,"已执行"),"")</f>
        <v/>
      </c>
      <c r="F18" s="31" t="n"/>
      <c r="G18" s="29" t="n"/>
      <c r="H18" s="56" t="str">
        <f>IF(NOT(ISNUMBER(A18)),"",IF(COUNTIFS('交易记录'!$S$5:$S$304,A18,'交易记录'!$Y$5:$Y$304,"已平仓")=0,"",SUMIFS('交易记录'!$AG$5:$AG$304,'交易记录'!$S$5:$S$304,A18,'交易记录'!$Y$5:$Y$304,"已平仓")))</f>
        <v/>
      </c>
      <c r="I18" s="41" t="str">
        <f>IF(NOT(ISNUMBER(H18)),"",IF(H18&lt;=-'参数'!$C$8,"触及停手线",""))</f>
        <v/>
      </c>
      <c r="J18" s="31" t="n"/>
      <c r="K18" s="31" t="n"/>
    </row>
    <row r="19">
      <c r="A19" s="30" t="n"/>
      <c r="B19" s="41" t="str">
        <f>IF(ISNUMBER(A19),"周"&amp;CHOOSE(WEEKDAY(A19,2),"一","二","三","四","五","六","日"),"")</f>
        <v/>
      </c>
      <c r="C19" s="32" t="n"/>
      <c r="D19" s="29" t="n"/>
      <c r="E19" s="55" t="str">
        <f>IF(ISNUMBER(A19),COUNTIFS('交易记录'!$B$5:$B$304,A19,'交易记录'!$Q$5:$Q$304,"已执行"),"")</f>
        <v/>
      </c>
      <c r="F19" s="31" t="n"/>
      <c r="G19" s="29" t="n"/>
      <c r="H19" s="56" t="str">
        <f>IF(NOT(ISNUMBER(A19)),"",IF(COUNTIFS('交易记录'!$S$5:$S$304,A19,'交易记录'!$Y$5:$Y$304,"已平仓")=0,"",SUMIFS('交易记录'!$AG$5:$AG$304,'交易记录'!$S$5:$S$304,A19,'交易记录'!$Y$5:$Y$304,"已平仓")))</f>
        <v/>
      </c>
      <c r="I19" s="41" t="str">
        <f>IF(NOT(ISNUMBER(H19)),"",IF(H19&lt;=-'参数'!$C$8,"触及停手线",""))</f>
        <v/>
      </c>
      <c r="J19" s="31" t="n"/>
      <c r="K19" s="31" t="n"/>
    </row>
    <row r="20">
      <c r="A20" s="30" t="n"/>
      <c r="B20" s="41" t="str">
        <f>IF(ISNUMBER(A20),"周"&amp;CHOOSE(WEEKDAY(A20,2),"一","二","三","四","五","六","日"),"")</f>
        <v/>
      </c>
      <c r="C20" s="32" t="n"/>
      <c r="D20" s="29" t="n"/>
      <c r="E20" s="55" t="str">
        <f>IF(ISNUMBER(A20),COUNTIFS('交易记录'!$B$5:$B$304,A20,'交易记录'!$Q$5:$Q$304,"已执行"),"")</f>
        <v/>
      </c>
      <c r="F20" s="31" t="n"/>
      <c r="G20" s="29" t="n"/>
      <c r="H20" s="56" t="str">
        <f>IF(NOT(ISNUMBER(A20)),"",IF(COUNTIFS('交易记录'!$S$5:$S$304,A20,'交易记录'!$Y$5:$Y$304,"已平仓")=0,"",SUMIFS('交易记录'!$AG$5:$AG$304,'交易记录'!$S$5:$S$304,A20,'交易记录'!$Y$5:$Y$304,"已平仓")))</f>
        <v/>
      </c>
      <c r="I20" s="41" t="str">
        <f>IF(NOT(ISNUMBER(H20)),"",IF(H20&lt;=-'参数'!$C$8,"触及停手线",""))</f>
        <v/>
      </c>
      <c r="J20" s="31" t="n"/>
      <c r="K20" s="31" t="n"/>
    </row>
    <row r="21">
      <c r="A21" s="30" t="n"/>
      <c r="B21" s="41" t="str">
        <f>IF(ISNUMBER(A21),"周"&amp;CHOOSE(WEEKDAY(A21,2),"一","二","三","四","五","六","日"),"")</f>
        <v/>
      </c>
      <c r="C21" s="32" t="n"/>
      <c r="D21" s="29" t="n"/>
      <c r="E21" s="55" t="str">
        <f>IF(ISNUMBER(A21),COUNTIFS('交易记录'!$B$5:$B$304,A21,'交易记录'!$Q$5:$Q$304,"已执行"),"")</f>
        <v/>
      </c>
      <c r="F21" s="31" t="n"/>
      <c r="G21" s="29" t="n"/>
      <c r="H21" s="56" t="str">
        <f>IF(NOT(ISNUMBER(A21)),"",IF(COUNTIFS('交易记录'!$S$5:$S$304,A21,'交易记录'!$Y$5:$Y$304,"已平仓")=0,"",SUMIFS('交易记录'!$AG$5:$AG$304,'交易记录'!$S$5:$S$304,A21,'交易记录'!$Y$5:$Y$304,"已平仓")))</f>
        <v/>
      </c>
      <c r="I21" s="41" t="str">
        <f>IF(NOT(ISNUMBER(H21)),"",IF(H21&lt;=-'参数'!$C$8,"触及停手线",""))</f>
        <v/>
      </c>
      <c r="J21" s="31" t="n"/>
      <c r="K21" s="31" t="n"/>
    </row>
    <row r="22">
      <c r="A22" s="30" t="n"/>
      <c r="B22" s="41" t="str">
        <f>IF(ISNUMBER(A22),"周"&amp;CHOOSE(WEEKDAY(A22,2),"一","二","三","四","五","六","日"),"")</f>
        <v/>
      </c>
      <c r="C22" s="32" t="n"/>
      <c r="D22" s="29" t="n"/>
      <c r="E22" s="55" t="str">
        <f>IF(ISNUMBER(A22),COUNTIFS('交易记录'!$B$5:$B$304,A22,'交易记录'!$Q$5:$Q$304,"已执行"),"")</f>
        <v/>
      </c>
      <c r="F22" s="31" t="n"/>
      <c r="G22" s="29" t="n"/>
      <c r="H22" s="56" t="str">
        <f>IF(NOT(ISNUMBER(A22)),"",IF(COUNTIFS('交易记录'!$S$5:$S$304,A22,'交易记录'!$Y$5:$Y$304,"已平仓")=0,"",SUMIFS('交易记录'!$AG$5:$AG$304,'交易记录'!$S$5:$S$304,A22,'交易记录'!$Y$5:$Y$304,"已平仓")))</f>
        <v/>
      </c>
      <c r="I22" s="41" t="str">
        <f>IF(NOT(ISNUMBER(H22)),"",IF(H22&lt;=-'参数'!$C$8,"触及停手线",""))</f>
        <v/>
      </c>
      <c r="J22" s="31" t="n"/>
      <c r="K22" s="31" t="n"/>
    </row>
    <row r="23">
      <c r="A23" s="30" t="n"/>
      <c r="B23" s="41" t="str">
        <f>IF(ISNUMBER(A23),"周"&amp;CHOOSE(WEEKDAY(A23,2),"一","二","三","四","五","六","日"),"")</f>
        <v/>
      </c>
      <c r="C23" s="32" t="n"/>
      <c r="D23" s="29" t="n"/>
      <c r="E23" s="55" t="str">
        <f>IF(ISNUMBER(A23),COUNTIFS('交易记录'!$B$5:$B$304,A23,'交易记录'!$Q$5:$Q$304,"已执行"),"")</f>
        <v/>
      </c>
      <c r="F23" s="31" t="n"/>
      <c r="G23" s="29" t="n"/>
      <c r="H23" s="56" t="str">
        <f>IF(NOT(ISNUMBER(A23)),"",IF(COUNTIFS('交易记录'!$S$5:$S$304,A23,'交易记录'!$Y$5:$Y$304,"已平仓")=0,"",SUMIFS('交易记录'!$AG$5:$AG$304,'交易记录'!$S$5:$S$304,A23,'交易记录'!$Y$5:$Y$304,"已平仓")))</f>
        <v/>
      </c>
      <c r="I23" s="41" t="str">
        <f>IF(NOT(ISNUMBER(H23)),"",IF(H23&lt;=-'参数'!$C$8,"触及停手线",""))</f>
        <v/>
      </c>
      <c r="J23" s="31" t="n"/>
      <c r="K23" s="31" t="n"/>
    </row>
    <row r="24">
      <c r="A24" s="30" t="n"/>
      <c r="B24" s="41" t="str">
        <f>IF(ISNUMBER(A24),"周"&amp;CHOOSE(WEEKDAY(A24,2),"一","二","三","四","五","六","日"),"")</f>
        <v/>
      </c>
      <c r="C24" s="32" t="n"/>
      <c r="D24" s="29" t="n"/>
      <c r="E24" s="55" t="str">
        <f>IF(ISNUMBER(A24),COUNTIFS('交易记录'!$B$5:$B$304,A24,'交易记录'!$Q$5:$Q$304,"已执行"),"")</f>
        <v/>
      </c>
      <c r="F24" s="31" t="n"/>
      <c r="G24" s="29" t="n"/>
      <c r="H24" s="56" t="str">
        <f>IF(NOT(ISNUMBER(A24)),"",IF(COUNTIFS('交易记录'!$S$5:$S$304,A24,'交易记录'!$Y$5:$Y$304,"已平仓")=0,"",SUMIFS('交易记录'!$AG$5:$AG$304,'交易记录'!$S$5:$S$304,A24,'交易记录'!$Y$5:$Y$304,"已平仓")))</f>
        <v/>
      </c>
      <c r="I24" s="41" t="str">
        <f>IF(NOT(ISNUMBER(H24)),"",IF(H24&lt;=-'参数'!$C$8,"触及停手线",""))</f>
        <v/>
      </c>
      <c r="J24" s="31" t="n"/>
      <c r="K24" s="31" t="n"/>
    </row>
    <row r="25">
      <c r="A25" s="30" t="n"/>
      <c r="B25" s="41" t="str">
        <f>IF(ISNUMBER(A25),"周"&amp;CHOOSE(WEEKDAY(A25,2),"一","二","三","四","五","六","日"),"")</f>
        <v/>
      </c>
      <c r="C25" s="32" t="n"/>
      <c r="D25" s="29" t="n"/>
      <c r="E25" s="55" t="str">
        <f>IF(ISNUMBER(A25),COUNTIFS('交易记录'!$B$5:$B$304,A25,'交易记录'!$Q$5:$Q$304,"已执行"),"")</f>
        <v/>
      </c>
      <c r="F25" s="31" t="n"/>
      <c r="G25" s="29" t="n"/>
      <c r="H25" s="56" t="str">
        <f>IF(NOT(ISNUMBER(A25)),"",IF(COUNTIFS('交易记录'!$S$5:$S$304,A25,'交易记录'!$Y$5:$Y$304,"已平仓")=0,"",SUMIFS('交易记录'!$AG$5:$AG$304,'交易记录'!$S$5:$S$304,A25,'交易记录'!$Y$5:$Y$304,"已平仓")))</f>
        <v/>
      </c>
      <c r="I25" s="41" t="str">
        <f>IF(NOT(ISNUMBER(H25)),"",IF(H25&lt;=-'参数'!$C$8,"触及停手线",""))</f>
        <v/>
      </c>
      <c r="J25" s="31" t="n"/>
      <c r="K25" s="31" t="n"/>
    </row>
    <row r="26">
      <c r="A26" s="30" t="n"/>
      <c r="B26" s="41" t="str">
        <f>IF(ISNUMBER(A26),"周"&amp;CHOOSE(WEEKDAY(A26,2),"一","二","三","四","五","六","日"),"")</f>
        <v/>
      </c>
      <c r="C26" s="32" t="n"/>
      <c r="D26" s="29" t="n"/>
      <c r="E26" s="55" t="str">
        <f>IF(ISNUMBER(A26),COUNTIFS('交易记录'!$B$5:$B$304,A26,'交易记录'!$Q$5:$Q$304,"已执行"),"")</f>
        <v/>
      </c>
      <c r="F26" s="31" t="n"/>
      <c r="G26" s="29" t="n"/>
      <c r="H26" s="56" t="str">
        <f>IF(NOT(ISNUMBER(A26)),"",IF(COUNTIFS('交易记录'!$S$5:$S$304,A26,'交易记录'!$Y$5:$Y$304,"已平仓")=0,"",SUMIFS('交易记录'!$AG$5:$AG$304,'交易记录'!$S$5:$S$304,A26,'交易记录'!$Y$5:$Y$304,"已平仓")))</f>
        <v/>
      </c>
      <c r="I26" s="41" t="str">
        <f>IF(NOT(ISNUMBER(H26)),"",IF(H26&lt;=-'参数'!$C$8,"触及停手线",""))</f>
        <v/>
      </c>
      <c r="J26" s="31" t="n"/>
      <c r="K26" s="31" t="n"/>
    </row>
    <row r="27">
      <c r="A27" s="30" t="n"/>
      <c r="B27" s="41" t="str">
        <f>IF(ISNUMBER(A27),"周"&amp;CHOOSE(WEEKDAY(A27,2),"一","二","三","四","五","六","日"),"")</f>
        <v/>
      </c>
      <c r="C27" s="32" t="n"/>
      <c r="D27" s="29" t="n"/>
      <c r="E27" s="55" t="str">
        <f>IF(ISNUMBER(A27),COUNTIFS('交易记录'!$B$5:$B$304,A27,'交易记录'!$Q$5:$Q$304,"已执行"),"")</f>
        <v/>
      </c>
      <c r="F27" s="31" t="n"/>
      <c r="G27" s="29" t="n"/>
      <c r="H27" s="56" t="str">
        <f>IF(NOT(ISNUMBER(A27)),"",IF(COUNTIFS('交易记录'!$S$5:$S$304,A27,'交易记录'!$Y$5:$Y$304,"已平仓")=0,"",SUMIFS('交易记录'!$AG$5:$AG$304,'交易记录'!$S$5:$S$304,A27,'交易记录'!$Y$5:$Y$304,"已平仓")))</f>
        <v/>
      </c>
      <c r="I27" s="41" t="str">
        <f>IF(NOT(ISNUMBER(H27)),"",IF(H27&lt;=-'参数'!$C$8,"触及停手线",""))</f>
        <v/>
      </c>
      <c r="J27" s="31" t="n"/>
      <c r="K27" s="31" t="n"/>
    </row>
    <row r="28">
      <c r="A28" s="30" t="n"/>
      <c r="B28" s="41" t="str">
        <f>IF(ISNUMBER(A28),"周"&amp;CHOOSE(WEEKDAY(A28,2),"一","二","三","四","五","六","日"),"")</f>
        <v/>
      </c>
      <c r="C28" s="32" t="n"/>
      <c r="D28" s="29" t="n"/>
      <c r="E28" s="55" t="str">
        <f>IF(ISNUMBER(A28),COUNTIFS('交易记录'!$B$5:$B$304,A28,'交易记录'!$Q$5:$Q$304,"已执行"),"")</f>
        <v/>
      </c>
      <c r="F28" s="31" t="n"/>
      <c r="G28" s="29" t="n"/>
      <c r="H28" s="56" t="str">
        <f>IF(NOT(ISNUMBER(A28)),"",IF(COUNTIFS('交易记录'!$S$5:$S$304,A28,'交易记录'!$Y$5:$Y$304,"已平仓")=0,"",SUMIFS('交易记录'!$AG$5:$AG$304,'交易记录'!$S$5:$S$304,A28,'交易记录'!$Y$5:$Y$304,"已平仓")))</f>
        <v/>
      </c>
      <c r="I28" s="41" t="str">
        <f>IF(NOT(ISNUMBER(H28)),"",IF(H28&lt;=-'参数'!$C$8,"触及停手线",""))</f>
        <v/>
      </c>
      <c r="J28" s="31" t="n"/>
      <c r="K28" s="31" t="n"/>
    </row>
    <row r="29">
      <c r="A29" s="30" t="n"/>
      <c r="B29" s="41" t="str">
        <f>IF(ISNUMBER(A29),"周"&amp;CHOOSE(WEEKDAY(A29,2),"一","二","三","四","五","六","日"),"")</f>
        <v/>
      </c>
      <c r="C29" s="32" t="n"/>
      <c r="D29" s="29" t="n"/>
      <c r="E29" s="55" t="str">
        <f>IF(ISNUMBER(A29),COUNTIFS('交易记录'!$B$5:$B$304,A29,'交易记录'!$Q$5:$Q$304,"已执行"),"")</f>
        <v/>
      </c>
      <c r="F29" s="31" t="n"/>
      <c r="G29" s="29" t="n"/>
      <c r="H29" s="56" t="str">
        <f>IF(NOT(ISNUMBER(A29)),"",IF(COUNTIFS('交易记录'!$S$5:$S$304,A29,'交易记录'!$Y$5:$Y$304,"已平仓")=0,"",SUMIFS('交易记录'!$AG$5:$AG$304,'交易记录'!$S$5:$S$304,A29,'交易记录'!$Y$5:$Y$304,"已平仓")))</f>
        <v/>
      </c>
      <c r="I29" s="41" t="str">
        <f>IF(NOT(ISNUMBER(H29)),"",IF(H29&lt;=-'参数'!$C$8,"触及停手线",""))</f>
        <v/>
      </c>
      <c r="J29" s="31" t="n"/>
      <c r="K29" s="31" t="n"/>
    </row>
    <row r="30">
      <c r="A30" s="30" t="n"/>
      <c r="B30" s="41" t="str">
        <f>IF(ISNUMBER(A30),"周"&amp;CHOOSE(WEEKDAY(A30,2),"一","二","三","四","五","六","日"),"")</f>
        <v/>
      </c>
      <c r="C30" s="32" t="n"/>
      <c r="D30" s="29" t="n"/>
      <c r="E30" s="55" t="str">
        <f>IF(ISNUMBER(A30),COUNTIFS('交易记录'!$B$5:$B$304,A30,'交易记录'!$Q$5:$Q$304,"已执行"),"")</f>
        <v/>
      </c>
      <c r="F30" s="31" t="n"/>
      <c r="G30" s="29" t="n"/>
      <c r="H30" s="56" t="str">
        <f>IF(NOT(ISNUMBER(A30)),"",IF(COUNTIFS('交易记录'!$S$5:$S$304,A30,'交易记录'!$Y$5:$Y$304,"已平仓")=0,"",SUMIFS('交易记录'!$AG$5:$AG$304,'交易记录'!$S$5:$S$304,A30,'交易记录'!$Y$5:$Y$304,"已平仓")))</f>
        <v/>
      </c>
      <c r="I30" s="41" t="str">
        <f>IF(NOT(ISNUMBER(H30)),"",IF(H30&lt;=-'参数'!$C$8,"触及停手线",""))</f>
        <v/>
      </c>
      <c r="J30" s="31" t="n"/>
      <c r="K30" s="31" t="n"/>
    </row>
    <row r="31">
      <c r="A31" s="30" t="n"/>
      <c r="B31" s="41" t="str">
        <f>IF(ISNUMBER(A31),"周"&amp;CHOOSE(WEEKDAY(A31,2),"一","二","三","四","五","六","日"),"")</f>
        <v/>
      </c>
      <c r="C31" s="32" t="n"/>
      <c r="D31" s="29" t="n"/>
      <c r="E31" s="55" t="str">
        <f>IF(ISNUMBER(A31),COUNTIFS('交易记录'!$B$5:$B$304,A31,'交易记录'!$Q$5:$Q$304,"已执行"),"")</f>
        <v/>
      </c>
      <c r="F31" s="31" t="n"/>
      <c r="G31" s="29" t="n"/>
      <c r="H31" s="56" t="str">
        <f>IF(NOT(ISNUMBER(A31)),"",IF(COUNTIFS('交易记录'!$S$5:$S$304,A31,'交易记录'!$Y$5:$Y$304,"已平仓")=0,"",SUMIFS('交易记录'!$AG$5:$AG$304,'交易记录'!$S$5:$S$304,A31,'交易记录'!$Y$5:$Y$304,"已平仓")))</f>
        <v/>
      </c>
      <c r="I31" s="41" t="str">
        <f>IF(NOT(ISNUMBER(H31)),"",IF(H31&lt;=-'参数'!$C$8,"触及停手线",""))</f>
        <v/>
      </c>
      <c r="J31" s="31" t="n"/>
      <c r="K31" s="31" t="n"/>
    </row>
    <row r="32">
      <c r="A32" s="30" t="n"/>
      <c r="B32" s="41" t="str">
        <f>IF(ISNUMBER(A32),"周"&amp;CHOOSE(WEEKDAY(A32,2),"一","二","三","四","五","六","日"),"")</f>
        <v/>
      </c>
      <c r="C32" s="32" t="n"/>
      <c r="D32" s="29" t="n"/>
      <c r="E32" s="55" t="str">
        <f>IF(ISNUMBER(A32),COUNTIFS('交易记录'!$B$5:$B$304,A32,'交易记录'!$Q$5:$Q$304,"已执行"),"")</f>
        <v/>
      </c>
      <c r="F32" s="31" t="n"/>
      <c r="G32" s="29" t="n"/>
      <c r="H32" s="56" t="str">
        <f>IF(NOT(ISNUMBER(A32)),"",IF(COUNTIFS('交易记录'!$S$5:$S$304,A32,'交易记录'!$Y$5:$Y$304,"已平仓")=0,"",SUMIFS('交易记录'!$AG$5:$AG$304,'交易记录'!$S$5:$S$304,A32,'交易记录'!$Y$5:$Y$304,"已平仓")))</f>
        <v/>
      </c>
      <c r="I32" s="41" t="str">
        <f>IF(NOT(ISNUMBER(H32)),"",IF(H32&lt;=-'参数'!$C$8,"触及停手线",""))</f>
        <v/>
      </c>
      <c r="J32" s="31" t="n"/>
      <c r="K32" s="31" t="n"/>
    </row>
    <row r="33">
      <c r="A33" s="30" t="n"/>
      <c r="B33" s="41" t="str">
        <f>IF(ISNUMBER(A33),"周"&amp;CHOOSE(WEEKDAY(A33,2),"一","二","三","四","五","六","日"),"")</f>
        <v/>
      </c>
      <c r="C33" s="32" t="n"/>
      <c r="D33" s="29" t="n"/>
      <c r="E33" s="55" t="str">
        <f>IF(ISNUMBER(A33),COUNTIFS('交易记录'!$B$5:$B$304,A33,'交易记录'!$Q$5:$Q$304,"已执行"),"")</f>
        <v/>
      </c>
      <c r="F33" s="31" t="n"/>
      <c r="G33" s="29" t="n"/>
      <c r="H33" s="56" t="str">
        <f>IF(NOT(ISNUMBER(A33)),"",IF(COUNTIFS('交易记录'!$S$5:$S$304,A33,'交易记录'!$Y$5:$Y$304,"已平仓")=0,"",SUMIFS('交易记录'!$AG$5:$AG$304,'交易记录'!$S$5:$S$304,A33,'交易记录'!$Y$5:$Y$304,"已平仓")))</f>
        <v/>
      </c>
      <c r="I33" s="41" t="str">
        <f>IF(NOT(ISNUMBER(H33)),"",IF(H33&lt;=-'参数'!$C$8,"触及停手线",""))</f>
        <v/>
      </c>
      <c r="J33" s="31" t="n"/>
      <c r="K33" s="31" t="n"/>
    </row>
    <row r="34">
      <c r="A34" s="30" t="n"/>
      <c r="B34" s="41" t="str">
        <f>IF(ISNUMBER(A34),"周"&amp;CHOOSE(WEEKDAY(A34,2),"一","二","三","四","五","六","日"),"")</f>
        <v/>
      </c>
      <c r="C34" s="32" t="n"/>
      <c r="D34" s="29" t="n"/>
      <c r="E34" s="55" t="str">
        <f>IF(ISNUMBER(A34),COUNTIFS('交易记录'!$B$5:$B$304,A34,'交易记录'!$Q$5:$Q$304,"已执行"),"")</f>
        <v/>
      </c>
      <c r="F34" s="31" t="n"/>
      <c r="G34" s="29" t="n"/>
      <c r="H34" s="56" t="str">
        <f>IF(NOT(ISNUMBER(A34)),"",IF(COUNTIFS('交易记录'!$S$5:$S$304,A34,'交易记录'!$Y$5:$Y$304,"已平仓")=0,"",SUMIFS('交易记录'!$AG$5:$AG$304,'交易记录'!$S$5:$S$304,A34,'交易记录'!$Y$5:$Y$304,"已平仓")))</f>
        <v/>
      </c>
      <c r="I34" s="41" t="str">
        <f>IF(NOT(ISNUMBER(H34)),"",IF(H34&lt;=-'参数'!$C$8,"触及停手线",""))</f>
        <v/>
      </c>
      <c r="J34" s="31" t="n"/>
      <c r="K34" s="31" t="n"/>
    </row>
    <row r="35">
      <c r="A35" s="30" t="n"/>
      <c r="B35" s="41" t="str">
        <f>IF(ISNUMBER(A35),"周"&amp;CHOOSE(WEEKDAY(A35,2),"一","二","三","四","五","六","日"),"")</f>
        <v/>
      </c>
      <c r="C35" s="32" t="n"/>
      <c r="D35" s="29" t="n"/>
      <c r="E35" s="55" t="str">
        <f>IF(ISNUMBER(A35),COUNTIFS('交易记录'!$B$5:$B$304,A35,'交易记录'!$Q$5:$Q$304,"已执行"),"")</f>
        <v/>
      </c>
      <c r="F35" s="31" t="n"/>
      <c r="G35" s="29" t="n"/>
      <c r="H35" s="56" t="str">
        <f>IF(NOT(ISNUMBER(A35)),"",IF(COUNTIFS('交易记录'!$S$5:$S$304,A35,'交易记录'!$Y$5:$Y$304,"已平仓")=0,"",SUMIFS('交易记录'!$AG$5:$AG$304,'交易记录'!$S$5:$S$304,A35,'交易记录'!$Y$5:$Y$304,"已平仓")))</f>
        <v/>
      </c>
      <c r="I35" s="41" t="str">
        <f>IF(NOT(ISNUMBER(H35)),"",IF(H35&lt;=-'参数'!$C$8,"触及停手线",""))</f>
        <v/>
      </c>
      <c r="J35" s="31" t="n"/>
      <c r="K35" s="31" t="n"/>
    </row>
    <row r="36">
      <c r="A36" s="30" t="n"/>
      <c r="B36" s="41" t="str">
        <f>IF(ISNUMBER(A36),"周"&amp;CHOOSE(WEEKDAY(A36,2),"一","二","三","四","五","六","日"),"")</f>
        <v/>
      </c>
      <c r="C36" s="32" t="n"/>
      <c r="D36" s="29" t="n"/>
      <c r="E36" s="55" t="str">
        <f>IF(ISNUMBER(A36),COUNTIFS('交易记录'!$B$5:$B$304,A36,'交易记录'!$Q$5:$Q$304,"已执行"),"")</f>
        <v/>
      </c>
      <c r="F36" s="31" t="n"/>
      <c r="G36" s="29" t="n"/>
      <c r="H36" s="56" t="str">
        <f>IF(NOT(ISNUMBER(A36)),"",IF(COUNTIFS('交易记录'!$S$5:$S$304,A36,'交易记录'!$Y$5:$Y$304,"已平仓")=0,"",SUMIFS('交易记录'!$AG$5:$AG$304,'交易记录'!$S$5:$S$304,A36,'交易记录'!$Y$5:$Y$304,"已平仓")))</f>
        <v/>
      </c>
      <c r="I36" s="41" t="str">
        <f>IF(NOT(ISNUMBER(H36)),"",IF(H36&lt;=-'参数'!$C$8,"触及停手线",""))</f>
        <v/>
      </c>
      <c r="J36" s="31" t="n"/>
      <c r="K36" s="31" t="n"/>
    </row>
    <row r="37">
      <c r="A37" s="30" t="n"/>
      <c r="B37" s="41" t="str">
        <f>IF(ISNUMBER(A37),"周"&amp;CHOOSE(WEEKDAY(A37,2),"一","二","三","四","五","六","日"),"")</f>
        <v/>
      </c>
      <c r="C37" s="32" t="n"/>
      <c r="D37" s="29" t="n"/>
      <c r="E37" s="55" t="str">
        <f>IF(ISNUMBER(A37),COUNTIFS('交易记录'!$B$5:$B$304,A37,'交易记录'!$Q$5:$Q$304,"已执行"),"")</f>
        <v/>
      </c>
      <c r="F37" s="31" t="n"/>
      <c r="G37" s="29" t="n"/>
      <c r="H37" s="56" t="str">
        <f>IF(NOT(ISNUMBER(A37)),"",IF(COUNTIFS('交易记录'!$S$5:$S$304,A37,'交易记录'!$Y$5:$Y$304,"已平仓")=0,"",SUMIFS('交易记录'!$AG$5:$AG$304,'交易记录'!$S$5:$S$304,A37,'交易记录'!$Y$5:$Y$304,"已平仓")))</f>
        <v/>
      </c>
      <c r="I37" s="41" t="str">
        <f>IF(NOT(ISNUMBER(H37)),"",IF(H37&lt;=-'参数'!$C$8,"触及停手线",""))</f>
        <v/>
      </c>
      <c r="J37" s="31" t="n"/>
      <c r="K37" s="31" t="n"/>
    </row>
    <row r="38">
      <c r="A38" s="30" t="n"/>
      <c r="B38" s="41" t="str">
        <f>IF(ISNUMBER(A38),"周"&amp;CHOOSE(WEEKDAY(A38,2),"一","二","三","四","五","六","日"),"")</f>
        <v/>
      </c>
      <c r="C38" s="32" t="n"/>
      <c r="D38" s="29" t="n"/>
      <c r="E38" s="55" t="str">
        <f>IF(ISNUMBER(A38),COUNTIFS('交易记录'!$B$5:$B$304,A38,'交易记录'!$Q$5:$Q$304,"已执行"),"")</f>
        <v/>
      </c>
      <c r="F38" s="31" t="n"/>
      <c r="G38" s="29" t="n"/>
      <c r="H38" s="56" t="str">
        <f>IF(NOT(ISNUMBER(A38)),"",IF(COUNTIFS('交易记录'!$S$5:$S$304,A38,'交易记录'!$Y$5:$Y$304,"已平仓")=0,"",SUMIFS('交易记录'!$AG$5:$AG$304,'交易记录'!$S$5:$S$304,A38,'交易记录'!$Y$5:$Y$304,"已平仓")))</f>
        <v/>
      </c>
      <c r="I38" s="41" t="str">
        <f>IF(NOT(ISNUMBER(H38)),"",IF(H38&lt;=-'参数'!$C$8,"触及停手线",""))</f>
        <v/>
      </c>
      <c r="J38" s="31" t="n"/>
      <c r="K38" s="31" t="n"/>
    </row>
    <row r="39">
      <c r="A39" s="30" t="n"/>
      <c r="B39" s="41" t="str">
        <f>IF(ISNUMBER(A39),"周"&amp;CHOOSE(WEEKDAY(A39,2),"一","二","三","四","五","六","日"),"")</f>
        <v/>
      </c>
      <c r="C39" s="32" t="n"/>
      <c r="D39" s="29" t="n"/>
      <c r="E39" s="55" t="str">
        <f>IF(ISNUMBER(A39),COUNTIFS('交易记录'!$B$5:$B$304,A39,'交易记录'!$Q$5:$Q$304,"已执行"),"")</f>
        <v/>
      </c>
      <c r="F39" s="31" t="n"/>
      <c r="G39" s="29" t="n"/>
      <c r="H39" s="56" t="str">
        <f>IF(NOT(ISNUMBER(A39)),"",IF(COUNTIFS('交易记录'!$S$5:$S$304,A39,'交易记录'!$Y$5:$Y$304,"已平仓")=0,"",SUMIFS('交易记录'!$AG$5:$AG$304,'交易记录'!$S$5:$S$304,A39,'交易记录'!$Y$5:$Y$304,"已平仓")))</f>
        <v/>
      </c>
      <c r="I39" s="41" t="str">
        <f>IF(NOT(ISNUMBER(H39)),"",IF(H39&lt;=-'参数'!$C$8,"触及停手线",""))</f>
        <v/>
      </c>
      <c r="J39" s="31" t="n"/>
      <c r="K39" s="31" t="n"/>
    </row>
    <row r="40">
      <c r="A40" s="30" t="n"/>
      <c r="B40" s="41" t="str">
        <f>IF(ISNUMBER(A40),"周"&amp;CHOOSE(WEEKDAY(A40,2),"一","二","三","四","五","六","日"),"")</f>
        <v/>
      </c>
      <c r="C40" s="32" t="n"/>
      <c r="D40" s="29" t="n"/>
      <c r="E40" s="55" t="str">
        <f>IF(ISNUMBER(A40),COUNTIFS('交易记录'!$B$5:$B$304,A40,'交易记录'!$Q$5:$Q$304,"已执行"),"")</f>
        <v/>
      </c>
      <c r="F40" s="31" t="n"/>
      <c r="G40" s="29" t="n"/>
      <c r="H40" s="56" t="str">
        <f>IF(NOT(ISNUMBER(A40)),"",IF(COUNTIFS('交易记录'!$S$5:$S$304,A40,'交易记录'!$Y$5:$Y$304,"已平仓")=0,"",SUMIFS('交易记录'!$AG$5:$AG$304,'交易记录'!$S$5:$S$304,A40,'交易记录'!$Y$5:$Y$304,"已平仓")))</f>
        <v/>
      </c>
      <c r="I40" s="41" t="str">
        <f>IF(NOT(ISNUMBER(H40)),"",IF(H40&lt;=-'参数'!$C$8,"触及停手线",""))</f>
        <v/>
      </c>
      <c r="J40" s="31" t="n"/>
      <c r="K40" s="31" t="n"/>
    </row>
    <row r="41">
      <c r="A41" s="30" t="n"/>
      <c r="B41" s="41" t="str">
        <f>IF(ISNUMBER(A41),"周"&amp;CHOOSE(WEEKDAY(A41,2),"一","二","三","四","五","六","日"),"")</f>
        <v/>
      </c>
      <c r="C41" s="32" t="n"/>
      <c r="D41" s="29" t="n"/>
      <c r="E41" s="55" t="str">
        <f>IF(ISNUMBER(A41),COUNTIFS('交易记录'!$B$5:$B$304,A41,'交易记录'!$Q$5:$Q$304,"已执行"),"")</f>
        <v/>
      </c>
      <c r="F41" s="31" t="n"/>
      <c r="G41" s="29" t="n"/>
      <c r="H41" s="56" t="str">
        <f>IF(NOT(ISNUMBER(A41)),"",IF(COUNTIFS('交易记录'!$S$5:$S$304,A41,'交易记录'!$Y$5:$Y$304,"已平仓")=0,"",SUMIFS('交易记录'!$AG$5:$AG$304,'交易记录'!$S$5:$S$304,A41,'交易记录'!$Y$5:$Y$304,"已平仓")))</f>
        <v/>
      </c>
      <c r="I41" s="41" t="str">
        <f>IF(NOT(ISNUMBER(H41)),"",IF(H41&lt;=-'参数'!$C$8,"触及停手线",""))</f>
        <v/>
      </c>
      <c r="J41" s="31" t="n"/>
      <c r="K41" s="31" t="n"/>
    </row>
    <row r="42">
      <c r="A42" s="30" t="n"/>
      <c r="B42" s="41" t="str">
        <f>IF(ISNUMBER(A42),"周"&amp;CHOOSE(WEEKDAY(A42,2),"一","二","三","四","五","六","日"),"")</f>
        <v/>
      </c>
      <c r="C42" s="32" t="n"/>
      <c r="D42" s="29" t="n"/>
      <c r="E42" s="55" t="str">
        <f>IF(ISNUMBER(A42),COUNTIFS('交易记录'!$B$5:$B$304,A42,'交易记录'!$Q$5:$Q$304,"已执行"),"")</f>
        <v/>
      </c>
      <c r="F42" s="31" t="n"/>
      <c r="G42" s="29" t="n"/>
      <c r="H42" s="56" t="str">
        <f>IF(NOT(ISNUMBER(A42)),"",IF(COUNTIFS('交易记录'!$S$5:$S$304,A42,'交易记录'!$Y$5:$Y$304,"已平仓")=0,"",SUMIFS('交易记录'!$AG$5:$AG$304,'交易记录'!$S$5:$S$304,A42,'交易记录'!$Y$5:$Y$304,"已平仓")))</f>
        <v/>
      </c>
      <c r="I42" s="41" t="str">
        <f>IF(NOT(ISNUMBER(H42)),"",IF(H42&lt;=-'参数'!$C$8,"触及停手线",""))</f>
        <v/>
      </c>
      <c r="J42" s="31" t="n"/>
      <c r="K42" s="31" t="n"/>
    </row>
    <row r="43">
      <c r="A43" s="30" t="n"/>
      <c r="B43" s="41" t="str">
        <f>IF(ISNUMBER(A43),"周"&amp;CHOOSE(WEEKDAY(A43,2),"一","二","三","四","五","六","日"),"")</f>
        <v/>
      </c>
      <c r="C43" s="32" t="n"/>
      <c r="D43" s="29" t="n"/>
      <c r="E43" s="55" t="str">
        <f>IF(ISNUMBER(A43),COUNTIFS('交易记录'!$B$5:$B$304,A43,'交易记录'!$Q$5:$Q$304,"已执行"),"")</f>
        <v/>
      </c>
      <c r="F43" s="31" t="n"/>
      <c r="G43" s="29" t="n"/>
      <c r="H43" s="56" t="str">
        <f>IF(NOT(ISNUMBER(A43)),"",IF(COUNTIFS('交易记录'!$S$5:$S$304,A43,'交易记录'!$Y$5:$Y$304,"已平仓")=0,"",SUMIFS('交易记录'!$AG$5:$AG$304,'交易记录'!$S$5:$S$304,A43,'交易记录'!$Y$5:$Y$304,"已平仓")))</f>
        <v/>
      </c>
      <c r="I43" s="41" t="str">
        <f>IF(NOT(ISNUMBER(H43)),"",IF(H43&lt;=-'参数'!$C$8,"触及停手线",""))</f>
        <v/>
      </c>
      <c r="J43" s="31" t="n"/>
      <c r="K43" s="31" t="n"/>
    </row>
    <row r="44">
      <c r="A44" s="30" t="n"/>
      <c r="B44" s="41" t="str">
        <f>IF(ISNUMBER(A44),"周"&amp;CHOOSE(WEEKDAY(A44,2),"一","二","三","四","五","六","日"),"")</f>
        <v/>
      </c>
      <c r="C44" s="32" t="n"/>
      <c r="D44" s="29" t="n"/>
      <c r="E44" s="55" t="str">
        <f>IF(ISNUMBER(A44),COUNTIFS('交易记录'!$B$5:$B$304,A44,'交易记录'!$Q$5:$Q$304,"已执行"),"")</f>
        <v/>
      </c>
      <c r="F44" s="31" t="n"/>
      <c r="G44" s="29" t="n"/>
      <c r="H44" s="56" t="str">
        <f>IF(NOT(ISNUMBER(A44)),"",IF(COUNTIFS('交易记录'!$S$5:$S$304,A44,'交易记录'!$Y$5:$Y$304,"已平仓")=0,"",SUMIFS('交易记录'!$AG$5:$AG$304,'交易记录'!$S$5:$S$304,A44,'交易记录'!$Y$5:$Y$304,"已平仓")))</f>
        <v/>
      </c>
      <c r="I44" s="41" t="str">
        <f>IF(NOT(ISNUMBER(H44)),"",IF(H44&lt;=-'参数'!$C$8,"触及停手线",""))</f>
        <v/>
      </c>
      <c r="J44" s="31" t="n"/>
      <c r="K44" s="31" t="n"/>
    </row>
    <row r="45">
      <c r="A45" s="30" t="n"/>
      <c r="B45" s="41" t="str">
        <f>IF(ISNUMBER(A45),"周"&amp;CHOOSE(WEEKDAY(A45,2),"一","二","三","四","五","六","日"),"")</f>
        <v/>
      </c>
      <c r="C45" s="32" t="n"/>
      <c r="D45" s="29" t="n"/>
      <c r="E45" s="55" t="str">
        <f>IF(ISNUMBER(A45),COUNTIFS('交易记录'!$B$5:$B$304,A45,'交易记录'!$Q$5:$Q$304,"已执行"),"")</f>
        <v/>
      </c>
      <c r="F45" s="31" t="n"/>
      <c r="G45" s="29" t="n"/>
      <c r="H45" s="56" t="str">
        <f>IF(NOT(ISNUMBER(A45)),"",IF(COUNTIFS('交易记录'!$S$5:$S$304,A45,'交易记录'!$Y$5:$Y$304,"已平仓")=0,"",SUMIFS('交易记录'!$AG$5:$AG$304,'交易记录'!$S$5:$S$304,A45,'交易记录'!$Y$5:$Y$304,"已平仓")))</f>
        <v/>
      </c>
      <c r="I45" s="41" t="str">
        <f>IF(NOT(ISNUMBER(H45)),"",IF(H45&lt;=-'参数'!$C$8,"触及停手线",""))</f>
        <v/>
      </c>
      <c r="J45" s="31" t="n"/>
      <c r="K45" s="31" t="n"/>
    </row>
    <row r="46">
      <c r="A46" s="30" t="n"/>
      <c r="B46" s="41" t="str">
        <f>IF(ISNUMBER(A46),"周"&amp;CHOOSE(WEEKDAY(A46,2),"一","二","三","四","五","六","日"),"")</f>
        <v/>
      </c>
      <c r="C46" s="32" t="n"/>
      <c r="D46" s="29" t="n"/>
      <c r="E46" s="55" t="str">
        <f>IF(ISNUMBER(A46),COUNTIFS('交易记录'!$B$5:$B$304,A46,'交易记录'!$Q$5:$Q$304,"已执行"),"")</f>
        <v/>
      </c>
      <c r="F46" s="31" t="n"/>
      <c r="G46" s="29" t="n"/>
      <c r="H46" s="56" t="str">
        <f>IF(NOT(ISNUMBER(A46)),"",IF(COUNTIFS('交易记录'!$S$5:$S$304,A46,'交易记录'!$Y$5:$Y$304,"已平仓")=0,"",SUMIFS('交易记录'!$AG$5:$AG$304,'交易记录'!$S$5:$S$304,A46,'交易记录'!$Y$5:$Y$304,"已平仓")))</f>
        <v/>
      </c>
      <c r="I46" s="41" t="str">
        <f>IF(NOT(ISNUMBER(H46)),"",IF(H46&lt;=-'参数'!$C$8,"触及停手线",""))</f>
        <v/>
      </c>
      <c r="J46" s="31" t="n"/>
      <c r="K46" s="31" t="n"/>
    </row>
    <row r="47">
      <c r="A47" s="30" t="n"/>
      <c r="B47" s="41" t="str">
        <f>IF(ISNUMBER(A47),"周"&amp;CHOOSE(WEEKDAY(A47,2),"一","二","三","四","五","六","日"),"")</f>
        <v/>
      </c>
      <c r="C47" s="32" t="n"/>
      <c r="D47" s="29" t="n"/>
      <c r="E47" s="55" t="str">
        <f>IF(ISNUMBER(A47),COUNTIFS('交易记录'!$B$5:$B$304,A47,'交易记录'!$Q$5:$Q$304,"已执行"),"")</f>
        <v/>
      </c>
      <c r="F47" s="31" t="n"/>
      <c r="G47" s="29" t="n"/>
      <c r="H47" s="56" t="str">
        <f>IF(NOT(ISNUMBER(A47)),"",IF(COUNTIFS('交易记录'!$S$5:$S$304,A47,'交易记录'!$Y$5:$Y$304,"已平仓")=0,"",SUMIFS('交易记录'!$AG$5:$AG$304,'交易记录'!$S$5:$S$304,A47,'交易记录'!$Y$5:$Y$304,"已平仓")))</f>
        <v/>
      </c>
      <c r="I47" s="41" t="str">
        <f>IF(NOT(ISNUMBER(H47)),"",IF(H47&lt;=-'参数'!$C$8,"触及停手线",""))</f>
        <v/>
      </c>
      <c r="J47" s="31" t="n"/>
      <c r="K47" s="31" t="n"/>
    </row>
    <row r="48">
      <c r="A48" s="30" t="n"/>
      <c r="B48" s="41" t="str">
        <f>IF(ISNUMBER(A48),"周"&amp;CHOOSE(WEEKDAY(A48,2),"一","二","三","四","五","六","日"),"")</f>
        <v/>
      </c>
      <c r="C48" s="32" t="n"/>
      <c r="D48" s="29" t="n"/>
      <c r="E48" s="55" t="str">
        <f>IF(ISNUMBER(A48),COUNTIFS('交易记录'!$B$5:$B$304,A48,'交易记录'!$Q$5:$Q$304,"已执行"),"")</f>
        <v/>
      </c>
      <c r="F48" s="31" t="n"/>
      <c r="G48" s="29" t="n"/>
      <c r="H48" s="56" t="str">
        <f>IF(NOT(ISNUMBER(A48)),"",IF(COUNTIFS('交易记录'!$S$5:$S$304,A48,'交易记录'!$Y$5:$Y$304,"已平仓")=0,"",SUMIFS('交易记录'!$AG$5:$AG$304,'交易记录'!$S$5:$S$304,A48,'交易记录'!$Y$5:$Y$304,"已平仓")))</f>
        <v/>
      </c>
      <c r="I48" s="41" t="str">
        <f>IF(NOT(ISNUMBER(H48)),"",IF(H48&lt;=-'参数'!$C$8,"触及停手线",""))</f>
        <v/>
      </c>
      <c r="J48" s="31" t="n"/>
      <c r="K48" s="31" t="n"/>
    </row>
    <row r="49">
      <c r="A49" s="30" t="n"/>
      <c r="B49" s="41" t="str">
        <f>IF(ISNUMBER(A49),"周"&amp;CHOOSE(WEEKDAY(A49,2),"一","二","三","四","五","六","日"),"")</f>
        <v/>
      </c>
      <c r="C49" s="32" t="n"/>
      <c r="D49" s="29" t="n"/>
      <c r="E49" s="55" t="str">
        <f>IF(ISNUMBER(A49),COUNTIFS('交易记录'!$B$5:$B$304,A49,'交易记录'!$Q$5:$Q$304,"已执行"),"")</f>
        <v/>
      </c>
      <c r="F49" s="31" t="n"/>
      <c r="G49" s="29" t="n"/>
      <c r="H49" s="56" t="str">
        <f>IF(NOT(ISNUMBER(A49)),"",IF(COUNTIFS('交易记录'!$S$5:$S$304,A49,'交易记录'!$Y$5:$Y$304,"已平仓")=0,"",SUMIFS('交易记录'!$AG$5:$AG$304,'交易记录'!$S$5:$S$304,A49,'交易记录'!$Y$5:$Y$304,"已平仓")))</f>
        <v/>
      </c>
      <c r="I49" s="41" t="str">
        <f>IF(NOT(ISNUMBER(H49)),"",IF(H49&lt;=-'参数'!$C$8,"触及停手线",""))</f>
        <v/>
      </c>
      <c r="J49" s="31" t="n"/>
      <c r="K49" s="31" t="n"/>
    </row>
    <row r="50">
      <c r="A50" s="30" t="n"/>
      <c r="B50" s="41" t="str">
        <f>IF(ISNUMBER(A50),"周"&amp;CHOOSE(WEEKDAY(A50,2),"一","二","三","四","五","六","日"),"")</f>
        <v/>
      </c>
      <c r="C50" s="32" t="n"/>
      <c r="D50" s="29" t="n"/>
      <c r="E50" s="55" t="str">
        <f>IF(ISNUMBER(A50),COUNTIFS('交易记录'!$B$5:$B$304,A50,'交易记录'!$Q$5:$Q$304,"已执行"),"")</f>
        <v/>
      </c>
      <c r="F50" s="31" t="n"/>
      <c r="G50" s="29" t="n"/>
      <c r="H50" s="56" t="str">
        <f>IF(NOT(ISNUMBER(A50)),"",IF(COUNTIFS('交易记录'!$S$5:$S$304,A50,'交易记录'!$Y$5:$Y$304,"已平仓")=0,"",SUMIFS('交易记录'!$AG$5:$AG$304,'交易记录'!$S$5:$S$304,A50,'交易记录'!$Y$5:$Y$304,"已平仓")))</f>
        <v/>
      </c>
      <c r="I50" s="41" t="str">
        <f>IF(NOT(ISNUMBER(H50)),"",IF(H50&lt;=-'参数'!$C$8,"触及停手线",""))</f>
        <v/>
      </c>
      <c r="J50" s="31" t="n"/>
      <c r="K50" s="31" t="n"/>
    </row>
    <row r="51">
      <c r="A51" s="30" t="n"/>
      <c r="B51" s="41" t="str">
        <f>IF(ISNUMBER(A51),"周"&amp;CHOOSE(WEEKDAY(A51,2),"一","二","三","四","五","六","日"),"")</f>
        <v/>
      </c>
      <c r="C51" s="32" t="n"/>
      <c r="D51" s="29" t="n"/>
      <c r="E51" s="55" t="str">
        <f>IF(ISNUMBER(A51),COUNTIFS('交易记录'!$B$5:$B$304,A51,'交易记录'!$Q$5:$Q$304,"已执行"),"")</f>
        <v/>
      </c>
      <c r="F51" s="31" t="n"/>
      <c r="G51" s="29" t="n"/>
      <c r="H51" s="56" t="str">
        <f>IF(NOT(ISNUMBER(A51)),"",IF(COUNTIFS('交易记录'!$S$5:$S$304,A51,'交易记录'!$Y$5:$Y$304,"已平仓")=0,"",SUMIFS('交易记录'!$AG$5:$AG$304,'交易记录'!$S$5:$S$304,A51,'交易记录'!$Y$5:$Y$304,"已平仓")))</f>
        <v/>
      </c>
      <c r="I51" s="41" t="str">
        <f>IF(NOT(ISNUMBER(H51)),"",IF(H51&lt;=-'参数'!$C$8,"触及停手线",""))</f>
        <v/>
      </c>
      <c r="J51" s="31" t="n"/>
      <c r="K51" s="31" t="n"/>
    </row>
    <row r="52">
      <c r="A52" s="30" t="n"/>
      <c r="B52" s="41" t="str">
        <f>IF(ISNUMBER(A52),"周"&amp;CHOOSE(WEEKDAY(A52,2),"一","二","三","四","五","六","日"),"")</f>
        <v/>
      </c>
      <c r="C52" s="32" t="n"/>
      <c r="D52" s="29" t="n"/>
      <c r="E52" s="55" t="str">
        <f>IF(ISNUMBER(A52),COUNTIFS('交易记录'!$B$5:$B$304,A52,'交易记录'!$Q$5:$Q$304,"已执行"),"")</f>
        <v/>
      </c>
      <c r="F52" s="31" t="n"/>
      <c r="G52" s="29" t="n"/>
      <c r="H52" s="56" t="str">
        <f>IF(NOT(ISNUMBER(A52)),"",IF(COUNTIFS('交易记录'!$S$5:$S$304,A52,'交易记录'!$Y$5:$Y$304,"已平仓")=0,"",SUMIFS('交易记录'!$AG$5:$AG$304,'交易记录'!$S$5:$S$304,A52,'交易记录'!$Y$5:$Y$304,"已平仓")))</f>
        <v/>
      </c>
      <c r="I52" s="41" t="str">
        <f>IF(NOT(ISNUMBER(H52)),"",IF(H52&lt;=-'参数'!$C$8,"触及停手线",""))</f>
        <v/>
      </c>
      <c r="J52" s="31" t="n"/>
      <c r="K52" s="31" t="n"/>
    </row>
    <row r="53">
      <c r="A53" s="30" t="n"/>
      <c r="B53" s="41" t="str">
        <f>IF(ISNUMBER(A53),"周"&amp;CHOOSE(WEEKDAY(A53,2),"一","二","三","四","五","六","日"),"")</f>
        <v/>
      </c>
      <c r="C53" s="32" t="n"/>
      <c r="D53" s="29" t="n"/>
      <c r="E53" s="55" t="str">
        <f>IF(ISNUMBER(A53),COUNTIFS('交易记录'!$B$5:$B$304,A53,'交易记录'!$Q$5:$Q$304,"已执行"),"")</f>
        <v/>
      </c>
      <c r="F53" s="31" t="n"/>
      <c r="G53" s="29" t="n"/>
      <c r="H53" s="56" t="str">
        <f>IF(NOT(ISNUMBER(A53)),"",IF(COUNTIFS('交易记录'!$S$5:$S$304,A53,'交易记录'!$Y$5:$Y$304,"已平仓")=0,"",SUMIFS('交易记录'!$AG$5:$AG$304,'交易记录'!$S$5:$S$304,A53,'交易记录'!$Y$5:$Y$304,"已平仓")))</f>
        <v/>
      </c>
      <c r="I53" s="41" t="str">
        <f>IF(NOT(ISNUMBER(H53)),"",IF(H53&lt;=-'参数'!$C$8,"触及停手线",""))</f>
        <v/>
      </c>
      <c r="J53" s="31" t="n"/>
      <c r="K53" s="31" t="n"/>
    </row>
    <row r="54">
      <c r="A54" s="30" t="n"/>
      <c r="B54" s="41" t="str">
        <f>IF(ISNUMBER(A54),"周"&amp;CHOOSE(WEEKDAY(A54,2),"一","二","三","四","五","六","日"),"")</f>
        <v/>
      </c>
      <c r="C54" s="32" t="n"/>
      <c r="D54" s="29" t="n"/>
      <c r="E54" s="55" t="str">
        <f>IF(ISNUMBER(A54),COUNTIFS('交易记录'!$B$5:$B$304,A54,'交易记录'!$Q$5:$Q$304,"已执行"),"")</f>
        <v/>
      </c>
      <c r="F54" s="31" t="n"/>
      <c r="G54" s="29" t="n"/>
      <c r="H54" s="56" t="str">
        <f>IF(NOT(ISNUMBER(A54)),"",IF(COUNTIFS('交易记录'!$S$5:$S$304,A54,'交易记录'!$Y$5:$Y$304,"已平仓")=0,"",SUMIFS('交易记录'!$AG$5:$AG$304,'交易记录'!$S$5:$S$304,A54,'交易记录'!$Y$5:$Y$304,"已平仓")))</f>
        <v/>
      </c>
      <c r="I54" s="41" t="str">
        <f>IF(NOT(ISNUMBER(H54)),"",IF(H54&lt;=-'参数'!$C$8,"触及停手线",""))</f>
        <v/>
      </c>
      <c r="J54" s="31" t="n"/>
      <c r="K54" s="31" t="n"/>
    </row>
    <row r="55">
      <c r="A55" s="30" t="n"/>
      <c r="B55" s="41" t="str">
        <f>IF(ISNUMBER(A55),"周"&amp;CHOOSE(WEEKDAY(A55,2),"一","二","三","四","五","六","日"),"")</f>
        <v/>
      </c>
      <c r="C55" s="32" t="n"/>
      <c r="D55" s="29" t="n"/>
      <c r="E55" s="55" t="str">
        <f>IF(ISNUMBER(A55),COUNTIFS('交易记录'!$B$5:$B$304,A55,'交易记录'!$Q$5:$Q$304,"已执行"),"")</f>
        <v/>
      </c>
      <c r="F55" s="31" t="n"/>
      <c r="G55" s="29" t="n"/>
      <c r="H55" s="56" t="str">
        <f>IF(NOT(ISNUMBER(A55)),"",IF(COUNTIFS('交易记录'!$S$5:$S$304,A55,'交易记录'!$Y$5:$Y$304,"已平仓")=0,"",SUMIFS('交易记录'!$AG$5:$AG$304,'交易记录'!$S$5:$S$304,A55,'交易记录'!$Y$5:$Y$304,"已平仓")))</f>
        <v/>
      </c>
      <c r="I55" s="41" t="str">
        <f>IF(NOT(ISNUMBER(H55)),"",IF(H55&lt;=-'参数'!$C$8,"触及停手线",""))</f>
        <v/>
      </c>
      <c r="J55" s="31" t="n"/>
      <c r="K55" s="31" t="n"/>
    </row>
    <row r="56">
      <c r="A56" s="30" t="n"/>
      <c r="B56" s="41" t="str">
        <f>IF(ISNUMBER(A56),"周"&amp;CHOOSE(WEEKDAY(A56,2),"一","二","三","四","五","六","日"),"")</f>
        <v/>
      </c>
      <c r="C56" s="32" t="n"/>
      <c r="D56" s="29" t="n"/>
      <c r="E56" s="55" t="str">
        <f>IF(ISNUMBER(A56),COUNTIFS('交易记录'!$B$5:$B$304,A56,'交易记录'!$Q$5:$Q$304,"已执行"),"")</f>
        <v/>
      </c>
      <c r="F56" s="31" t="n"/>
      <c r="G56" s="29" t="n"/>
      <c r="H56" s="56" t="str">
        <f>IF(NOT(ISNUMBER(A56)),"",IF(COUNTIFS('交易记录'!$S$5:$S$304,A56,'交易记录'!$Y$5:$Y$304,"已平仓")=0,"",SUMIFS('交易记录'!$AG$5:$AG$304,'交易记录'!$S$5:$S$304,A56,'交易记录'!$Y$5:$Y$304,"已平仓")))</f>
        <v/>
      </c>
      <c r="I56" s="41" t="str">
        <f>IF(NOT(ISNUMBER(H56)),"",IF(H56&lt;=-'参数'!$C$8,"触及停手线",""))</f>
        <v/>
      </c>
      <c r="J56" s="31" t="n"/>
      <c r="K56" s="31" t="n"/>
    </row>
    <row r="57">
      <c r="A57" s="30" t="n"/>
      <c r="B57" s="41" t="str">
        <f>IF(ISNUMBER(A57),"周"&amp;CHOOSE(WEEKDAY(A57,2),"一","二","三","四","五","六","日"),"")</f>
        <v/>
      </c>
      <c r="C57" s="32" t="n"/>
      <c r="D57" s="29" t="n"/>
      <c r="E57" s="55" t="str">
        <f>IF(ISNUMBER(A57),COUNTIFS('交易记录'!$B$5:$B$304,A57,'交易记录'!$Q$5:$Q$304,"已执行"),"")</f>
        <v/>
      </c>
      <c r="F57" s="31" t="n"/>
      <c r="G57" s="29" t="n"/>
      <c r="H57" s="56" t="str">
        <f>IF(NOT(ISNUMBER(A57)),"",IF(COUNTIFS('交易记录'!$S$5:$S$304,A57,'交易记录'!$Y$5:$Y$304,"已平仓")=0,"",SUMIFS('交易记录'!$AG$5:$AG$304,'交易记录'!$S$5:$S$304,A57,'交易记录'!$Y$5:$Y$304,"已平仓")))</f>
        <v/>
      </c>
      <c r="I57" s="41" t="str">
        <f>IF(NOT(ISNUMBER(H57)),"",IF(H57&lt;=-'参数'!$C$8,"触及停手线",""))</f>
        <v/>
      </c>
      <c r="J57" s="31" t="n"/>
      <c r="K57" s="31" t="n"/>
    </row>
    <row r="58">
      <c r="A58" s="30" t="n"/>
      <c r="B58" s="41" t="str">
        <f>IF(ISNUMBER(A58),"周"&amp;CHOOSE(WEEKDAY(A58,2),"一","二","三","四","五","六","日"),"")</f>
        <v/>
      </c>
      <c r="C58" s="32" t="n"/>
      <c r="D58" s="29" t="n"/>
      <c r="E58" s="55" t="str">
        <f>IF(ISNUMBER(A58),COUNTIFS('交易记录'!$B$5:$B$304,A58,'交易记录'!$Q$5:$Q$304,"已执行"),"")</f>
        <v/>
      </c>
      <c r="F58" s="31" t="n"/>
      <c r="G58" s="29" t="n"/>
      <c r="H58" s="56" t="str">
        <f>IF(NOT(ISNUMBER(A58)),"",IF(COUNTIFS('交易记录'!$S$5:$S$304,A58,'交易记录'!$Y$5:$Y$304,"已平仓")=0,"",SUMIFS('交易记录'!$AG$5:$AG$304,'交易记录'!$S$5:$S$304,A58,'交易记录'!$Y$5:$Y$304,"已平仓")))</f>
        <v/>
      </c>
      <c r="I58" s="41" t="str">
        <f>IF(NOT(ISNUMBER(H58)),"",IF(H58&lt;=-'参数'!$C$8,"触及停手线",""))</f>
        <v/>
      </c>
      <c r="J58" s="31" t="n"/>
      <c r="K58" s="31" t="n"/>
    </row>
    <row r="59">
      <c r="A59" s="30" t="n"/>
      <c r="B59" s="41" t="str">
        <f>IF(ISNUMBER(A59),"周"&amp;CHOOSE(WEEKDAY(A59,2),"一","二","三","四","五","六","日"),"")</f>
        <v/>
      </c>
      <c r="C59" s="32" t="n"/>
      <c r="D59" s="29" t="n"/>
      <c r="E59" s="55" t="str">
        <f>IF(ISNUMBER(A59),COUNTIFS('交易记录'!$B$5:$B$304,A59,'交易记录'!$Q$5:$Q$304,"已执行"),"")</f>
        <v/>
      </c>
      <c r="F59" s="31" t="n"/>
      <c r="G59" s="29" t="n"/>
      <c r="H59" s="56" t="str">
        <f>IF(NOT(ISNUMBER(A59)),"",IF(COUNTIFS('交易记录'!$S$5:$S$304,A59,'交易记录'!$Y$5:$Y$304,"已平仓")=0,"",SUMIFS('交易记录'!$AG$5:$AG$304,'交易记录'!$S$5:$S$304,A59,'交易记录'!$Y$5:$Y$304,"已平仓")))</f>
        <v/>
      </c>
      <c r="I59" s="41" t="str">
        <f>IF(NOT(ISNUMBER(H59)),"",IF(H59&lt;=-'参数'!$C$8,"触及停手线",""))</f>
        <v/>
      </c>
      <c r="J59" s="31" t="n"/>
      <c r="K59" s="31" t="n"/>
    </row>
    <row r="60">
      <c r="A60" s="30" t="n"/>
      <c r="B60" s="41" t="str">
        <f>IF(ISNUMBER(A60),"周"&amp;CHOOSE(WEEKDAY(A60,2),"一","二","三","四","五","六","日"),"")</f>
        <v/>
      </c>
      <c r="C60" s="32" t="n"/>
      <c r="D60" s="29" t="n"/>
      <c r="E60" s="55" t="str">
        <f>IF(ISNUMBER(A60),COUNTIFS('交易记录'!$B$5:$B$304,A60,'交易记录'!$Q$5:$Q$304,"已执行"),"")</f>
        <v/>
      </c>
      <c r="F60" s="31" t="n"/>
      <c r="G60" s="29" t="n"/>
      <c r="H60" s="56" t="str">
        <f>IF(NOT(ISNUMBER(A60)),"",IF(COUNTIFS('交易记录'!$S$5:$S$304,A60,'交易记录'!$Y$5:$Y$304,"已平仓")=0,"",SUMIFS('交易记录'!$AG$5:$AG$304,'交易记录'!$S$5:$S$304,A60,'交易记录'!$Y$5:$Y$304,"已平仓")))</f>
        <v/>
      </c>
      <c r="I60" s="41" t="str">
        <f>IF(NOT(ISNUMBER(H60)),"",IF(H60&lt;=-'参数'!$C$8,"触及停手线",""))</f>
        <v/>
      </c>
      <c r="J60" s="31" t="n"/>
      <c r="K60" s="31" t="n"/>
    </row>
    <row r="61">
      <c r="A61" s="30" t="n"/>
      <c r="B61" s="41" t="str">
        <f>IF(ISNUMBER(A61),"周"&amp;CHOOSE(WEEKDAY(A61,2),"一","二","三","四","五","六","日"),"")</f>
        <v/>
      </c>
      <c r="C61" s="32" t="n"/>
      <c r="D61" s="29" t="n"/>
      <c r="E61" s="55" t="str">
        <f>IF(ISNUMBER(A61),COUNTIFS('交易记录'!$B$5:$B$304,A61,'交易记录'!$Q$5:$Q$304,"已执行"),"")</f>
        <v/>
      </c>
      <c r="F61" s="31" t="n"/>
      <c r="G61" s="29" t="n"/>
      <c r="H61" s="56" t="str">
        <f>IF(NOT(ISNUMBER(A61)),"",IF(COUNTIFS('交易记录'!$S$5:$S$304,A61,'交易记录'!$Y$5:$Y$304,"已平仓")=0,"",SUMIFS('交易记录'!$AG$5:$AG$304,'交易记录'!$S$5:$S$304,A61,'交易记录'!$Y$5:$Y$304,"已平仓")))</f>
        <v/>
      </c>
      <c r="I61" s="41" t="str">
        <f>IF(NOT(ISNUMBER(H61)),"",IF(H61&lt;=-'参数'!$C$8,"触及停手线",""))</f>
        <v/>
      </c>
      <c r="J61" s="31" t="n"/>
      <c r="K61" s="31" t="n"/>
    </row>
    <row r="62">
      <c r="A62" s="30" t="n"/>
      <c r="B62" s="41" t="str">
        <f>IF(ISNUMBER(A62),"周"&amp;CHOOSE(WEEKDAY(A62,2),"一","二","三","四","五","六","日"),"")</f>
        <v/>
      </c>
      <c r="C62" s="32" t="n"/>
      <c r="D62" s="29" t="n"/>
      <c r="E62" s="55" t="str">
        <f>IF(ISNUMBER(A62),COUNTIFS('交易记录'!$B$5:$B$304,A62,'交易记录'!$Q$5:$Q$304,"已执行"),"")</f>
        <v/>
      </c>
      <c r="F62" s="31" t="n"/>
      <c r="G62" s="29" t="n"/>
      <c r="H62" s="56" t="str">
        <f>IF(NOT(ISNUMBER(A62)),"",IF(COUNTIFS('交易记录'!$S$5:$S$304,A62,'交易记录'!$Y$5:$Y$304,"已平仓")=0,"",SUMIFS('交易记录'!$AG$5:$AG$304,'交易记录'!$S$5:$S$304,A62,'交易记录'!$Y$5:$Y$304,"已平仓")))</f>
        <v/>
      </c>
      <c r="I62" s="41" t="str">
        <f>IF(NOT(ISNUMBER(H62)),"",IF(H62&lt;=-'参数'!$C$8,"触及停手线",""))</f>
        <v/>
      </c>
      <c r="J62" s="31" t="n"/>
      <c r="K62" s="31" t="n"/>
    </row>
    <row r="63">
      <c r="A63" s="30" t="n"/>
      <c r="B63" s="41" t="str">
        <f>IF(ISNUMBER(A63),"周"&amp;CHOOSE(WEEKDAY(A63,2),"一","二","三","四","五","六","日"),"")</f>
        <v/>
      </c>
      <c r="C63" s="32" t="n"/>
      <c r="D63" s="29" t="n"/>
      <c r="E63" s="55" t="str">
        <f>IF(ISNUMBER(A63),COUNTIFS('交易记录'!$B$5:$B$304,A63,'交易记录'!$Q$5:$Q$304,"已执行"),"")</f>
        <v/>
      </c>
      <c r="F63" s="31" t="n"/>
      <c r="G63" s="29" t="n"/>
      <c r="H63" s="56" t="str">
        <f>IF(NOT(ISNUMBER(A63)),"",IF(COUNTIFS('交易记录'!$S$5:$S$304,A63,'交易记录'!$Y$5:$Y$304,"已平仓")=0,"",SUMIFS('交易记录'!$AG$5:$AG$304,'交易记录'!$S$5:$S$304,A63,'交易记录'!$Y$5:$Y$304,"已平仓")))</f>
        <v/>
      </c>
      <c r="I63" s="41" t="str">
        <f>IF(NOT(ISNUMBER(H63)),"",IF(H63&lt;=-'参数'!$C$8,"触及停手线",""))</f>
        <v/>
      </c>
      <c r="J63" s="31" t="n"/>
      <c r="K63" s="31" t="n"/>
    </row>
    <row r="64">
      <c r="A64" s="30" t="n"/>
      <c r="B64" s="41" t="str">
        <f>IF(ISNUMBER(A64),"周"&amp;CHOOSE(WEEKDAY(A64,2),"一","二","三","四","五","六","日"),"")</f>
        <v/>
      </c>
      <c r="C64" s="32" t="n"/>
      <c r="D64" s="29" t="n"/>
      <c r="E64" s="55" t="str">
        <f>IF(ISNUMBER(A64),COUNTIFS('交易记录'!$B$5:$B$304,A64,'交易记录'!$Q$5:$Q$304,"已执行"),"")</f>
        <v/>
      </c>
      <c r="F64" s="31" t="n"/>
      <c r="G64" s="29" t="n"/>
      <c r="H64" s="56" t="str">
        <f>IF(NOT(ISNUMBER(A64)),"",IF(COUNTIFS('交易记录'!$S$5:$S$304,A64,'交易记录'!$Y$5:$Y$304,"已平仓")=0,"",SUMIFS('交易记录'!$AG$5:$AG$304,'交易记录'!$S$5:$S$304,A64,'交易记录'!$Y$5:$Y$304,"已平仓")))</f>
        <v/>
      </c>
      <c r="I64" s="41" t="str">
        <f>IF(NOT(ISNUMBER(H64)),"",IF(H64&lt;=-'参数'!$C$8,"触及停手线",""))</f>
        <v/>
      </c>
      <c r="J64" s="31" t="n"/>
      <c r="K64" s="31" t="n"/>
    </row>
    <row r="65">
      <c r="A65" s="30" t="n"/>
      <c r="B65" s="41" t="str">
        <f>IF(ISNUMBER(A65),"周"&amp;CHOOSE(WEEKDAY(A65,2),"一","二","三","四","五","六","日"),"")</f>
        <v/>
      </c>
      <c r="C65" s="32" t="n"/>
      <c r="D65" s="29" t="n"/>
      <c r="E65" s="55" t="str">
        <f>IF(ISNUMBER(A65),COUNTIFS('交易记录'!$B$5:$B$304,A65,'交易记录'!$Q$5:$Q$304,"已执行"),"")</f>
        <v/>
      </c>
      <c r="F65" s="31" t="n"/>
      <c r="G65" s="29" t="n"/>
      <c r="H65" s="56" t="str">
        <f>IF(NOT(ISNUMBER(A65)),"",IF(COUNTIFS('交易记录'!$S$5:$S$304,A65,'交易记录'!$Y$5:$Y$304,"已平仓")=0,"",SUMIFS('交易记录'!$AG$5:$AG$304,'交易记录'!$S$5:$S$304,A65,'交易记录'!$Y$5:$Y$304,"已平仓")))</f>
        <v/>
      </c>
      <c r="I65" s="41" t="str">
        <f>IF(NOT(ISNUMBER(H65)),"",IF(H65&lt;=-'参数'!$C$8,"触及停手线",""))</f>
        <v/>
      </c>
      <c r="J65" s="31" t="n"/>
      <c r="K65" s="31" t="n"/>
    </row>
    <row r="66">
      <c r="A66" s="30" t="n"/>
      <c r="B66" s="41" t="str">
        <f>IF(ISNUMBER(A66),"周"&amp;CHOOSE(WEEKDAY(A66,2),"一","二","三","四","五","六","日"),"")</f>
        <v/>
      </c>
      <c r="C66" s="32" t="n"/>
      <c r="D66" s="29" t="n"/>
      <c r="E66" s="55" t="str">
        <f>IF(ISNUMBER(A66),COUNTIFS('交易记录'!$B$5:$B$304,A66,'交易记录'!$Q$5:$Q$304,"已执行"),"")</f>
        <v/>
      </c>
      <c r="F66" s="31" t="n"/>
      <c r="G66" s="29" t="n"/>
      <c r="H66" s="56" t="str">
        <f>IF(NOT(ISNUMBER(A66)),"",IF(COUNTIFS('交易记录'!$S$5:$S$304,A66,'交易记录'!$Y$5:$Y$304,"已平仓")=0,"",SUMIFS('交易记录'!$AG$5:$AG$304,'交易记录'!$S$5:$S$304,A66,'交易记录'!$Y$5:$Y$304,"已平仓")))</f>
        <v/>
      </c>
      <c r="I66" s="41" t="str">
        <f>IF(NOT(ISNUMBER(H66)),"",IF(H66&lt;=-'参数'!$C$8,"触及停手线",""))</f>
        <v/>
      </c>
      <c r="J66" s="31" t="n"/>
      <c r="K66" s="31" t="n"/>
    </row>
    <row r="67">
      <c r="A67" s="30" t="n"/>
      <c r="B67" s="41" t="str">
        <f>IF(ISNUMBER(A67),"周"&amp;CHOOSE(WEEKDAY(A67,2),"一","二","三","四","五","六","日"),"")</f>
        <v/>
      </c>
      <c r="C67" s="32" t="n"/>
      <c r="D67" s="29" t="n"/>
      <c r="E67" s="55" t="str">
        <f>IF(ISNUMBER(A67),COUNTIFS('交易记录'!$B$5:$B$304,A67,'交易记录'!$Q$5:$Q$304,"已执行"),"")</f>
        <v/>
      </c>
      <c r="F67" s="31" t="n"/>
      <c r="G67" s="29" t="n"/>
      <c r="H67" s="56" t="str">
        <f>IF(NOT(ISNUMBER(A67)),"",IF(COUNTIFS('交易记录'!$S$5:$S$304,A67,'交易记录'!$Y$5:$Y$304,"已平仓")=0,"",SUMIFS('交易记录'!$AG$5:$AG$304,'交易记录'!$S$5:$S$304,A67,'交易记录'!$Y$5:$Y$304,"已平仓")))</f>
        <v/>
      </c>
      <c r="I67" s="41" t="str">
        <f>IF(NOT(ISNUMBER(H67)),"",IF(H67&lt;=-'参数'!$C$8,"触及停手线",""))</f>
        <v/>
      </c>
      <c r="J67" s="31" t="n"/>
      <c r="K67" s="31" t="n"/>
    </row>
    <row r="68">
      <c r="A68" s="30" t="n"/>
      <c r="B68" s="41" t="str">
        <f>IF(ISNUMBER(A68),"周"&amp;CHOOSE(WEEKDAY(A68,2),"一","二","三","四","五","六","日"),"")</f>
        <v/>
      </c>
      <c r="C68" s="32" t="n"/>
      <c r="D68" s="29" t="n"/>
      <c r="E68" s="55" t="str">
        <f>IF(ISNUMBER(A68),COUNTIFS('交易记录'!$B$5:$B$304,A68,'交易记录'!$Q$5:$Q$304,"已执行"),"")</f>
        <v/>
      </c>
      <c r="F68" s="31" t="n"/>
      <c r="G68" s="29" t="n"/>
      <c r="H68" s="56" t="str">
        <f>IF(NOT(ISNUMBER(A68)),"",IF(COUNTIFS('交易记录'!$S$5:$S$304,A68,'交易记录'!$Y$5:$Y$304,"已平仓")=0,"",SUMIFS('交易记录'!$AG$5:$AG$304,'交易记录'!$S$5:$S$304,A68,'交易记录'!$Y$5:$Y$304,"已平仓")))</f>
        <v/>
      </c>
      <c r="I68" s="41" t="str">
        <f>IF(NOT(ISNUMBER(H68)),"",IF(H68&lt;=-'参数'!$C$8,"触及停手线",""))</f>
        <v/>
      </c>
      <c r="J68" s="31" t="n"/>
      <c r="K68" s="31" t="n"/>
    </row>
    <row r="69">
      <c r="A69" s="30" t="n"/>
      <c r="B69" s="41" t="str">
        <f>IF(ISNUMBER(A69),"周"&amp;CHOOSE(WEEKDAY(A69,2),"一","二","三","四","五","六","日"),"")</f>
        <v/>
      </c>
      <c r="C69" s="32" t="n"/>
      <c r="D69" s="29" t="n"/>
      <c r="E69" s="55" t="str">
        <f>IF(ISNUMBER(A69),COUNTIFS('交易记录'!$B$5:$B$304,A69,'交易记录'!$Q$5:$Q$304,"已执行"),"")</f>
        <v/>
      </c>
      <c r="F69" s="31" t="n"/>
      <c r="G69" s="29" t="n"/>
      <c r="H69" s="56" t="str">
        <f>IF(NOT(ISNUMBER(A69)),"",IF(COUNTIFS('交易记录'!$S$5:$S$304,A69,'交易记录'!$Y$5:$Y$304,"已平仓")=0,"",SUMIFS('交易记录'!$AG$5:$AG$304,'交易记录'!$S$5:$S$304,A69,'交易记录'!$Y$5:$Y$304,"已平仓")))</f>
        <v/>
      </c>
      <c r="I69" s="41" t="str">
        <f>IF(NOT(ISNUMBER(H69)),"",IF(H69&lt;=-'参数'!$C$8,"触及停手线",""))</f>
        <v/>
      </c>
      <c r="J69" s="31" t="n"/>
      <c r="K69" s="31" t="n"/>
    </row>
    <row r="70">
      <c r="A70" s="30" t="n"/>
      <c r="B70" s="41" t="str">
        <f>IF(ISNUMBER(A70),"周"&amp;CHOOSE(WEEKDAY(A70,2),"一","二","三","四","五","六","日"),"")</f>
        <v/>
      </c>
      <c r="C70" s="32" t="n"/>
      <c r="D70" s="29" t="n"/>
      <c r="E70" s="55" t="str">
        <f>IF(ISNUMBER(A70),COUNTIFS('交易记录'!$B$5:$B$304,A70,'交易记录'!$Q$5:$Q$304,"已执行"),"")</f>
        <v/>
      </c>
      <c r="F70" s="31" t="n"/>
      <c r="G70" s="29" t="n"/>
      <c r="H70" s="56" t="str">
        <f>IF(NOT(ISNUMBER(A70)),"",IF(COUNTIFS('交易记录'!$S$5:$S$304,A70,'交易记录'!$Y$5:$Y$304,"已平仓")=0,"",SUMIFS('交易记录'!$AG$5:$AG$304,'交易记录'!$S$5:$S$304,A70,'交易记录'!$Y$5:$Y$304,"已平仓")))</f>
        <v/>
      </c>
      <c r="I70" s="41" t="str">
        <f>IF(NOT(ISNUMBER(H70)),"",IF(H70&lt;=-'参数'!$C$8,"触及停手线",""))</f>
        <v/>
      </c>
      <c r="J70" s="31" t="n"/>
      <c r="K70" s="31" t="n"/>
    </row>
    <row r="71">
      <c r="A71" s="30" t="n"/>
      <c r="B71" s="41" t="str">
        <f>IF(ISNUMBER(A71),"周"&amp;CHOOSE(WEEKDAY(A71,2),"一","二","三","四","五","六","日"),"")</f>
        <v/>
      </c>
      <c r="C71" s="32" t="n"/>
      <c r="D71" s="29" t="n"/>
      <c r="E71" s="55" t="str">
        <f>IF(ISNUMBER(A71),COUNTIFS('交易记录'!$B$5:$B$304,A71,'交易记录'!$Q$5:$Q$304,"已执行"),"")</f>
        <v/>
      </c>
      <c r="F71" s="31" t="n"/>
      <c r="G71" s="29" t="n"/>
      <c r="H71" s="56" t="str">
        <f>IF(NOT(ISNUMBER(A71)),"",IF(COUNTIFS('交易记录'!$S$5:$S$304,A71,'交易记录'!$Y$5:$Y$304,"已平仓")=0,"",SUMIFS('交易记录'!$AG$5:$AG$304,'交易记录'!$S$5:$S$304,A71,'交易记录'!$Y$5:$Y$304,"已平仓")))</f>
        <v/>
      </c>
      <c r="I71" s="41" t="str">
        <f>IF(NOT(ISNUMBER(H71)),"",IF(H71&lt;=-'参数'!$C$8,"触及停手线",""))</f>
        <v/>
      </c>
      <c r="J71" s="31" t="n"/>
      <c r="K71" s="31" t="n"/>
    </row>
    <row r="72">
      <c r="A72" s="30" t="n"/>
      <c r="B72" s="41" t="str">
        <f>IF(ISNUMBER(A72),"周"&amp;CHOOSE(WEEKDAY(A72,2),"一","二","三","四","五","六","日"),"")</f>
        <v/>
      </c>
      <c r="C72" s="32" t="n"/>
      <c r="D72" s="29" t="n"/>
      <c r="E72" s="55" t="str">
        <f>IF(ISNUMBER(A72),COUNTIFS('交易记录'!$B$5:$B$304,A72,'交易记录'!$Q$5:$Q$304,"已执行"),"")</f>
        <v/>
      </c>
      <c r="F72" s="31" t="n"/>
      <c r="G72" s="29" t="n"/>
      <c r="H72" s="56" t="str">
        <f>IF(NOT(ISNUMBER(A72)),"",IF(COUNTIFS('交易记录'!$S$5:$S$304,A72,'交易记录'!$Y$5:$Y$304,"已平仓")=0,"",SUMIFS('交易记录'!$AG$5:$AG$304,'交易记录'!$S$5:$S$304,A72,'交易记录'!$Y$5:$Y$304,"已平仓")))</f>
        <v/>
      </c>
      <c r="I72" s="41" t="str">
        <f>IF(NOT(ISNUMBER(H72)),"",IF(H72&lt;=-'参数'!$C$8,"触及停手线",""))</f>
        <v/>
      </c>
      <c r="J72" s="31" t="n"/>
      <c r="K72" s="31" t="n"/>
    </row>
    <row r="73">
      <c r="A73" s="30" t="n"/>
      <c r="B73" s="41" t="str">
        <f>IF(ISNUMBER(A73),"周"&amp;CHOOSE(WEEKDAY(A73,2),"一","二","三","四","五","六","日"),"")</f>
        <v/>
      </c>
      <c r="C73" s="32" t="n"/>
      <c r="D73" s="29" t="n"/>
      <c r="E73" s="55" t="str">
        <f>IF(ISNUMBER(A73),COUNTIFS('交易记录'!$B$5:$B$304,A73,'交易记录'!$Q$5:$Q$304,"已执行"),"")</f>
        <v/>
      </c>
      <c r="F73" s="31" t="n"/>
      <c r="G73" s="29" t="n"/>
      <c r="H73" s="56" t="str">
        <f>IF(NOT(ISNUMBER(A73)),"",IF(COUNTIFS('交易记录'!$S$5:$S$304,A73,'交易记录'!$Y$5:$Y$304,"已平仓")=0,"",SUMIFS('交易记录'!$AG$5:$AG$304,'交易记录'!$S$5:$S$304,A73,'交易记录'!$Y$5:$Y$304,"已平仓")))</f>
        <v/>
      </c>
      <c r="I73" s="41" t="str">
        <f>IF(NOT(ISNUMBER(H73)),"",IF(H73&lt;=-'参数'!$C$8,"触及停手线",""))</f>
        <v/>
      </c>
      <c r="J73" s="31" t="n"/>
      <c r="K73" s="31" t="n"/>
    </row>
    <row r="74">
      <c r="A74" s="30" t="n"/>
      <c r="B74" s="41" t="str">
        <f>IF(ISNUMBER(A74),"周"&amp;CHOOSE(WEEKDAY(A74,2),"一","二","三","四","五","六","日"),"")</f>
        <v/>
      </c>
      <c r="C74" s="32" t="n"/>
      <c r="D74" s="29" t="n"/>
      <c r="E74" s="55" t="str">
        <f>IF(ISNUMBER(A74),COUNTIFS('交易记录'!$B$5:$B$304,A74,'交易记录'!$Q$5:$Q$304,"已执行"),"")</f>
        <v/>
      </c>
      <c r="F74" s="31" t="n"/>
      <c r="G74" s="29" t="n"/>
      <c r="H74" s="56" t="str">
        <f>IF(NOT(ISNUMBER(A74)),"",IF(COUNTIFS('交易记录'!$S$5:$S$304,A74,'交易记录'!$Y$5:$Y$304,"已平仓")=0,"",SUMIFS('交易记录'!$AG$5:$AG$304,'交易记录'!$S$5:$S$304,A74,'交易记录'!$Y$5:$Y$304,"已平仓")))</f>
        <v/>
      </c>
      <c r="I74" s="41" t="str">
        <f>IF(NOT(ISNUMBER(H74)),"",IF(H74&lt;=-'参数'!$C$8,"触及停手线",""))</f>
        <v/>
      </c>
      <c r="J74" s="31" t="n"/>
      <c r="K74" s="31" t="n"/>
    </row>
    <row r="75">
      <c r="A75" s="30" t="n"/>
      <c r="B75" s="41" t="str">
        <f>IF(ISNUMBER(A75),"周"&amp;CHOOSE(WEEKDAY(A75,2),"一","二","三","四","五","六","日"),"")</f>
        <v/>
      </c>
      <c r="C75" s="32" t="n"/>
      <c r="D75" s="29" t="n"/>
      <c r="E75" s="55" t="str">
        <f>IF(ISNUMBER(A75),COUNTIFS('交易记录'!$B$5:$B$304,A75,'交易记录'!$Q$5:$Q$304,"已执行"),"")</f>
        <v/>
      </c>
      <c r="F75" s="31" t="n"/>
      <c r="G75" s="29" t="n"/>
      <c r="H75" s="56" t="str">
        <f>IF(NOT(ISNUMBER(A75)),"",IF(COUNTIFS('交易记录'!$S$5:$S$304,A75,'交易记录'!$Y$5:$Y$304,"已平仓")=0,"",SUMIFS('交易记录'!$AG$5:$AG$304,'交易记录'!$S$5:$S$304,A75,'交易记录'!$Y$5:$Y$304,"已平仓")))</f>
        <v/>
      </c>
      <c r="I75" s="41" t="str">
        <f>IF(NOT(ISNUMBER(H75)),"",IF(H75&lt;=-'参数'!$C$8,"触及停手线",""))</f>
        <v/>
      </c>
      <c r="J75" s="31" t="n"/>
      <c r="K75" s="31" t="n"/>
    </row>
    <row r="76">
      <c r="A76" s="30" t="n"/>
      <c r="B76" s="41" t="str">
        <f>IF(ISNUMBER(A76),"周"&amp;CHOOSE(WEEKDAY(A76,2),"一","二","三","四","五","六","日"),"")</f>
        <v/>
      </c>
      <c r="C76" s="32" t="n"/>
      <c r="D76" s="29" t="n"/>
      <c r="E76" s="55" t="str">
        <f>IF(ISNUMBER(A76),COUNTIFS('交易记录'!$B$5:$B$304,A76,'交易记录'!$Q$5:$Q$304,"已执行"),"")</f>
        <v/>
      </c>
      <c r="F76" s="31" t="n"/>
      <c r="G76" s="29" t="n"/>
      <c r="H76" s="56" t="str">
        <f>IF(NOT(ISNUMBER(A76)),"",IF(COUNTIFS('交易记录'!$S$5:$S$304,A76,'交易记录'!$Y$5:$Y$304,"已平仓")=0,"",SUMIFS('交易记录'!$AG$5:$AG$304,'交易记录'!$S$5:$S$304,A76,'交易记录'!$Y$5:$Y$304,"已平仓")))</f>
        <v/>
      </c>
      <c r="I76" s="41" t="str">
        <f>IF(NOT(ISNUMBER(H76)),"",IF(H76&lt;=-'参数'!$C$8,"触及停手线",""))</f>
        <v/>
      </c>
      <c r="J76" s="31" t="n"/>
      <c r="K76" s="31" t="n"/>
    </row>
    <row r="77">
      <c r="A77" s="30" t="n"/>
      <c r="B77" s="41" t="str">
        <f>IF(ISNUMBER(A77),"周"&amp;CHOOSE(WEEKDAY(A77,2),"一","二","三","四","五","六","日"),"")</f>
        <v/>
      </c>
      <c r="C77" s="32" t="n"/>
      <c r="D77" s="29" t="n"/>
      <c r="E77" s="55" t="str">
        <f>IF(ISNUMBER(A77),COUNTIFS('交易记录'!$B$5:$B$304,A77,'交易记录'!$Q$5:$Q$304,"已执行"),"")</f>
        <v/>
      </c>
      <c r="F77" s="31" t="n"/>
      <c r="G77" s="29" t="n"/>
      <c r="H77" s="56" t="str">
        <f>IF(NOT(ISNUMBER(A77)),"",IF(COUNTIFS('交易记录'!$S$5:$S$304,A77,'交易记录'!$Y$5:$Y$304,"已平仓")=0,"",SUMIFS('交易记录'!$AG$5:$AG$304,'交易记录'!$S$5:$S$304,A77,'交易记录'!$Y$5:$Y$304,"已平仓")))</f>
        <v/>
      </c>
      <c r="I77" s="41" t="str">
        <f>IF(NOT(ISNUMBER(H77)),"",IF(H77&lt;=-'参数'!$C$8,"触及停手线",""))</f>
        <v/>
      </c>
      <c r="J77" s="31" t="n"/>
      <c r="K77" s="31" t="n"/>
    </row>
    <row r="78">
      <c r="A78" s="30" t="n"/>
      <c r="B78" s="41" t="str">
        <f>IF(ISNUMBER(A78),"周"&amp;CHOOSE(WEEKDAY(A78,2),"一","二","三","四","五","六","日"),"")</f>
        <v/>
      </c>
      <c r="C78" s="32" t="n"/>
      <c r="D78" s="29" t="n"/>
      <c r="E78" s="55" t="str">
        <f>IF(ISNUMBER(A78),COUNTIFS('交易记录'!$B$5:$B$304,A78,'交易记录'!$Q$5:$Q$304,"已执行"),"")</f>
        <v/>
      </c>
      <c r="F78" s="31" t="n"/>
      <c r="G78" s="29" t="n"/>
      <c r="H78" s="56" t="str">
        <f>IF(NOT(ISNUMBER(A78)),"",IF(COUNTIFS('交易记录'!$S$5:$S$304,A78,'交易记录'!$Y$5:$Y$304,"已平仓")=0,"",SUMIFS('交易记录'!$AG$5:$AG$304,'交易记录'!$S$5:$S$304,A78,'交易记录'!$Y$5:$Y$304,"已平仓")))</f>
        <v/>
      </c>
      <c r="I78" s="41" t="str">
        <f>IF(NOT(ISNUMBER(H78)),"",IF(H78&lt;=-'参数'!$C$8,"触及停手线",""))</f>
        <v/>
      </c>
      <c r="J78" s="31" t="n"/>
      <c r="K78" s="31" t="n"/>
    </row>
    <row r="79">
      <c r="A79" s="30" t="n"/>
      <c r="B79" s="41" t="str">
        <f>IF(ISNUMBER(A79),"周"&amp;CHOOSE(WEEKDAY(A79,2),"一","二","三","四","五","六","日"),"")</f>
        <v/>
      </c>
      <c r="C79" s="32" t="n"/>
      <c r="D79" s="29" t="n"/>
      <c r="E79" s="55" t="str">
        <f>IF(ISNUMBER(A79),COUNTIFS('交易记录'!$B$5:$B$304,A79,'交易记录'!$Q$5:$Q$304,"已执行"),"")</f>
        <v/>
      </c>
      <c r="F79" s="31" t="n"/>
      <c r="G79" s="29" t="n"/>
      <c r="H79" s="56" t="str">
        <f>IF(NOT(ISNUMBER(A79)),"",IF(COUNTIFS('交易记录'!$S$5:$S$304,A79,'交易记录'!$Y$5:$Y$304,"已平仓")=0,"",SUMIFS('交易记录'!$AG$5:$AG$304,'交易记录'!$S$5:$S$304,A79,'交易记录'!$Y$5:$Y$304,"已平仓")))</f>
        <v/>
      </c>
      <c r="I79" s="41" t="str">
        <f>IF(NOT(ISNUMBER(H79)),"",IF(H79&lt;=-'参数'!$C$8,"触及停手线",""))</f>
        <v/>
      </c>
      <c r="J79" s="31" t="n"/>
      <c r="K79" s="31" t="n"/>
    </row>
    <row r="80">
      <c r="A80" s="30" t="n"/>
      <c r="B80" s="41" t="str">
        <f>IF(ISNUMBER(A80),"周"&amp;CHOOSE(WEEKDAY(A80,2),"一","二","三","四","五","六","日"),"")</f>
        <v/>
      </c>
      <c r="C80" s="32" t="n"/>
      <c r="D80" s="29" t="n"/>
      <c r="E80" s="55" t="str">
        <f>IF(ISNUMBER(A80),COUNTIFS('交易记录'!$B$5:$B$304,A80,'交易记录'!$Q$5:$Q$304,"已执行"),"")</f>
        <v/>
      </c>
      <c r="F80" s="31" t="n"/>
      <c r="G80" s="29" t="n"/>
      <c r="H80" s="56" t="str">
        <f>IF(NOT(ISNUMBER(A80)),"",IF(COUNTIFS('交易记录'!$S$5:$S$304,A80,'交易记录'!$Y$5:$Y$304,"已平仓")=0,"",SUMIFS('交易记录'!$AG$5:$AG$304,'交易记录'!$S$5:$S$304,A80,'交易记录'!$Y$5:$Y$304,"已平仓")))</f>
        <v/>
      </c>
      <c r="I80" s="41" t="str">
        <f>IF(NOT(ISNUMBER(H80)),"",IF(H80&lt;=-'参数'!$C$8,"触及停手线",""))</f>
        <v/>
      </c>
      <c r="J80" s="31" t="n"/>
      <c r="K80" s="31" t="n"/>
    </row>
    <row r="81">
      <c r="A81" s="30" t="n"/>
      <c r="B81" s="41" t="str">
        <f>IF(ISNUMBER(A81),"周"&amp;CHOOSE(WEEKDAY(A81,2),"一","二","三","四","五","六","日"),"")</f>
        <v/>
      </c>
      <c r="C81" s="32" t="n"/>
      <c r="D81" s="29" t="n"/>
      <c r="E81" s="55" t="str">
        <f>IF(ISNUMBER(A81),COUNTIFS('交易记录'!$B$5:$B$304,A81,'交易记录'!$Q$5:$Q$304,"已执行"),"")</f>
        <v/>
      </c>
      <c r="F81" s="31" t="n"/>
      <c r="G81" s="29" t="n"/>
      <c r="H81" s="56" t="str">
        <f>IF(NOT(ISNUMBER(A81)),"",IF(COUNTIFS('交易记录'!$S$5:$S$304,A81,'交易记录'!$Y$5:$Y$304,"已平仓")=0,"",SUMIFS('交易记录'!$AG$5:$AG$304,'交易记录'!$S$5:$S$304,A81,'交易记录'!$Y$5:$Y$304,"已平仓")))</f>
        <v/>
      </c>
      <c r="I81" s="41" t="str">
        <f>IF(NOT(ISNUMBER(H81)),"",IF(H81&lt;=-'参数'!$C$8,"触及停手线",""))</f>
        <v/>
      </c>
      <c r="J81" s="31" t="n"/>
      <c r="K81" s="31" t="n"/>
    </row>
    <row r="82">
      <c r="A82" s="30" t="n"/>
      <c r="B82" s="41" t="str">
        <f>IF(ISNUMBER(A82),"周"&amp;CHOOSE(WEEKDAY(A82,2),"一","二","三","四","五","六","日"),"")</f>
        <v/>
      </c>
      <c r="C82" s="32" t="n"/>
      <c r="D82" s="29" t="n"/>
      <c r="E82" s="55" t="str">
        <f>IF(ISNUMBER(A82),COUNTIFS('交易记录'!$B$5:$B$304,A82,'交易记录'!$Q$5:$Q$304,"已执行"),"")</f>
        <v/>
      </c>
      <c r="F82" s="31" t="n"/>
      <c r="G82" s="29" t="n"/>
      <c r="H82" s="56" t="str">
        <f>IF(NOT(ISNUMBER(A82)),"",IF(COUNTIFS('交易记录'!$S$5:$S$304,A82,'交易记录'!$Y$5:$Y$304,"已平仓")=0,"",SUMIFS('交易记录'!$AG$5:$AG$304,'交易记录'!$S$5:$S$304,A82,'交易记录'!$Y$5:$Y$304,"已平仓")))</f>
        <v/>
      </c>
      <c r="I82" s="41" t="str">
        <f>IF(NOT(ISNUMBER(H82)),"",IF(H82&lt;=-'参数'!$C$8,"触及停手线",""))</f>
        <v/>
      </c>
      <c r="J82" s="31" t="n"/>
      <c r="K82" s="31" t="n"/>
    </row>
    <row r="83">
      <c r="A83" s="30" t="n"/>
      <c r="B83" s="41" t="str">
        <f>IF(ISNUMBER(A83),"周"&amp;CHOOSE(WEEKDAY(A83,2),"一","二","三","四","五","六","日"),"")</f>
        <v/>
      </c>
      <c r="C83" s="32" t="n"/>
      <c r="D83" s="29" t="n"/>
      <c r="E83" s="55" t="str">
        <f>IF(ISNUMBER(A83),COUNTIFS('交易记录'!$B$5:$B$304,A83,'交易记录'!$Q$5:$Q$304,"已执行"),"")</f>
        <v/>
      </c>
      <c r="F83" s="31" t="n"/>
      <c r="G83" s="29" t="n"/>
      <c r="H83" s="56" t="str">
        <f>IF(NOT(ISNUMBER(A83)),"",IF(COUNTIFS('交易记录'!$S$5:$S$304,A83,'交易记录'!$Y$5:$Y$304,"已平仓")=0,"",SUMIFS('交易记录'!$AG$5:$AG$304,'交易记录'!$S$5:$S$304,A83,'交易记录'!$Y$5:$Y$304,"已平仓")))</f>
        <v/>
      </c>
      <c r="I83" s="41" t="str">
        <f>IF(NOT(ISNUMBER(H83)),"",IF(H83&lt;=-'参数'!$C$8,"触及停手线",""))</f>
        <v/>
      </c>
      <c r="J83" s="31" t="n"/>
      <c r="K83" s="31" t="n"/>
    </row>
    <row r="84">
      <c r="A84" s="30" t="n"/>
      <c r="B84" s="41" t="str">
        <f>IF(ISNUMBER(A84),"周"&amp;CHOOSE(WEEKDAY(A84,2),"一","二","三","四","五","六","日"),"")</f>
        <v/>
      </c>
      <c r="C84" s="32" t="n"/>
      <c r="D84" s="29" t="n"/>
      <c r="E84" s="55" t="str">
        <f>IF(ISNUMBER(A84),COUNTIFS('交易记录'!$B$5:$B$304,A84,'交易记录'!$Q$5:$Q$304,"已执行"),"")</f>
        <v/>
      </c>
      <c r="F84" s="31" t="n"/>
      <c r="G84" s="29" t="n"/>
      <c r="H84" s="56" t="str">
        <f>IF(NOT(ISNUMBER(A84)),"",IF(COUNTIFS('交易记录'!$S$5:$S$304,A84,'交易记录'!$Y$5:$Y$304,"已平仓")=0,"",SUMIFS('交易记录'!$AG$5:$AG$304,'交易记录'!$S$5:$S$304,A84,'交易记录'!$Y$5:$Y$304,"已平仓")))</f>
        <v/>
      </c>
      <c r="I84" s="41" t="str">
        <f>IF(NOT(ISNUMBER(H84)),"",IF(H84&lt;=-'参数'!$C$8,"触及停手线",""))</f>
        <v/>
      </c>
      <c r="J84" s="31" t="n"/>
      <c r="K84" s="31" t="n"/>
    </row>
    <row r="85">
      <c r="A85" s="30" t="n"/>
      <c r="B85" s="41" t="str">
        <f>IF(ISNUMBER(A85),"周"&amp;CHOOSE(WEEKDAY(A85,2),"一","二","三","四","五","六","日"),"")</f>
        <v/>
      </c>
      <c r="C85" s="32" t="n"/>
      <c r="D85" s="29" t="n"/>
      <c r="E85" s="55" t="str">
        <f>IF(ISNUMBER(A85),COUNTIFS('交易记录'!$B$5:$B$304,A85,'交易记录'!$Q$5:$Q$304,"已执行"),"")</f>
        <v/>
      </c>
      <c r="F85" s="31" t="n"/>
      <c r="G85" s="29" t="n"/>
      <c r="H85" s="56" t="str">
        <f>IF(NOT(ISNUMBER(A85)),"",IF(COUNTIFS('交易记录'!$S$5:$S$304,A85,'交易记录'!$Y$5:$Y$304,"已平仓")=0,"",SUMIFS('交易记录'!$AG$5:$AG$304,'交易记录'!$S$5:$S$304,A85,'交易记录'!$Y$5:$Y$304,"已平仓")))</f>
        <v/>
      </c>
      <c r="I85" s="41" t="str">
        <f>IF(NOT(ISNUMBER(H85)),"",IF(H85&lt;=-'参数'!$C$8,"触及停手线",""))</f>
        <v/>
      </c>
      <c r="J85" s="31" t="n"/>
      <c r="K85" s="31" t="n"/>
    </row>
    <row r="86">
      <c r="A86" s="30" t="n"/>
      <c r="B86" s="41" t="str">
        <f>IF(ISNUMBER(A86),"周"&amp;CHOOSE(WEEKDAY(A86,2),"一","二","三","四","五","六","日"),"")</f>
        <v/>
      </c>
      <c r="C86" s="32" t="n"/>
      <c r="D86" s="29" t="n"/>
      <c r="E86" s="55" t="str">
        <f>IF(ISNUMBER(A86),COUNTIFS('交易记录'!$B$5:$B$304,A86,'交易记录'!$Q$5:$Q$304,"已执行"),"")</f>
        <v/>
      </c>
      <c r="F86" s="31" t="n"/>
      <c r="G86" s="29" t="n"/>
      <c r="H86" s="56" t="str">
        <f>IF(NOT(ISNUMBER(A86)),"",IF(COUNTIFS('交易记录'!$S$5:$S$304,A86,'交易记录'!$Y$5:$Y$304,"已平仓")=0,"",SUMIFS('交易记录'!$AG$5:$AG$304,'交易记录'!$S$5:$S$304,A86,'交易记录'!$Y$5:$Y$304,"已平仓")))</f>
        <v/>
      </c>
      <c r="I86" s="41" t="str">
        <f>IF(NOT(ISNUMBER(H86)),"",IF(H86&lt;=-'参数'!$C$8,"触及停手线",""))</f>
        <v/>
      </c>
      <c r="J86" s="31" t="n"/>
      <c r="K86" s="31" t="n"/>
    </row>
    <row r="87">
      <c r="A87" s="30" t="n"/>
      <c r="B87" s="41" t="str">
        <f>IF(ISNUMBER(A87),"周"&amp;CHOOSE(WEEKDAY(A87,2),"一","二","三","四","五","六","日"),"")</f>
        <v/>
      </c>
      <c r="C87" s="32" t="n"/>
      <c r="D87" s="29" t="n"/>
      <c r="E87" s="55" t="str">
        <f>IF(ISNUMBER(A87),COUNTIFS('交易记录'!$B$5:$B$304,A87,'交易记录'!$Q$5:$Q$304,"已执行"),"")</f>
        <v/>
      </c>
      <c r="F87" s="31" t="n"/>
      <c r="G87" s="29" t="n"/>
      <c r="H87" s="56" t="str">
        <f>IF(NOT(ISNUMBER(A87)),"",IF(COUNTIFS('交易记录'!$S$5:$S$304,A87,'交易记录'!$Y$5:$Y$304,"已平仓")=0,"",SUMIFS('交易记录'!$AG$5:$AG$304,'交易记录'!$S$5:$S$304,A87,'交易记录'!$Y$5:$Y$304,"已平仓")))</f>
        <v/>
      </c>
      <c r="I87" s="41" t="str">
        <f>IF(NOT(ISNUMBER(H87)),"",IF(H87&lt;=-'参数'!$C$8,"触及停手线",""))</f>
        <v/>
      </c>
      <c r="J87" s="31" t="n"/>
      <c r="K87" s="31" t="n"/>
    </row>
    <row r="88">
      <c r="A88" s="30" t="n"/>
      <c r="B88" s="41" t="str">
        <f>IF(ISNUMBER(A88),"周"&amp;CHOOSE(WEEKDAY(A88,2),"一","二","三","四","五","六","日"),"")</f>
        <v/>
      </c>
      <c r="C88" s="32" t="n"/>
      <c r="D88" s="29" t="n"/>
      <c r="E88" s="55" t="str">
        <f>IF(ISNUMBER(A88),COUNTIFS('交易记录'!$B$5:$B$304,A88,'交易记录'!$Q$5:$Q$304,"已执行"),"")</f>
        <v/>
      </c>
      <c r="F88" s="31" t="n"/>
      <c r="G88" s="29" t="n"/>
      <c r="H88" s="56" t="str">
        <f>IF(NOT(ISNUMBER(A88)),"",IF(COUNTIFS('交易记录'!$S$5:$S$304,A88,'交易记录'!$Y$5:$Y$304,"已平仓")=0,"",SUMIFS('交易记录'!$AG$5:$AG$304,'交易记录'!$S$5:$S$304,A88,'交易记录'!$Y$5:$Y$304,"已平仓")))</f>
        <v/>
      </c>
      <c r="I88" s="41" t="str">
        <f>IF(NOT(ISNUMBER(H88)),"",IF(H88&lt;=-'参数'!$C$8,"触及停手线",""))</f>
        <v/>
      </c>
      <c r="J88" s="31" t="n"/>
      <c r="K88" s="31" t="n"/>
    </row>
    <row r="89">
      <c r="A89" s="30" t="n"/>
      <c r="B89" s="41" t="str">
        <f>IF(ISNUMBER(A89),"周"&amp;CHOOSE(WEEKDAY(A89,2),"一","二","三","四","五","六","日"),"")</f>
        <v/>
      </c>
      <c r="C89" s="32" t="n"/>
      <c r="D89" s="29" t="n"/>
      <c r="E89" s="55" t="str">
        <f>IF(ISNUMBER(A89),COUNTIFS('交易记录'!$B$5:$B$304,A89,'交易记录'!$Q$5:$Q$304,"已执行"),"")</f>
        <v/>
      </c>
      <c r="F89" s="31" t="n"/>
      <c r="G89" s="29" t="n"/>
      <c r="H89" s="56" t="str">
        <f>IF(NOT(ISNUMBER(A89)),"",IF(COUNTIFS('交易记录'!$S$5:$S$304,A89,'交易记录'!$Y$5:$Y$304,"已平仓")=0,"",SUMIFS('交易记录'!$AG$5:$AG$304,'交易记录'!$S$5:$S$304,A89,'交易记录'!$Y$5:$Y$304,"已平仓")))</f>
        <v/>
      </c>
      <c r="I89" s="41" t="str">
        <f>IF(NOT(ISNUMBER(H89)),"",IF(H89&lt;=-'参数'!$C$8,"触及停手线",""))</f>
        <v/>
      </c>
      <c r="J89" s="31" t="n"/>
      <c r="K89" s="31" t="n"/>
    </row>
    <row r="90">
      <c r="A90" s="30" t="n"/>
      <c r="B90" s="41" t="str">
        <f>IF(ISNUMBER(A90),"周"&amp;CHOOSE(WEEKDAY(A90,2),"一","二","三","四","五","六","日"),"")</f>
        <v/>
      </c>
      <c r="C90" s="32" t="n"/>
      <c r="D90" s="29" t="n"/>
      <c r="E90" s="55" t="str">
        <f>IF(ISNUMBER(A90),COUNTIFS('交易记录'!$B$5:$B$304,A90,'交易记录'!$Q$5:$Q$304,"已执行"),"")</f>
        <v/>
      </c>
      <c r="F90" s="31" t="n"/>
      <c r="G90" s="29" t="n"/>
      <c r="H90" s="56" t="str">
        <f>IF(NOT(ISNUMBER(A90)),"",IF(COUNTIFS('交易记录'!$S$5:$S$304,A90,'交易记录'!$Y$5:$Y$304,"已平仓")=0,"",SUMIFS('交易记录'!$AG$5:$AG$304,'交易记录'!$S$5:$S$304,A90,'交易记录'!$Y$5:$Y$304,"已平仓")))</f>
        <v/>
      </c>
      <c r="I90" s="41" t="str">
        <f>IF(NOT(ISNUMBER(H90)),"",IF(H90&lt;=-'参数'!$C$8,"触及停手线",""))</f>
        <v/>
      </c>
      <c r="J90" s="31" t="n"/>
      <c r="K90" s="31" t="n"/>
    </row>
    <row r="91">
      <c r="A91" s="30" t="n"/>
      <c r="B91" s="41" t="str">
        <f>IF(ISNUMBER(A91),"周"&amp;CHOOSE(WEEKDAY(A91,2),"一","二","三","四","五","六","日"),"")</f>
        <v/>
      </c>
      <c r="C91" s="32" t="n"/>
      <c r="D91" s="29" t="n"/>
      <c r="E91" s="55" t="str">
        <f>IF(ISNUMBER(A91),COUNTIFS('交易记录'!$B$5:$B$304,A91,'交易记录'!$Q$5:$Q$304,"已执行"),"")</f>
        <v/>
      </c>
      <c r="F91" s="31" t="n"/>
      <c r="G91" s="29" t="n"/>
      <c r="H91" s="56" t="str">
        <f>IF(NOT(ISNUMBER(A91)),"",IF(COUNTIFS('交易记录'!$S$5:$S$304,A91,'交易记录'!$Y$5:$Y$304,"已平仓")=0,"",SUMIFS('交易记录'!$AG$5:$AG$304,'交易记录'!$S$5:$S$304,A91,'交易记录'!$Y$5:$Y$304,"已平仓")))</f>
        <v/>
      </c>
      <c r="I91" s="41" t="str">
        <f>IF(NOT(ISNUMBER(H91)),"",IF(H91&lt;=-'参数'!$C$8,"触及停手线",""))</f>
        <v/>
      </c>
      <c r="J91" s="31" t="n"/>
      <c r="K91" s="31" t="n"/>
    </row>
    <row r="92">
      <c r="A92" s="30" t="n"/>
      <c r="B92" s="41" t="str">
        <f>IF(ISNUMBER(A92),"周"&amp;CHOOSE(WEEKDAY(A92,2),"一","二","三","四","五","六","日"),"")</f>
        <v/>
      </c>
      <c r="C92" s="32" t="n"/>
      <c r="D92" s="29" t="n"/>
      <c r="E92" s="55" t="str">
        <f>IF(ISNUMBER(A92),COUNTIFS('交易记录'!$B$5:$B$304,A92,'交易记录'!$Q$5:$Q$304,"已执行"),"")</f>
        <v/>
      </c>
      <c r="F92" s="31" t="n"/>
      <c r="G92" s="29" t="n"/>
      <c r="H92" s="56" t="str">
        <f>IF(NOT(ISNUMBER(A92)),"",IF(COUNTIFS('交易记录'!$S$5:$S$304,A92,'交易记录'!$Y$5:$Y$304,"已平仓")=0,"",SUMIFS('交易记录'!$AG$5:$AG$304,'交易记录'!$S$5:$S$304,A92,'交易记录'!$Y$5:$Y$304,"已平仓")))</f>
        <v/>
      </c>
      <c r="I92" s="41" t="str">
        <f>IF(NOT(ISNUMBER(H92)),"",IF(H92&lt;=-'参数'!$C$8,"触及停手线",""))</f>
        <v/>
      </c>
      <c r="J92" s="31" t="n"/>
      <c r="K92" s="31" t="n"/>
    </row>
    <row r="93">
      <c r="A93" s="30" t="n"/>
      <c r="B93" s="41" t="str">
        <f>IF(ISNUMBER(A93),"周"&amp;CHOOSE(WEEKDAY(A93,2),"一","二","三","四","五","六","日"),"")</f>
        <v/>
      </c>
      <c r="C93" s="32" t="n"/>
      <c r="D93" s="29" t="n"/>
      <c r="E93" s="55" t="str">
        <f>IF(ISNUMBER(A93),COUNTIFS('交易记录'!$B$5:$B$304,A93,'交易记录'!$Q$5:$Q$304,"已执行"),"")</f>
        <v/>
      </c>
      <c r="F93" s="31" t="n"/>
      <c r="G93" s="29" t="n"/>
      <c r="H93" s="56" t="str">
        <f>IF(NOT(ISNUMBER(A93)),"",IF(COUNTIFS('交易记录'!$S$5:$S$304,A93,'交易记录'!$Y$5:$Y$304,"已平仓")=0,"",SUMIFS('交易记录'!$AG$5:$AG$304,'交易记录'!$S$5:$S$304,A93,'交易记录'!$Y$5:$Y$304,"已平仓")))</f>
        <v/>
      </c>
      <c r="I93" s="41" t="str">
        <f>IF(NOT(ISNUMBER(H93)),"",IF(H93&lt;=-'参数'!$C$8,"触及停手线",""))</f>
        <v/>
      </c>
      <c r="J93" s="31" t="n"/>
      <c r="K93" s="31" t="n"/>
    </row>
    <row r="94">
      <c r="A94" s="30" t="n"/>
      <c r="B94" s="41" t="str">
        <f>IF(ISNUMBER(A94),"周"&amp;CHOOSE(WEEKDAY(A94,2),"一","二","三","四","五","六","日"),"")</f>
        <v/>
      </c>
      <c r="C94" s="32" t="n"/>
      <c r="D94" s="29" t="n"/>
      <c r="E94" s="55" t="str">
        <f>IF(ISNUMBER(A94),COUNTIFS('交易记录'!$B$5:$B$304,A94,'交易记录'!$Q$5:$Q$304,"已执行"),"")</f>
        <v/>
      </c>
      <c r="F94" s="31" t="n"/>
      <c r="G94" s="29" t="n"/>
      <c r="H94" s="56" t="str">
        <f>IF(NOT(ISNUMBER(A94)),"",IF(COUNTIFS('交易记录'!$S$5:$S$304,A94,'交易记录'!$Y$5:$Y$304,"已平仓")=0,"",SUMIFS('交易记录'!$AG$5:$AG$304,'交易记录'!$S$5:$S$304,A94,'交易记录'!$Y$5:$Y$304,"已平仓")))</f>
        <v/>
      </c>
      <c r="I94" s="41" t="str">
        <f>IF(NOT(ISNUMBER(H94)),"",IF(H94&lt;=-'参数'!$C$8,"触及停手线",""))</f>
        <v/>
      </c>
      <c r="J94" s="31" t="n"/>
      <c r="K94" s="31" t="n"/>
    </row>
    <row r="95">
      <c r="A95" s="30" t="n"/>
      <c r="B95" s="41" t="str">
        <f>IF(ISNUMBER(A95),"周"&amp;CHOOSE(WEEKDAY(A95,2),"一","二","三","四","五","六","日"),"")</f>
        <v/>
      </c>
      <c r="C95" s="32" t="n"/>
      <c r="D95" s="29" t="n"/>
      <c r="E95" s="55" t="str">
        <f>IF(ISNUMBER(A95),COUNTIFS('交易记录'!$B$5:$B$304,A95,'交易记录'!$Q$5:$Q$304,"已执行"),"")</f>
        <v/>
      </c>
      <c r="F95" s="31" t="n"/>
      <c r="G95" s="29" t="n"/>
      <c r="H95" s="56" t="str">
        <f>IF(NOT(ISNUMBER(A95)),"",IF(COUNTIFS('交易记录'!$S$5:$S$304,A95,'交易记录'!$Y$5:$Y$304,"已平仓")=0,"",SUMIFS('交易记录'!$AG$5:$AG$304,'交易记录'!$S$5:$S$304,A95,'交易记录'!$Y$5:$Y$304,"已平仓")))</f>
        <v/>
      </c>
      <c r="I95" s="41" t="str">
        <f>IF(NOT(ISNUMBER(H95)),"",IF(H95&lt;=-'参数'!$C$8,"触及停手线",""))</f>
        <v/>
      </c>
      <c r="J95" s="31" t="n"/>
      <c r="K95" s="31" t="n"/>
    </row>
    <row r="96">
      <c r="A96" s="30" t="n"/>
      <c r="B96" s="41" t="str">
        <f>IF(ISNUMBER(A96),"周"&amp;CHOOSE(WEEKDAY(A96,2),"一","二","三","四","五","六","日"),"")</f>
        <v/>
      </c>
      <c r="C96" s="32" t="n"/>
      <c r="D96" s="29" t="n"/>
      <c r="E96" s="55" t="str">
        <f>IF(ISNUMBER(A96),COUNTIFS('交易记录'!$B$5:$B$304,A96,'交易记录'!$Q$5:$Q$304,"已执行"),"")</f>
        <v/>
      </c>
      <c r="F96" s="31" t="n"/>
      <c r="G96" s="29" t="n"/>
      <c r="H96" s="56" t="str">
        <f>IF(NOT(ISNUMBER(A96)),"",IF(COUNTIFS('交易记录'!$S$5:$S$304,A96,'交易记录'!$Y$5:$Y$304,"已平仓")=0,"",SUMIFS('交易记录'!$AG$5:$AG$304,'交易记录'!$S$5:$S$304,A96,'交易记录'!$Y$5:$Y$304,"已平仓")))</f>
        <v/>
      </c>
      <c r="I96" s="41" t="str">
        <f>IF(NOT(ISNUMBER(H96)),"",IF(H96&lt;=-'参数'!$C$8,"触及停手线",""))</f>
        <v/>
      </c>
      <c r="J96" s="31" t="n"/>
      <c r="K96" s="31" t="n"/>
    </row>
    <row r="97">
      <c r="A97" s="30" t="n"/>
      <c r="B97" s="41" t="str">
        <f>IF(ISNUMBER(A97),"周"&amp;CHOOSE(WEEKDAY(A97,2),"一","二","三","四","五","六","日"),"")</f>
        <v/>
      </c>
      <c r="C97" s="32" t="n"/>
      <c r="D97" s="29" t="n"/>
      <c r="E97" s="55" t="str">
        <f>IF(ISNUMBER(A97),COUNTIFS('交易记录'!$B$5:$B$304,A97,'交易记录'!$Q$5:$Q$304,"已执行"),"")</f>
        <v/>
      </c>
      <c r="F97" s="31" t="n"/>
      <c r="G97" s="29" t="n"/>
      <c r="H97" s="56" t="str">
        <f>IF(NOT(ISNUMBER(A97)),"",IF(COUNTIFS('交易记录'!$S$5:$S$304,A97,'交易记录'!$Y$5:$Y$304,"已平仓")=0,"",SUMIFS('交易记录'!$AG$5:$AG$304,'交易记录'!$S$5:$S$304,A97,'交易记录'!$Y$5:$Y$304,"已平仓")))</f>
        <v/>
      </c>
      <c r="I97" s="41" t="str">
        <f>IF(NOT(ISNUMBER(H97)),"",IF(H97&lt;=-'参数'!$C$8,"触及停手线",""))</f>
        <v/>
      </c>
      <c r="J97" s="31" t="n"/>
      <c r="K97" s="31" t="n"/>
    </row>
    <row r="98">
      <c r="A98" s="30" t="n"/>
      <c r="B98" s="41" t="str">
        <f>IF(ISNUMBER(A98),"周"&amp;CHOOSE(WEEKDAY(A98,2),"一","二","三","四","五","六","日"),"")</f>
        <v/>
      </c>
      <c r="C98" s="32" t="n"/>
      <c r="D98" s="29" t="n"/>
      <c r="E98" s="55" t="str">
        <f>IF(ISNUMBER(A98),COUNTIFS('交易记录'!$B$5:$B$304,A98,'交易记录'!$Q$5:$Q$304,"已执行"),"")</f>
        <v/>
      </c>
      <c r="F98" s="31" t="n"/>
      <c r="G98" s="29" t="n"/>
      <c r="H98" s="56" t="str">
        <f>IF(NOT(ISNUMBER(A98)),"",IF(COUNTIFS('交易记录'!$S$5:$S$304,A98,'交易记录'!$Y$5:$Y$304,"已平仓")=0,"",SUMIFS('交易记录'!$AG$5:$AG$304,'交易记录'!$S$5:$S$304,A98,'交易记录'!$Y$5:$Y$304,"已平仓")))</f>
        <v/>
      </c>
      <c r="I98" s="41" t="str">
        <f>IF(NOT(ISNUMBER(H98)),"",IF(H98&lt;=-'参数'!$C$8,"触及停手线",""))</f>
        <v/>
      </c>
      <c r="J98" s="31" t="n"/>
      <c r="K98" s="31" t="n"/>
    </row>
    <row r="99">
      <c r="A99" s="30" t="n"/>
      <c r="B99" s="41" t="str">
        <f>IF(ISNUMBER(A99),"周"&amp;CHOOSE(WEEKDAY(A99,2),"一","二","三","四","五","六","日"),"")</f>
        <v/>
      </c>
      <c r="C99" s="32" t="n"/>
      <c r="D99" s="29" t="n"/>
      <c r="E99" s="55" t="str">
        <f>IF(ISNUMBER(A99),COUNTIFS('交易记录'!$B$5:$B$304,A99,'交易记录'!$Q$5:$Q$304,"已执行"),"")</f>
        <v/>
      </c>
      <c r="F99" s="31" t="n"/>
      <c r="G99" s="29" t="n"/>
      <c r="H99" s="56" t="str">
        <f>IF(NOT(ISNUMBER(A99)),"",IF(COUNTIFS('交易记录'!$S$5:$S$304,A99,'交易记录'!$Y$5:$Y$304,"已平仓")=0,"",SUMIFS('交易记录'!$AG$5:$AG$304,'交易记录'!$S$5:$S$304,A99,'交易记录'!$Y$5:$Y$304,"已平仓")))</f>
        <v/>
      </c>
      <c r="I99" s="41" t="str">
        <f>IF(NOT(ISNUMBER(H99)),"",IF(H99&lt;=-'参数'!$C$8,"触及停手线",""))</f>
        <v/>
      </c>
      <c r="J99" s="31" t="n"/>
      <c r="K99" s="31" t="n"/>
    </row>
    <row r="100">
      <c r="A100" s="30" t="n"/>
      <c r="B100" s="41" t="str">
        <f>IF(ISNUMBER(A100),"周"&amp;CHOOSE(WEEKDAY(A100,2),"一","二","三","四","五","六","日"),"")</f>
        <v/>
      </c>
      <c r="C100" s="32" t="n"/>
      <c r="D100" s="29" t="n"/>
      <c r="E100" s="55" t="str">
        <f>IF(ISNUMBER(A100),COUNTIFS('交易记录'!$B$5:$B$304,A100,'交易记录'!$Q$5:$Q$304,"已执行"),"")</f>
        <v/>
      </c>
      <c r="F100" s="31" t="n"/>
      <c r="G100" s="29" t="n"/>
      <c r="H100" s="56" t="str">
        <f>IF(NOT(ISNUMBER(A100)),"",IF(COUNTIFS('交易记录'!$S$5:$S$304,A100,'交易记录'!$Y$5:$Y$304,"已平仓")=0,"",SUMIFS('交易记录'!$AG$5:$AG$304,'交易记录'!$S$5:$S$304,A100,'交易记录'!$Y$5:$Y$304,"已平仓")))</f>
        <v/>
      </c>
      <c r="I100" s="41" t="str">
        <f>IF(NOT(ISNUMBER(H100)),"",IF(H100&lt;=-'参数'!$C$8,"触及停手线",""))</f>
        <v/>
      </c>
      <c r="J100" s="31" t="n"/>
      <c r="K100" s="31" t="n"/>
    </row>
    <row r="101">
      <c r="A101" s="30" t="n"/>
      <c r="B101" s="41" t="str">
        <f>IF(ISNUMBER(A101),"周"&amp;CHOOSE(WEEKDAY(A101,2),"一","二","三","四","五","六","日"),"")</f>
        <v/>
      </c>
      <c r="C101" s="32" t="n"/>
      <c r="D101" s="29" t="n"/>
      <c r="E101" s="55" t="str">
        <f>IF(ISNUMBER(A101),COUNTIFS('交易记录'!$B$5:$B$304,A101,'交易记录'!$Q$5:$Q$304,"已执行"),"")</f>
        <v/>
      </c>
      <c r="F101" s="31" t="n"/>
      <c r="G101" s="29" t="n"/>
      <c r="H101" s="56" t="str">
        <f>IF(NOT(ISNUMBER(A101)),"",IF(COUNTIFS('交易记录'!$S$5:$S$304,A101,'交易记录'!$Y$5:$Y$304,"已平仓")=0,"",SUMIFS('交易记录'!$AG$5:$AG$304,'交易记录'!$S$5:$S$304,A101,'交易记录'!$Y$5:$Y$304,"已平仓")))</f>
        <v/>
      </c>
      <c r="I101" s="41" t="str">
        <f>IF(NOT(ISNUMBER(H101)),"",IF(H101&lt;=-'参数'!$C$8,"触及停手线",""))</f>
        <v/>
      </c>
      <c r="J101" s="31" t="n"/>
      <c r="K101" s="31" t="n"/>
    </row>
    <row r="102">
      <c r="A102" s="30" t="n"/>
      <c r="B102" s="41" t="str">
        <f>IF(ISNUMBER(A102),"周"&amp;CHOOSE(WEEKDAY(A102,2),"一","二","三","四","五","六","日"),"")</f>
        <v/>
      </c>
      <c r="C102" s="32" t="n"/>
      <c r="D102" s="29" t="n"/>
      <c r="E102" s="55" t="str">
        <f>IF(ISNUMBER(A102),COUNTIFS('交易记录'!$B$5:$B$304,A102,'交易记录'!$Q$5:$Q$304,"已执行"),"")</f>
        <v/>
      </c>
      <c r="F102" s="31" t="n"/>
      <c r="G102" s="29" t="n"/>
      <c r="H102" s="56" t="str">
        <f>IF(NOT(ISNUMBER(A102)),"",IF(COUNTIFS('交易记录'!$S$5:$S$304,A102,'交易记录'!$Y$5:$Y$304,"已平仓")=0,"",SUMIFS('交易记录'!$AG$5:$AG$304,'交易记录'!$S$5:$S$304,A102,'交易记录'!$Y$5:$Y$304,"已平仓")))</f>
        <v/>
      </c>
      <c r="I102" s="41" t="str">
        <f>IF(NOT(ISNUMBER(H102)),"",IF(H102&lt;=-'参数'!$C$8,"触及停手线",""))</f>
        <v/>
      </c>
      <c r="J102" s="31" t="n"/>
      <c r="K102" s="31" t="n"/>
    </row>
    <row r="103">
      <c r="A103" s="30" t="n"/>
      <c r="B103" s="41" t="str">
        <f>IF(ISNUMBER(A103),"周"&amp;CHOOSE(WEEKDAY(A103,2),"一","二","三","四","五","六","日"),"")</f>
        <v/>
      </c>
      <c r="C103" s="32" t="n"/>
      <c r="D103" s="29" t="n"/>
      <c r="E103" s="55" t="str">
        <f>IF(ISNUMBER(A103),COUNTIFS('交易记录'!$B$5:$B$304,A103,'交易记录'!$Q$5:$Q$304,"已执行"),"")</f>
        <v/>
      </c>
      <c r="F103" s="31" t="n"/>
      <c r="G103" s="29" t="n"/>
      <c r="H103" s="56" t="str">
        <f>IF(NOT(ISNUMBER(A103)),"",IF(COUNTIFS('交易记录'!$S$5:$S$304,A103,'交易记录'!$Y$5:$Y$304,"已平仓")=0,"",SUMIFS('交易记录'!$AG$5:$AG$304,'交易记录'!$S$5:$S$304,A103,'交易记录'!$Y$5:$Y$304,"已平仓")))</f>
        <v/>
      </c>
      <c r="I103" s="41" t="str">
        <f>IF(NOT(ISNUMBER(H103)),"",IF(H103&lt;=-'参数'!$C$8,"触及停手线",""))</f>
        <v/>
      </c>
      <c r="J103" s="31" t="n"/>
      <c r="K103" s="31" t="n"/>
    </row>
    <row r="104">
      <c r="A104" s="30" t="n"/>
      <c r="B104" s="41" t="str">
        <f>IF(ISNUMBER(A104),"周"&amp;CHOOSE(WEEKDAY(A104,2),"一","二","三","四","五","六","日"),"")</f>
        <v/>
      </c>
      <c r="C104" s="32" t="n"/>
      <c r="D104" s="29" t="n"/>
      <c r="E104" s="55" t="str">
        <f>IF(ISNUMBER(A104),COUNTIFS('交易记录'!$B$5:$B$304,A104,'交易记录'!$Q$5:$Q$304,"已执行"),"")</f>
        <v/>
      </c>
      <c r="F104" s="31" t="n"/>
      <c r="G104" s="29" t="n"/>
      <c r="H104" s="56" t="str">
        <f>IF(NOT(ISNUMBER(A104)),"",IF(COUNTIFS('交易记录'!$S$5:$S$304,A104,'交易记录'!$Y$5:$Y$304,"已平仓")=0,"",SUMIFS('交易记录'!$AG$5:$AG$304,'交易记录'!$S$5:$S$304,A104,'交易记录'!$Y$5:$Y$304,"已平仓")))</f>
        <v/>
      </c>
      <c r="I104" s="41" t="str">
        <f>IF(NOT(ISNUMBER(H104)),"",IF(H104&lt;=-'参数'!$C$8,"触及停手线",""))</f>
        <v/>
      </c>
      <c r="J104" s="31" t="n"/>
      <c r="K104" s="31" t="n"/>
    </row>
    <row r="105">
      <c r="A105" s="30" t="n"/>
      <c r="B105" s="41" t="str">
        <f>IF(ISNUMBER(A105),"周"&amp;CHOOSE(WEEKDAY(A105,2),"一","二","三","四","五","六","日"),"")</f>
        <v/>
      </c>
      <c r="C105" s="32" t="n"/>
      <c r="D105" s="29" t="n"/>
      <c r="E105" s="55" t="str">
        <f>IF(ISNUMBER(A105),COUNTIFS('交易记录'!$B$5:$B$304,A105,'交易记录'!$Q$5:$Q$304,"已执行"),"")</f>
        <v/>
      </c>
      <c r="F105" s="31" t="n"/>
      <c r="G105" s="29" t="n"/>
      <c r="H105" s="56" t="str">
        <f>IF(NOT(ISNUMBER(A105)),"",IF(COUNTIFS('交易记录'!$S$5:$S$304,A105,'交易记录'!$Y$5:$Y$304,"已平仓")=0,"",SUMIFS('交易记录'!$AG$5:$AG$304,'交易记录'!$S$5:$S$304,A105,'交易记录'!$Y$5:$Y$304,"已平仓")))</f>
        <v/>
      </c>
      <c r="I105" s="41" t="str">
        <f>IF(NOT(ISNUMBER(H105)),"",IF(H105&lt;=-'参数'!$C$8,"触及停手线",""))</f>
        <v/>
      </c>
      <c r="J105" s="31" t="n"/>
      <c r="K105" s="31" t="n"/>
    </row>
    <row r="106">
      <c r="A106" s="30" t="n"/>
      <c r="B106" s="41" t="str">
        <f>IF(ISNUMBER(A106),"周"&amp;CHOOSE(WEEKDAY(A106,2),"一","二","三","四","五","六","日"),"")</f>
        <v/>
      </c>
      <c r="C106" s="32" t="n"/>
      <c r="D106" s="29" t="n"/>
      <c r="E106" s="55" t="str">
        <f>IF(ISNUMBER(A106),COUNTIFS('交易记录'!$B$5:$B$304,A106,'交易记录'!$Q$5:$Q$304,"已执行"),"")</f>
        <v/>
      </c>
      <c r="F106" s="31" t="n"/>
      <c r="G106" s="29" t="n"/>
      <c r="H106" s="56" t="str">
        <f>IF(NOT(ISNUMBER(A106)),"",IF(COUNTIFS('交易记录'!$S$5:$S$304,A106,'交易记录'!$Y$5:$Y$304,"已平仓")=0,"",SUMIFS('交易记录'!$AG$5:$AG$304,'交易记录'!$S$5:$S$304,A106,'交易记录'!$Y$5:$Y$304,"已平仓")))</f>
        <v/>
      </c>
      <c r="I106" s="41" t="str">
        <f>IF(NOT(ISNUMBER(H106)),"",IF(H106&lt;=-'参数'!$C$8,"触及停手线",""))</f>
        <v/>
      </c>
      <c r="J106" s="31" t="n"/>
      <c r="K106" s="31" t="n"/>
    </row>
    <row r="107">
      <c r="A107" s="30" t="n"/>
      <c r="B107" s="41" t="str">
        <f>IF(ISNUMBER(A107),"周"&amp;CHOOSE(WEEKDAY(A107,2),"一","二","三","四","五","六","日"),"")</f>
        <v/>
      </c>
      <c r="C107" s="32" t="n"/>
      <c r="D107" s="29" t="n"/>
      <c r="E107" s="55" t="str">
        <f>IF(ISNUMBER(A107),COUNTIFS('交易记录'!$B$5:$B$304,A107,'交易记录'!$Q$5:$Q$304,"已执行"),"")</f>
        <v/>
      </c>
      <c r="F107" s="31" t="n"/>
      <c r="G107" s="29" t="n"/>
      <c r="H107" s="56" t="str">
        <f>IF(NOT(ISNUMBER(A107)),"",IF(COUNTIFS('交易记录'!$S$5:$S$304,A107,'交易记录'!$Y$5:$Y$304,"已平仓")=0,"",SUMIFS('交易记录'!$AG$5:$AG$304,'交易记录'!$S$5:$S$304,A107,'交易记录'!$Y$5:$Y$304,"已平仓")))</f>
        <v/>
      </c>
      <c r="I107" s="41" t="str">
        <f>IF(NOT(ISNUMBER(H107)),"",IF(H107&lt;=-'参数'!$C$8,"触及停手线",""))</f>
        <v/>
      </c>
      <c r="J107" s="31" t="n"/>
      <c r="K107" s="31" t="n"/>
    </row>
    <row r="108">
      <c r="A108" s="30" t="n"/>
      <c r="B108" s="41" t="str">
        <f>IF(ISNUMBER(A108),"周"&amp;CHOOSE(WEEKDAY(A108,2),"一","二","三","四","五","六","日"),"")</f>
        <v/>
      </c>
      <c r="C108" s="32" t="n"/>
      <c r="D108" s="29" t="n"/>
      <c r="E108" s="55" t="str">
        <f>IF(ISNUMBER(A108),COUNTIFS('交易记录'!$B$5:$B$304,A108,'交易记录'!$Q$5:$Q$304,"已执行"),"")</f>
        <v/>
      </c>
      <c r="F108" s="31" t="n"/>
      <c r="G108" s="29" t="n"/>
      <c r="H108" s="56" t="str">
        <f>IF(NOT(ISNUMBER(A108)),"",IF(COUNTIFS('交易记录'!$S$5:$S$304,A108,'交易记录'!$Y$5:$Y$304,"已平仓")=0,"",SUMIFS('交易记录'!$AG$5:$AG$304,'交易记录'!$S$5:$S$304,A108,'交易记录'!$Y$5:$Y$304,"已平仓")))</f>
        <v/>
      </c>
      <c r="I108" s="41" t="str">
        <f>IF(NOT(ISNUMBER(H108)),"",IF(H108&lt;=-'参数'!$C$8,"触及停手线",""))</f>
        <v/>
      </c>
      <c r="J108" s="31" t="n"/>
      <c r="K108" s="31" t="n"/>
    </row>
    <row r="109">
      <c r="A109" s="30" t="n"/>
      <c r="B109" s="41" t="str">
        <f>IF(ISNUMBER(A109),"周"&amp;CHOOSE(WEEKDAY(A109,2),"一","二","三","四","五","六","日"),"")</f>
        <v/>
      </c>
      <c r="C109" s="32" t="n"/>
      <c r="D109" s="29" t="n"/>
      <c r="E109" s="55" t="str">
        <f>IF(ISNUMBER(A109),COUNTIFS('交易记录'!$B$5:$B$304,A109,'交易记录'!$Q$5:$Q$304,"已执行"),"")</f>
        <v/>
      </c>
      <c r="F109" s="31" t="n"/>
      <c r="G109" s="29" t="n"/>
      <c r="H109" s="56" t="str">
        <f>IF(NOT(ISNUMBER(A109)),"",IF(COUNTIFS('交易记录'!$S$5:$S$304,A109,'交易记录'!$Y$5:$Y$304,"已平仓")=0,"",SUMIFS('交易记录'!$AG$5:$AG$304,'交易记录'!$S$5:$S$304,A109,'交易记录'!$Y$5:$Y$304,"已平仓")))</f>
        <v/>
      </c>
      <c r="I109" s="41" t="str">
        <f>IF(NOT(ISNUMBER(H109)),"",IF(H109&lt;=-'参数'!$C$8,"触及停手线",""))</f>
        <v/>
      </c>
      <c r="J109" s="31" t="n"/>
      <c r="K109" s="31" t="n"/>
    </row>
    <row r="110">
      <c r="A110" s="30" t="n"/>
      <c r="B110" s="41" t="str">
        <f>IF(ISNUMBER(A110),"周"&amp;CHOOSE(WEEKDAY(A110,2),"一","二","三","四","五","六","日"),"")</f>
        <v/>
      </c>
      <c r="C110" s="32" t="n"/>
      <c r="D110" s="29" t="n"/>
      <c r="E110" s="55" t="str">
        <f>IF(ISNUMBER(A110),COUNTIFS('交易记录'!$B$5:$B$304,A110,'交易记录'!$Q$5:$Q$304,"已执行"),"")</f>
        <v/>
      </c>
      <c r="F110" s="31" t="n"/>
      <c r="G110" s="29" t="n"/>
      <c r="H110" s="56" t="str">
        <f>IF(NOT(ISNUMBER(A110)),"",IF(COUNTIFS('交易记录'!$S$5:$S$304,A110,'交易记录'!$Y$5:$Y$304,"已平仓")=0,"",SUMIFS('交易记录'!$AG$5:$AG$304,'交易记录'!$S$5:$S$304,A110,'交易记录'!$Y$5:$Y$304,"已平仓")))</f>
        <v/>
      </c>
      <c r="I110" s="41" t="str">
        <f>IF(NOT(ISNUMBER(H110)),"",IF(H110&lt;=-'参数'!$C$8,"触及停手线",""))</f>
        <v/>
      </c>
      <c r="J110" s="31" t="n"/>
      <c r="K110" s="31" t="n"/>
    </row>
    <row r="111">
      <c r="A111" s="30" t="n"/>
      <c r="B111" s="41" t="str">
        <f>IF(ISNUMBER(A111),"周"&amp;CHOOSE(WEEKDAY(A111,2),"一","二","三","四","五","六","日"),"")</f>
        <v/>
      </c>
      <c r="C111" s="32" t="n"/>
      <c r="D111" s="29" t="n"/>
      <c r="E111" s="55" t="str">
        <f>IF(ISNUMBER(A111),COUNTIFS('交易记录'!$B$5:$B$304,A111,'交易记录'!$Q$5:$Q$304,"已执行"),"")</f>
        <v/>
      </c>
      <c r="F111" s="31" t="n"/>
      <c r="G111" s="29" t="n"/>
      <c r="H111" s="56" t="str">
        <f>IF(NOT(ISNUMBER(A111)),"",IF(COUNTIFS('交易记录'!$S$5:$S$304,A111,'交易记录'!$Y$5:$Y$304,"已平仓")=0,"",SUMIFS('交易记录'!$AG$5:$AG$304,'交易记录'!$S$5:$S$304,A111,'交易记录'!$Y$5:$Y$304,"已平仓")))</f>
        <v/>
      </c>
      <c r="I111" s="41" t="str">
        <f>IF(NOT(ISNUMBER(H111)),"",IF(H111&lt;=-'参数'!$C$8,"触及停手线",""))</f>
        <v/>
      </c>
      <c r="J111" s="31" t="n"/>
      <c r="K111" s="31" t="n"/>
    </row>
    <row r="112">
      <c r="A112" s="30" t="n"/>
      <c r="B112" s="41" t="str">
        <f>IF(ISNUMBER(A112),"周"&amp;CHOOSE(WEEKDAY(A112,2),"一","二","三","四","五","六","日"),"")</f>
        <v/>
      </c>
      <c r="C112" s="32" t="n"/>
      <c r="D112" s="29" t="n"/>
      <c r="E112" s="55" t="str">
        <f>IF(ISNUMBER(A112),COUNTIFS('交易记录'!$B$5:$B$304,A112,'交易记录'!$Q$5:$Q$304,"已执行"),"")</f>
        <v/>
      </c>
      <c r="F112" s="31" t="n"/>
      <c r="G112" s="29" t="n"/>
      <c r="H112" s="56" t="str">
        <f>IF(NOT(ISNUMBER(A112)),"",IF(COUNTIFS('交易记录'!$S$5:$S$304,A112,'交易记录'!$Y$5:$Y$304,"已平仓")=0,"",SUMIFS('交易记录'!$AG$5:$AG$304,'交易记录'!$S$5:$S$304,A112,'交易记录'!$Y$5:$Y$304,"已平仓")))</f>
        <v/>
      </c>
      <c r="I112" s="41" t="str">
        <f>IF(NOT(ISNUMBER(H112)),"",IF(H112&lt;=-'参数'!$C$8,"触及停手线",""))</f>
        <v/>
      </c>
      <c r="J112" s="31" t="n"/>
      <c r="K112" s="31" t="n"/>
    </row>
    <row r="113">
      <c r="A113" s="30" t="n"/>
      <c r="B113" s="41" t="str">
        <f>IF(ISNUMBER(A113),"周"&amp;CHOOSE(WEEKDAY(A113,2),"一","二","三","四","五","六","日"),"")</f>
        <v/>
      </c>
      <c r="C113" s="32" t="n"/>
      <c r="D113" s="29" t="n"/>
      <c r="E113" s="55" t="str">
        <f>IF(ISNUMBER(A113),COUNTIFS('交易记录'!$B$5:$B$304,A113,'交易记录'!$Q$5:$Q$304,"已执行"),"")</f>
        <v/>
      </c>
      <c r="F113" s="31" t="n"/>
      <c r="G113" s="29" t="n"/>
      <c r="H113" s="56" t="str">
        <f>IF(NOT(ISNUMBER(A113)),"",IF(COUNTIFS('交易记录'!$S$5:$S$304,A113,'交易记录'!$Y$5:$Y$304,"已平仓")=0,"",SUMIFS('交易记录'!$AG$5:$AG$304,'交易记录'!$S$5:$S$304,A113,'交易记录'!$Y$5:$Y$304,"已平仓")))</f>
        <v/>
      </c>
      <c r="I113" s="41" t="str">
        <f>IF(NOT(ISNUMBER(H113)),"",IF(H113&lt;=-'参数'!$C$8,"触及停手线",""))</f>
        <v/>
      </c>
      <c r="J113" s="31" t="n"/>
      <c r="K113" s="31" t="n"/>
    </row>
    <row r="114">
      <c r="A114" s="30" t="n"/>
      <c r="B114" s="41" t="str">
        <f>IF(ISNUMBER(A114),"周"&amp;CHOOSE(WEEKDAY(A114,2),"一","二","三","四","五","六","日"),"")</f>
        <v/>
      </c>
      <c r="C114" s="32" t="n"/>
      <c r="D114" s="29" t="n"/>
      <c r="E114" s="55" t="str">
        <f>IF(ISNUMBER(A114),COUNTIFS('交易记录'!$B$5:$B$304,A114,'交易记录'!$Q$5:$Q$304,"已执行"),"")</f>
        <v/>
      </c>
      <c r="F114" s="31" t="n"/>
      <c r="G114" s="29" t="n"/>
      <c r="H114" s="56" t="str">
        <f>IF(NOT(ISNUMBER(A114)),"",IF(COUNTIFS('交易记录'!$S$5:$S$304,A114,'交易记录'!$Y$5:$Y$304,"已平仓")=0,"",SUMIFS('交易记录'!$AG$5:$AG$304,'交易记录'!$S$5:$S$304,A114,'交易记录'!$Y$5:$Y$304,"已平仓")))</f>
        <v/>
      </c>
      <c r="I114" s="41" t="str">
        <f>IF(NOT(ISNUMBER(H114)),"",IF(H114&lt;=-'参数'!$C$8,"触及停手线",""))</f>
        <v/>
      </c>
      <c r="J114" s="31" t="n"/>
      <c r="K114" s="31" t="n"/>
    </row>
    <row r="115">
      <c r="A115" s="30" t="n"/>
      <c r="B115" s="41" t="str">
        <f>IF(ISNUMBER(A115),"周"&amp;CHOOSE(WEEKDAY(A115,2),"一","二","三","四","五","六","日"),"")</f>
        <v/>
      </c>
      <c r="C115" s="32" t="n"/>
      <c r="D115" s="29" t="n"/>
      <c r="E115" s="55" t="str">
        <f>IF(ISNUMBER(A115),COUNTIFS('交易记录'!$B$5:$B$304,A115,'交易记录'!$Q$5:$Q$304,"已执行"),"")</f>
        <v/>
      </c>
      <c r="F115" s="31" t="n"/>
      <c r="G115" s="29" t="n"/>
      <c r="H115" s="56" t="str">
        <f>IF(NOT(ISNUMBER(A115)),"",IF(COUNTIFS('交易记录'!$S$5:$S$304,A115,'交易记录'!$Y$5:$Y$304,"已平仓")=0,"",SUMIFS('交易记录'!$AG$5:$AG$304,'交易记录'!$S$5:$S$304,A115,'交易记录'!$Y$5:$Y$304,"已平仓")))</f>
        <v/>
      </c>
      <c r="I115" s="41" t="str">
        <f>IF(NOT(ISNUMBER(H115)),"",IF(H115&lt;=-'参数'!$C$8,"触及停手线",""))</f>
        <v/>
      </c>
      <c r="J115" s="31" t="n"/>
      <c r="K115" s="31" t="n"/>
    </row>
    <row r="116">
      <c r="A116" s="30" t="n"/>
      <c r="B116" s="41" t="str">
        <f>IF(ISNUMBER(A116),"周"&amp;CHOOSE(WEEKDAY(A116,2),"一","二","三","四","五","六","日"),"")</f>
        <v/>
      </c>
      <c r="C116" s="32" t="n"/>
      <c r="D116" s="29" t="n"/>
      <c r="E116" s="55" t="str">
        <f>IF(ISNUMBER(A116),COUNTIFS('交易记录'!$B$5:$B$304,A116,'交易记录'!$Q$5:$Q$304,"已执行"),"")</f>
        <v/>
      </c>
      <c r="F116" s="31" t="n"/>
      <c r="G116" s="29" t="n"/>
      <c r="H116" s="56" t="str">
        <f>IF(NOT(ISNUMBER(A116)),"",IF(COUNTIFS('交易记录'!$S$5:$S$304,A116,'交易记录'!$Y$5:$Y$304,"已平仓")=0,"",SUMIFS('交易记录'!$AG$5:$AG$304,'交易记录'!$S$5:$S$304,A116,'交易记录'!$Y$5:$Y$304,"已平仓")))</f>
        <v/>
      </c>
      <c r="I116" s="41" t="str">
        <f>IF(NOT(ISNUMBER(H116)),"",IF(H116&lt;=-'参数'!$C$8,"触及停手线",""))</f>
        <v/>
      </c>
      <c r="J116" s="31" t="n"/>
      <c r="K116" s="31" t="n"/>
    </row>
    <row r="117">
      <c r="A117" s="30" t="n"/>
      <c r="B117" s="41" t="str">
        <f>IF(ISNUMBER(A117),"周"&amp;CHOOSE(WEEKDAY(A117,2),"一","二","三","四","五","六","日"),"")</f>
        <v/>
      </c>
      <c r="C117" s="32" t="n"/>
      <c r="D117" s="29" t="n"/>
      <c r="E117" s="55" t="str">
        <f>IF(ISNUMBER(A117),COUNTIFS('交易记录'!$B$5:$B$304,A117,'交易记录'!$Q$5:$Q$304,"已执行"),"")</f>
        <v/>
      </c>
      <c r="F117" s="31" t="n"/>
      <c r="G117" s="29" t="n"/>
      <c r="H117" s="56" t="str">
        <f>IF(NOT(ISNUMBER(A117)),"",IF(COUNTIFS('交易记录'!$S$5:$S$304,A117,'交易记录'!$Y$5:$Y$304,"已平仓")=0,"",SUMIFS('交易记录'!$AG$5:$AG$304,'交易记录'!$S$5:$S$304,A117,'交易记录'!$Y$5:$Y$304,"已平仓")))</f>
        <v/>
      </c>
      <c r="I117" s="41" t="str">
        <f>IF(NOT(ISNUMBER(H117)),"",IF(H117&lt;=-'参数'!$C$8,"触及停手线",""))</f>
        <v/>
      </c>
      <c r="J117" s="31" t="n"/>
      <c r="K117" s="31" t="n"/>
    </row>
    <row r="118">
      <c r="A118" s="30" t="n"/>
      <c r="B118" s="41" t="str">
        <f>IF(ISNUMBER(A118),"周"&amp;CHOOSE(WEEKDAY(A118,2),"一","二","三","四","五","六","日"),"")</f>
        <v/>
      </c>
      <c r="C118" s="32" t="n"/>
      <c r="D118" s="29" t="n"/>
      <c r="E118" s="55" t="str">
        <f>IF(ISNUMBER(A118),COUNTIFS('交易记录'!$B$5:$B$304,A118,'交易记录'!$Q$5:$Q$304,"已执行"),"")</f>
        <v/>
      </c>
      <c r="F118" s="31" t="n"/>
      <c r="G118" s="29" t="n"/>
      <c r="H118" s="56" t="str">
        <f>IF(NOT(ISNUMBER(A118)),"",IF(COUNTIFS('交易记录'!$S$5:$S$304,A118,'交易记录'!$Y$5:$Y$304,"已平仓")=0,"",SUMIFS('交易记录'!$AG$5:$AG$304,'交易记录'!$S$5:$S$304,A118,'交易记录'!$Y$5:$Y$304,"已平仓")))</f>
        <v/>
      </c>
      <c r="I118" s="41" t="str">
        <f>IF(NOT(ISNUMBER(H118)),"",IF(H118&lt;=-'参数'!$C$8,"触及停手线",""))</f>
        <v/>
      </c>
      <c r="J118" s="31" t="n"/>
      <c r="K118" s="31" t="n"/>
    </row>
    <row r="119">
      <c r="A119" s="30" t="n"/>
      <c r="B119" s="41" t="str">
        <f>IF(ISNUMBER(A119),"周"&amp;CHOOSE(WEEKDAY(A119,2),"一","二","三","四","五","六","日"),"")</f>
        <v/>
      </c>
      <c r="C119" s="32" t="n"/>
      <c r="D119" s="29" t="n"/>
      <c r="E119" s="55" t="str">
        <f>IF(ISNUMBER(A119),COUNTIFS('交易记录'!$B$5:$B$304,A119,'交易记录'!$Q$5:$Q$304,"已执行"),"")</f>
        <v/>
      </c>
      <c r="F119" s="31" t="n"/>
      <c r="G119" s="29" t="n"/>
      <c r="H119" s="56" t="str">
        <f>IF(NOT(ISNUMBER(A119)),"",IF(COUNTIFS('交易记录'!$S$5:$S$304,A119,'交易记录'!$Y$5:$Y$304,"已平仓")=0,"",SUMIFS('交易记录'!$AG$5:$AG$304,'交易记录'!$S$5:$S$304,A119,'交易记录'!$Y$5:$Y$304,"已平仓")))</f>
        <v/>
      </c>
      <c r="I119" s="41" t="str">
        <f>IF(NOT(ISNUMBER(H119)),"",IF(H119&lt;=-'参数'!$C$8,"触及停手线",""))</f>
        <v/>
      </c>
      <c r="J119" s="31" t="n"/>
      <c r="K119" s="31" t="n"/>
    </row>
    <row r="120">
      <c r="A120" s="30" t="n"/>
      <c r="B120" s="41" t="str">
        <f>IF(ISNUMBER(A120),"周"&amp;CHOOSE(WEEKDAY(A120,2),"一","二","三","四","五","六","日"),"")</f>
        <v/>
      </c>
      <c r="C120" s="32" t="n"/>
      <c r="D120" s="29" t="n"/>
      <c r="E120" s="55" t="str">
        <f>IF(ISNUMBER(A120),COUNTIFS('交易记录'!$B$5:$B$304,A120,'交易记录'!$Q$5:$Q$304,"已执行"),"")</f>
        <v/>
      </c>
      <c r="F120" s="31" t="n"/>
      <c r="G120" s="29" t="n"/>
      <c r="H120" s="56" t="str">
        <f>IF(NOT(ISNUMBER(A120)),"",IF(COUNTIFS('交易记录'!$S$5:$S$304,A120,'交易记录'!$Y$5:$Y$304,"已平仓")=0,"",SUMIFS('交易记录'!$AG$5:$AG$304,'交易记录'!$S$5:$S$304,A120,'交易记录'!$Y$5:$Y$304,"已平仓")))</f>
        <v/>
      </c>
      <c r="I120" s="41" t="str">
        <f>IF(NOT(ISNUMBER(H120)),"",IF(H120&lt;=-'参数'!$C$8,"触及停手线",""))</f>
        <v/>
      </c>
      <c r="J120" s="31" t="n"/>
      <c r="K120" s="31" t="n"/>
    </row>
    <row r="121">
      <c r="A121" s="30" t="n"/>
      <c r="B121" s="41" t="str">
        <f>IF(ISNUMBER(A121),"周"&amp;CHOOSE(WEEKDAY(A121,2),"一","二","三","四","五","六","日"),"")</f>
        <v/>
      </c>
      <c r="C121" s="32" t="n"/>
      <c r="D121" s="29" t="n"/>
      <c r="E121" s="55" t="str">
        <f>IF(ISNUMBER(A121),COUNTIFS('交易记录'!$B$5:$B$304,A121,'交易记录'!$Q$5:$Q$304,"已执行"),"")</f>
        <v/>
      </c>
      <c r="F121" s="31" t="n"/>
      <c r="G121" s="29" t="n"/>
      <c r="H121" s="56" t="str">
        <f>IF(NOT(ISNUMBER(A121)),"",IF(COUNTIFS('交易记录'!$S$5:$S$304,A121,'交易记录'!$Y$5:$Y$304,"已平仓")=0,"",SUMIFS('交易记录'!$AG$5:$AG$304,'交易记录'!$S$5:$S$304,A121,'交易记录'!$Y$5:$Y$304,"已平仓")))</f>
        <v/>
      </c>
      <c r="I121" s="41" t="str">
        <f>IF(NOT(ISNUMBER(H121)),"",IF(H121&lt;=-'参数'!$C$8,"触及停手线",""))</f>
        <v/>
      </c>
      <c r="J121" s="31" t="n"/>
      <c r="K121" s="31" t="n"/>
    </row>
    <row r="122">
      <c r="A122" s="30" t="n"/>
      <c r="B122" s="41" t="str">
        <f>IF(ISNUMBER(A122),"周"&amp;CHOOSE(WEEKDAY(A122,2),"一","二","三","四","五","六","日"),"")</f>
        <v/>
      </c>
      <c r="C122" s="32" t="n"/>
      <c r="D122" s="29" t="n"/>
      <c r="E122" s="55" t="str">
        <f>IF(ISNUMBER(A122),COUNTIFS('交易记录'!$B$5:$B$304,A122,'交易记录'!$Q$5:$Q$304,"已执行"),"")</f>
        <v/>
      </c>
      <c r="F122" s="31" t="n"/>
      <c r="G122" s="29" t="n"/>
      <c r="H122" s="56" t="str">
        <f>IF(NOT(ISNUMBER(A122)),"",IF(COUNTIFS('交易记录'!$S$5:$S$304,A122,'交易记录'!$Y$5:$Y$304,"已平仓")=0,"",SUMIFS('交易记录'!$AG$5:$AG$304,'交易记录'!$S$5:$S$304,A122,'交易记录'!$Y$5:$Y$304,"已平仓")))</f>
        <v/>
      </c>
      <c r="I122" s="41" t="str">
        <f>IF(NOT(ISNUMBER(H122)),"",IF(H122&lt;=-'参数'!$C$8,"触及停手线",""))</f>
        <v/>
      </c>
      <c r="J122" s="31" t="n"/>
      <c r="K122" s="31" t="n"/>
    </row>
    <row r="123">
      <c r="A123" s="30" t="n"/>
      <c r="B123" s="41" t="str">
        <f>IF(ISNUMBER(A123),"周"&amp;CHOOSE(WEEKDAY(A123,2),"一","二","三","四","五","六","日"),"")</f>
        <v/>
      </c>
      <c r="C123" s="32" t="n"/>
      <c r="D123" s="29" t="n"/>
      <c r="E123" s="55" t="str">
        <f>IF(ISNUMBER(A123),COUNTIFS('交易记录'!$B$5:$B$304,A123,'交易记录'!$Q$5:$Q$304,"已执行"),"")</f>
        <v/>
      </c>
      <c r="F123" s="31" t="n"/>
      <c r="G123" s="29" t="n"/>
      <c r="H123" s="56" t="str">
        <f>IF(NOT(ISNUMBER(A123)),"",IF(COUNTIFS('交易记录'!$S$5:$S$304,A123,'交易记录'!$Y$5:$Y$304,"已平仓")=0,"",SUMIFS('交易记录'!$AG$5:$AG$304,'交易记录'!$S$5:$S$304,A123,'交易记录'!$Y$5:$Y$304,"已平仓")))</f>
        <v/>
      </c>
      <c r="I123" s="41" t="str">
        <f>IF(NOT(ISNUMBER(H123)),"",IF(H123&lt;=-'参数'!$C$8,"触及停手线",""))</f>
        <v/>
      </c>
      <c r="J123" s="31" t="n"/>
      <c r="K123" s="31" t="n"/>
    </row>
    <row r="124">
      <c r="A124" s="30" t="n"/>
      <c r="B124" s="41" t="str">
        <f>IF(ISNUMBER(A124),"周"&amp;CHOOSE(WEEKDAY(A124,2),"一","二","三","四","五","六","日"),"")</f>
        <v/>
      </c>
      <c r="C124" s="32" t="n"/>
      <c r="D124" s="29" t="n"/>
      <c r="E124" s="55" t="str">
        <f>IF(ISNUMBER(A124),COUNTIFS('交易记录'!$B$5:$B$304,A124,'交易记录'!$Q$5:$Q$304,"已执行"),"")</f>
        <v/>
      </c>
      <c r="F124" s="31" t="n"/>
      <c r="G124" s="29" t="n"/>
      <c r="H124" s="56" t="str">
        <f>IF(NOT(ISNUMBER(A124)),"",IF(COUNTIFS('交易记录'!$S$5:$S$304,A124,'交易记录'!$Y$5:$Y$304,"已平仓")=0,"",SUMIFS('交易记录'!$AG$5:$AG$304,'交易记录'!$S$5:$S$304,A124,'交易记录'!$Y$5:$Y$304,"已平仓")))</f>
        <v/>
      </c>
      <c r="I124" s="41" t="str">
        <f>IF(NOT(ISNUMBER(H124)),"",IF(H124&lt;=-'参数'!$C$8,"触及停手线",""))</f>
        <v/>
      </c>
      <c r="J124" s="31" t="n"/>
      <c r="K124" s="31" t="n"/>
    </row>
    <row r="125">
      <c r="A125" s="30" t="n"/>
      <c r="B125" s="41" t="str">
        <f>IF(ISNUMBER(A125),"周"&amp;CHOOSE(WEEKDAY(A125,2),"一","二","三","四","五","六","日"),"")</f>
        <v/>
      </c>
      <c r="C125" s="32" t="n"/>
      <c r="D125" s="29" t="n"/>
      <c r="E125" s="55" t="str">
        <f>IF(ISNUMBER(A125),COUNTIFS('交易记录'!$B$5:$B$304,A125,'交易记录'!$Q$5:$Q$304,"已执行"),"")</f>
        <v/>
      </c>
      <c r="F125" s="31" t="n"/>
      <c r="G125" s="29" t="n"/>
      <c r="H125" s="56" t="str">
        <f>IF(NOT(ISNUMBER(A125)),"",IF(COUNTIFS('交易记录'!$S$5:$S$304,A125,'交易记录'!$Y$5:$Y$304,"已平仓")=0,"",SUMIFS('交易记录'!$AG$5:$AG$304,'交易记录'!$S$5:$S$304,A125,'交易记录'!$Y$5:$Y$304,"已平仓")))</f>
        <v/>
      </c>
      <c r="I125" s="41" t="str">
        <f>IF(NOT(ISNUMBER(H125)),"",IF(H125&lt;=-'参数'!$C$8,"触及停手线",""))</f>
        <v/>
      </c>
      <c r="J125" s="31" t="n"/>
      <c r="K125" s="31" t="n"/>
    </row>
    <row r="126">
      <c r="A126" s="30" t="n"/>
      <c r="B126" s="41" t="str">
        <f>IF(ISNUMBER(A126),"周"&amp;CHOOSE(WEEKDAY(A126,2),"一","二","三","四","五","六","日"),"")</f>
        <v/>
      </c>
      <c r="C126" s="32" t="n"/>
      <c r="D126" s="29" t="n"/>
      <c r="E126" s="55" t="str">
        <f>IF(ISNUMBER(A126),COUNTIFS('交易记录'!$B$5:$B$304,A126,'交易记录'!$Q$5:$Q$304,"已执行"),"")</f>
        <v/>
      </c>
      <c r="F126" s="31" t="n"/>
      <c r="G126" s="29" t="n"/>
      <c r="H126" s="56" t="str">
        <f>IF(NOT(ISNUMBER(A126)),"",IF(COUNTIFS('交易记录'!$S$5:$S$304,A126,'交易记录'!$Y$5:$Y$304,"已平仓")=0,"",SUMIFS('交易记录'!$AG$5:$AG$304,'交易记录'!$S$5:$S$304,A126,'交易记录'!$Y$5:$Y$304,"已平仓")))</f>
        <v/>
      </c>
      <c r="I126" s="41" t="str">
        <f>IF(NOT(ISNUMBER(H126)),"",IF(H126&lt;=-'参数'!$C$8,"触及停手线",""))</f>
        <v/>
      </c>
      <c r="J126" s="31" t="n"/>
      <c r="K126" s="31" t="n"/>
    </row>
    <row r="127">
      <c r="A127" s="30" t="n"/>
      <c r="B127" s="41" t="str">
        <f>IF(ISNUMBER(A127),"周"&amp;CHOOSE(WEEKDAY(A127,2),"一","二","三","四","五","六","日"),"")</f>
        <v/>
      </c>
      <c r="C127" s="32" t="n"/>
      <c r="D127" s="29" t="n"/>
      <c r="E127" s="55" t="str">
        <f>IF(ISNUMBER(A127),COUNTIFS('交易记录'!$B$5:$B$304,A127,'交易记录'!$Q$5:$Q$304,"已执行"),"")</f>
        <v/>
      </c>
      <c r="F127" s="31" t="n"/>
      <c r="G127" s="29" t="n"/>
      <c r="H127" s="56" t="str">
        <f>IF(NOT(ISNUMBER(A127)),"",IF(COUNTIFS('交易记录'!$S$5:$S$304,A127,'交易记录'!$Y$5:$Y$304,"已平仓")=0,"",SUMIFS('交易记录'!$AG$5:$AG$304,'交易记录'!$S$5:$S$304,A127,'交易记录'!$Y$5:$Y$304,"已平仓")))</f>
        <v/>
      </c>
      <c r="I127" s="41" t="str">
        <f>IF(NOT(ISNUMBER(H127)),"",IF(H127&lt;=-'参数'!$C$8,"触及停手线",""))</f>
        <v/>
      </c>
      <c r="J127" s="31" t="n"/>
      <c r="K127" s="31" t="n"/>
    </row>
    <row r="128">
      <c r="A128" s="30" t="n"/>
      <c r="B128" s="41" t="str">
        <f>IF(ISNUMBER(A128),"周"&amp;CHOOSE(WEEKDAY(A128,2),"一","二","三","四","五","六","日"),"")</f>
        <v/>
      </c>
      <c r="C128" s="32" t="n"/>
      <c r="D128" s="29" t="n"/>
      <c r="E128" s="55" t="str">
        <f>IF(ISNUMBER(A128),COUNTIFS('交易记录'!$B$5:$B$304,A128,'交易记录'!$Q$5:$Q$304,"已执行"),"")</f>
        <v/>
      </c>
      <c r="F128" s="31" t="n"/>
      <c r="G128" s="29" t="n"/>
      <c r="H128" s="56" t="str">
        <f>IF(NOT(ISNUMBER(A128)),"",IF(COUNTIFS('交易记录'!$S$5:$S$304,A128,'交易记录'!$Y$5:$Y$304,"已平仓")=0,"",SUMIFS('交易记录'!$AG$5:$AG$304,'交易记录'!$S$5:$S$304,A128,'交易记录'!$Y$5:$Y$304,"已平仓")))</f>
        <v/>
      </c>
      <c r="I128" s="41" t="str">
        <f>IF(NOT(ISNUMBER(H128)),"",IF(H128&lt;=-'参数'!$C$8,"触及停手线",""))</f>
        <v/>
      </c>
      <c r="J128" s="31" t="n"/>
      <c r="K128" s="31" t="n"/>
    </row>
    <row r="129">
      <c r="A129" s="30" t="n"/>
      <c r="B129" s="41" t="str">
        <f>IF(ISNUMBER(A129),"周"&amp;CHOOSE(WEEKDAY(A129,2),"一","二","三","四","五","六","日"),"")</f>
        <v/>
      </c>
      <c r="C129" s="32" t="n"/>
      <c r="D129" s="29" t="n"/>
      <c r="E129" s="55" t="str">
        <f>IF(ISNUMBER(A129),COUNTIFS('交易记录'!$B$5:$B$304,A129,'交易记录'!$Q$5:$Q$304,"已执行"),"")</f>
        <v/>
      </c>
      <c r="F129" s="31" t="n"/>
      <c r="G129" s="29" t="n"/>
      <c r="H129" s="56" t="str">
        <f>IF(NOT(ISNUMBER(A129)),"",IF(COUNTIFS('交易记录'!$S$5:$S$304,A129,'交易记录'!$Y$5:$Y$304,"已平仓")=0,"",SUMIFS('交易记录'!$AG$5:$AG$304,'交易记录'!$S$5:$S$304,A129,'交易记录'!$Y$5:$Y$304,"已平仓")))</f>
        <v/>
      </c>
      <c r="I129" s="41" t="str">
        <f>IF(NOT(ISNUMBER(H129)),"",IF(H129&lt;=-'参数'!$C$8,"触及停手线",""))</f>
        <v/>
      </c>
      <c r="J129" s="31" t="n"/>
      <c r="K129" s="31" t="n"/>
    </row>
    <row r="130">
      <c r="A130" s="30" t="n"/>
      <c r="B130" s="41" t="str">
        <f>IF(ISNUMBER(A130),"周"&amp;CHOOSE(WEEKDAY(A130,2),"一","二","三","四","五","六","日"),"")</f>
        <v/>
      </c>
      <c r="C130" s="32" t="n"/>
      <c r="D130" s="29" t="n"/>
      <c r="E130" s="55" t="str">
        <f>IF(ISNUMBER(A130),COUNTIFS('交易记录'!$B$5:$B$304,A130,'交易记录'!$Q$5:$Q$304,"已执行"),"")</f>
        <v/>
      </c>
      <c r="F130" s="31" t="n"/>
      <c r="G130" s="29" t="n"/>
      <c r="H130" s="56" t="str">
        <f>IF(NOT(ISNUMBER(A130)),"",IF(COUNTIFS('交易记录'!$S$5:$S$304,A130,'交易记录'!$Y$5:$Y$304,"已平仓")=0,"",SUMIFS('交易记录'!$AG$5:$AG$304,'交易记录'!$S$5:$S$304,A130,'交易记录'!$Y$5:$Y$304,"已平仓")))</f>
        <v/>
      </c>
      <c r="I130" s="41" t="str">
        <f>IF(NOT(ISNUMBER(H130)),"",IF(H130&lt;=-'参数'!$C$8,"触及停手线",""))</f>
        <v/>
      </c>
      <c r="J130" s="31" t="n"/>
      <c r="K130" s="31" t="n"/>
    </row>
    <row r="131">
      <c r="A131" s="30" t="n"/>
      <c r="B131" s="41" t="str">
        <f>IF(ISNUMBER(A131),"周"&amp;CHOOSE(WEEKDAY(A131,2),"一","二","三","四","五","六","日"),"")</f>
        <v/>
      </c>
      <c r="C131" s="32" t="n"/>
      <c r="D131" s="29" t="n"/>
      <c r="E131" s="55" t="str">
        <f>IF(ISNUMBER(A131),COUNTIFS('交易记录'!$B$5:$B$304,A131,'交易记录'!$Q$5:$Q$304,"已执行"),"")</f>
        <v/>
      </c>
      <c r="F131" s="31" t="n"/>
      <c r="G131" s="29" t="n"/>
      <c r="H131" s="56" t="str">
        <f>IF(NOT(ISNUMBER(A131)),"",IF(COUNTIFS('交易记录'!$S$5:$S$304,A131,'交易记录'!$Y$5:$Y$304,"已平仓")=0,"",SUMIFS('交易记录'!$AG$5:$AG$304,'交易记录'!$S$5:$S$304,A131,'交易记录'!$Y$5:$Y$304,"已平仓")))</f>
        <v/>
      </c>
      <c r="I131" s="41" t="str">
        <f>IF(NOT(ISNUMBER(H131)),"",IF(H131&lt;=-'参数'!$C$8,"触及停手线",""))</f>
        <v/>
      </c>
      <c r="J131" s="31" t="n"/>
      <c r="K131" s="31" t="n"/>
    </row>
    <row r="132">
      <c r="A132" s="30" t="n"/>
      <c r="B132" s="41" t="str">
        <f>IF(ISNUMBER(A132),"周"&amp;CHOOSE(WEEKDAY(A132,2),"一","二","三","四","五","六","日"),"")</f>
        <v/>
      </c>
      <c r="C132" s="32" t="n"/>
      <c r="D132" s="29" t="n"/>
      <c r="E132" s="55" t="str">
        <f>IF(ISNUMBER(A132),COUNTIFS('交易记录'!$B$5:$B$304,A132,'交易记录'!$Q$5:$Q$304,"已执行"),"")</f>
        <v/>
      </c>
      <c r="F132" s="31" t="n"/>
      <c r="G132" s="29" t="n"/>
      <c r="H132" s="56" t="str">
        <f>IF(NOT(ISNUMBER(A132)),"",IF(COUNTIFS('交易记录'!$S$5:$S$304,A132,'交易记录'!$Y$5:$Y$304,"已平仓")=0,"",SUMIFS('交易记录'!$AG$5:$AG$304,'交易记录'!$S$5:$S$304,A132,'交易记录'!$Y$5:$Y$304,"已平仓")))</f>
        <v/>
      </c>
      <c r="I132" s="41" t="str">
        <f>IF(NOT(ISNUMBER(H132)),"",IF(H132&lt;=-'参数'!$C$8,"触及停手线",""))</f>
        <v/>
      </c>
      <c r="J132" s="31" t="n"/>
      <c r="K132" s="31" t="n"/>
    </row>
    <row r="133">
      <c r="A133" s="30" t="n"/>
      <c r="B133" s="41" t="str">
        <f>IF(ISNUMBER(A133),"周"&amp;CHOOSE(WEEKDAY(A133,2),"一","二","三","四","五","六","日"),"")</f>
        <v/>
      </c>
      <c r="C133" s="32" t="n"/>
      <c r="D133" s="29" t="n"/>
      <c r="E133" s="55" t="str">
        <f>IF(ISNUMBER(A133),COUNTIFS('交易记录'!$B$5:$B$304,A133,'交易记录'!$Q$5:$Q$304,"已执行"),"")</f>
        <v/>
      </c>
      <c r="F133" s="31" t="n"/>
      <c r="G133" s="29" t="n"/>
      <c r="H133" s="56" t="str">
        <f>IF(NOT(ISNUMBER(A133)),"",IF(COUNTIFS('交易记录'!$S$5:$S$304,A133,'交易记录'!$Y$5:$Y$304,"已平仓")=0,"",SUMIFS('交易记录'!$AG$5:$AG$304,'交易记录'!$S$5:$S$304,A133,'交易记录'!$Y$5:$Y$304,"已平仓")))</f>
        <v/>
      </c>
      <c r="I133" s="41" t="str">
        <f>IF(NOT(ISNUMBER(H133)),"",IF(H133&lt;=-'参数'!$C$8,"触及停手线",""))</f>
        <v/>
      </c>
      <c r="J133" s="31" t="n"/>
      <c r="K133" s="31" t="n"/>
    </row>
    <row r="134">
      <c r="A134" s="30" t="n"/>
      <c r="B134" s="41" t="str">
        <f>IF(ISNUMBER(A134),"周"&amp;CHOOSE(WEEKDAY(A134,2),"一","二","三","四","五","六","日"),"")</f>
        <v/>
      </c>
      <c r="C134" s="32" t="n"/>
      <c r="D134" s="29" t="n"/>
      <c r="E134" s="55" t="str">
        <f>IF(ISNUMBER(A134),COUNTIFS('交易记录'!$B$5:$B$304,A134,'交易记录'!$Q$5:$Q$304,"已执行"),"")</f>
        <v/>
      </c>
      <c r="F134" s="31" t="n"/>
      <c r="G134" s="29" t="n"/>
      <c r="H134" s="56" t="str">
        <f>IF(NOT(ISNUMBER(A134)),"",IF(COUNTIFS('交易记录'!$S$5:$S$304,A134,'交易记录'!$Y$5:$Y$304,"已平仓")=0,"",SUMIFS('交易记录'!$AG$5:$AG$304,'交易记录'!$S$5:$S$304,A134,'交易记录'!$Y$5:$Y$304,"已平仓")))</f>
        <v/>
      </c>
      <c r="I134" s="41" t="str">
        <f>IF(NOT(ISNUMBER(H134)),"",IF(H134&lt;=-'参数'!$C$8,"触及停手线",""))</f>
        <v/>
      </c>
      <c r="J134" s="31" t="n"/>
      <c r="K134" s="31" t="n"/>
    </row>
    <row r="135">
      <c r="A135" s="30" t="n"/>
      <c r="B135" s="41" t="str">
        <f>IF(ISNUMBER(A135),"周"&amp;CHOOSE(WEEKDAY(A135,2),"一","二","三","四","五","六","日"),"")</f>
        <v/>
      </c>
      <c r="C135" s="32" t="n"/>
      <c r="D135" s="29" t="n"/>
      <c r="E135" s="55" t="str">
        <f>IF(ISNUMBER(A135),COUNTIFS('交易记录'!$B$5:$B$304,A135,'交易记录'!$Q$5:$Q$304,"已执行"),"")</f>
        <v/>
      </c>
      <c r="F135" s="31" t="n"/>
      <c r="G135" s="29" t="n"/>
      <c r="H135" s="56" t="str">
        <f>IF(NOT(ISNUMBER(A135)),"",IF(COUNTIFS('交易记录'!$S$5:$S$304,A135,'交易记录'!$Y$5:$Y$304,"已平仓")=0,"",SUMIFS('交易记录'!$AG$5:$AG$304,'交易记录'!$S$5:$S$304,A135,'交易记录'!$Y$5:$Y$304,"已平仓")))</f>
        <v/>
      </c>
      <c r="I135" s="41" t="str">
        <f>IF(NOT(ISNUMBER(H135)),"",IF(H135&lt;=-'参数'!$C$8,"触及停手线",""))</f>
        <v/>
      </c>
      <c r="J135" s="31" t="n"/>
      <c r="K135" s="31" t="n"/>
    </row>
    <row r="136">
      <c r="A136" s="30" t="n"/>
      <c r="B136" s="41" t="str">
        <f>IF(ISNUMBER(A136),"周"&amp;CHOOSE(WEEKDAY(A136,2),"一","二","三","四","五","六","日"),"")</f>
        <v/>
      </c>
      <c r="C136" s="32" t="n"/>
      <c r="D136" s="29" t="n"/>
      <c r="E136" s="55" t="str">
        <f>IF(ISNUMBER(A136),COUNTIFS('交易记录'!$B$5:$B$304,A136,'交易记录'!$Q$5:$Q$304,"已执行"),"")</f>
        <v/>
      </c>
      <c r="F136" s="31" t="n"/>
      <c r="G136" s="29" t="n"/>
      <c r="H136" s="56" t="str">
        <f>IF(NOT(ISNUMBER(A136)),"",IF(COUNTIFS('交易记录'!$S$5:$S$304,A136,'交易记录'!$Y$5:$Y$304,"已平仓")=0,"",SUMIFS('交易记录'!$AG$5:$AG$304,'交易记录'!$S$5:$S$304,A136,'交易记录'!$Y$5:$Y$304,"已平仓")))</f>
        <v/>
      </c>
      <c r="I136" s="41" t="str">
        <f>IF(NOT(ISNUMBER(H136)),"",IF(H136&lt;=-'参数'!$C$8,"触及停手线",""))</f>
        <v/>
      </c>
      <c r="J136" s="31" t="n"/>
      <c r="K136" s="31" t="n"/>
    </row>
    <row r="137">
      <c r="A137" s="30" t="n"/>
      <c r="B137" s="41" t="str">
        <f>IF(ISNUMBER(A137),"周"&amp;CHOOSE(WEEKDAY(A137,2),"一","二","三","四","五","六","日"),"")</f>
        <v/>
      </c>
      <c r="C137" s="32" t="n"/>
      <c r="D137" s="29" t="n"/>
      <c r="E137" s="55" t="str">
        <f>IF(ISNUMBER(A137),COUNTIFS('交易记录'!$B$5:$B$304,A137,'交易记录'!$Q$5:$Q$304,"已执行"),"")</f>
        <v/>
      </c>
      <c r="F137" s="31" t="n"/>
      <c r="G137" s="29" t="n"/>
      <c r="H137" s="56" t="str">
        <f>IF(NOT(ISNUMBER(A137)),"",IF(COUNTIFS('交易记录'!$S$5:$S$304,A137,'交易记录'!$Y$5:$Y$304,"已平仓")=0,"",SUMIFS('交易记录'!$AG$5:$AG$304,'交易记录'!$S$5:$S$304,A137,'交易记录'!$Y$5:$Y$304,"已平仓")))</f>
        <v/>
      </c>
      <c r="I137" s="41" t="str">
        <f>IF(NOT(ISNUMBER(H137)),"",IF(H137&lt;=-'参数'!$C$8,"触及停手线",""))</f>
        <v/>
      </c>
      <c r="J137" s="31" t="n"/>
      <c r="K137" s="31" t="n"/>
    </row>
    <row r="138">
      <c r="A138" s="30" t="n"/>
      <c r="B138" s="41" t="str">
        <f>IF(ISNUMBER(A138),"周"&amp;CHOOSE(WEEKDAY(A138,2),"一","二","三","四","五","六","日"),"")</f>
        <v/>
      </c>
      <c r="C138" s="32" t="n"/>
      <c r="D138" s="29" t="n"/>
      <c r="E138" s="55" t="str">
        <f>IF(ISNUMBER(A138),COUNTIFS('交易记录'!$B$5:$B$304,A138,'交易记录'!$Q$5:$Q$304,"已执行"),"")</f>
        <v/>
      </c>
      <c r="F138" s="31" t="n"/>
      <c r="G138" s="29" t="n"/>
      <c r="H138" s="56" t="str">
        <f>IF(NOT(ISNUMBER(A138)),"",IF(COUNTIFS('交易记录'!$S$5:$S$304,A138,'交易记录'!$Y$5:$Y$304,"已平仓")=0,"",SUMIFS('交易记录'!$AG$5:$AG$304,'交易记录'!$S$5:$S$304,A138,'交易记录'!$Y$5:$Y$304,"已平仓")))</f>
        <v/>
      </c>
      <c r="I138" s="41" t="str">
        <f>IF(NOT(ISNUMBER(H138)),"",IF(H138&lt;=-'参数'!$C$8,"触及停手线",""))</f>
        <v/>
      </c>
      <c r="J138" s="31" t="n"/>
      <c r="K138" s="31" t="n"/>
    </row>
    <row r="139">
      <c r="A139" s="30" t="n"/>
      <c r="B139" s="41" t="str">
        <f>IF(ISNUMBER(A139),"周"&amp;CHOOSE(WEEKDAY(A139,2),"一","二","三","四","五","六","日"),"")</f>
        <v/>
      </c>
      <c r="C139" s="32" t="n"/>
      <c r="D139" s="29" t="n"/>
      <c r="E139" s="55" t="str">
        <f>IF(ISNUMBER(A139),COUNTIFS('交易记录'!$B$5:$B$304,A139,'交易记录'!$Q$5:$Q$304,"已执行"),"")</f>
        <v/>
      </c>
      <c r="F139" s="31" t="n"/>
      <c r="G139" s="29" t="n"/>
      <c r="H139" s="56" t="str">
        <f>IF(NOT(ISNUMBER(A139)),"",IF(COUNTIFS('交易记录'!$S$5:$S$304,A139,'交易记录'!$Y$5:$Y$304,"已平仓")=0,"",SUMIFS('交易记录'!$AG$5:$AG$304,'交易记录'!$S$5:$S$304,A139,'交易记录'!$Y$5:$Y$304,"已平仓")))</f>
        <v/>
      </c>
      <c r="I139" s="41" t="str">
        <f>IF(NOT(ISNUMBER(H139)),"",IF(H139&lt;=-'参数'!$C$8,"触及停手线",""))</f>
        <v/>
      </c>
      <c r="J139" s="31" t="n"/>
      <c r="K139" s="31" t="n"/>
    </row>
    <row r="140">
      <c r="A140" s="30" t="n"/>
      <c r="B140" s="41" t="str">
        <f>IF(ISNUMBER(A140),"周"&amp;CHOOSE(WEEKDAY(A140,2),"一","二","三","四","五","六","日"),"")</f>
        <v/>
      </c>
      <c r="C140" s="32" t="n"/>
      <c r="D140" s="29" t="n"/>
      <c r="E140" s="55" t="str">
        <f>IF(ISNUMBER(A140),COUNTIFS('交易记录'!$B$5:$B$304,A140,'交易记录'!$Q$5:$Q$304,"已执行"),"")</f>
        <v/>
      </c>
      <c r="F140" s="31" t="n"/>
      <c r="G140" s="29" t="n"/>
      <c r="H140" s="56" t="str">
        <f>IF(NOT(ISNUMBER(A140)),"",IF(COUNTIFS('交易记录'!$S$5:$S$304,A140,'交易记录'!$Y$5:$Y$304,"已平仓")=0,"",SUMIFS('交易记录'!$AG$5:$AG$304,'交易记录'!$S$5:$S$304,A140,'交易记录'!$Y$5:$Y$304,"已平仓")))</f>
        <v/>
      </c>
      <c r="I140" s="41" t="str">
        <f>IF(NOT(ISNUMBER(H140)),"",IF(H140&lt;=-'参数'!$C$8,"触及停手线",""))</f>
        <v/>
      </c>
      <c r="J140" s="31" t="n"/>
      <c r="K140" s="31" t="n"/>
    </row>
    <row r="141">
      <c r="A141" s="30" t="n"/>
      <c r="B141" s="41" t="str">
        <f>IF(ISNUMBER(A141),"周"&amp;CHOOSE(WEEKDAY(A141,2),"一","二","三","四","五","六","日"),"")</f>
        <v/>
      </c>
      <c r="C141" s="32" t="n"/>
      <c r="D141" s="29" t="n"/>
      <c r="E141" s="55" t="str">
        <f>IF(ISNUMBER(A141),COUNTIFS('交易记录'!$B$5:$B$304,A141,'交易记录'!$Q$5:$Q$304,"已执行"),"")</f>
        <v/>
      </c>
      <c r="F141" s="31" t="n"/>
      <c r="G141" s="29" t="n"/>
      <c r="H141" s="56" t="str">
        <f>IF(NOT(ISNUMBER(A141)),"",IF(COUNTIFS('交易记录'!$S$5:$S$304,A141,'交易记录'!$Y$5:$Y$304,"已平仓")=0,"",SUMIFS('交易记录'!$AG$5:$AG$304,'交易记录'!$S$5:$S$304,A141,'交易记录'!$Y$5:$Y$304,"已平仓")))</f>
        <v/>
      </c>
      <c r="I141" s="41" t="str">
        <f>IF(NOT(ISNUMBER(H141)),"",IF(H141&lt;=-'参数'!$C$8,"触及停手线",""))</f>
        <v/>
      </c>
      <c r="J141" s="31" t="n"/>
      <c r="K141" s="31" t="n"/>
    </row>
    <row r="142">
      <c r="A142" s="30" t="n"/>
      <c r="B142" s="41" t="str">
        <f>IF(ISNUMBER(A142),"周"&amp;CHOOSE(WEEKDAY(A142,2),"一","二","三","四","五","六","日"),"")</f>
        <v/>
      </c>
      <c r="C142" s="32" t="n"/>
      <c r="D142" s="29" t="n"/>
      <c r="E142" s="55" t="str">
        <f>IF(ISNUMBER(A142),COUNTIFS('交易记录'!$B$5:$B$304,A142,'交易记录'!$Q$5:$Q$304,"已执行"),"")</f>
        <v/>
      </c>
      <c r="F142" s="31" t="n"/>
      <c r="G142" s="29" t="n"/>
      <c r="H142" s="56" t="str">
        <f>IF(NOT(ISNUMBER(A142)),"",IF(COUNTIFS('交易记录'!$S$5:$S$304,A142,'交易记录'!$Y$5:$Y$304,"已平仓")=0,"",SUMIFS('交易记录'!$AG$5:$AG$304,'交易记录'!$S$5:$S$304,A142,'交易记录'!$Y$5:$Y$304,"已平仓")))</f>
        <v/>
      </c>
      <c r="I142" s="41" t="str">
        <f>IF(NOT(ISNUMBER(H142)),"",IF(H142&lt;=-'参数'!$C$8,"触及停手线",""))</f>
        <v/>
      </c>
      <c r="J142" s="31" t="n"/>
      <c r="K142" s="31" t="n"/>
    </row>
    <row r="143">
      <c r="A143" s="30" t="n"/>
      <c r="B143" s="41" t="str">
        <f>IF(ISNUMBER(A143),"周"&amp;CHOOSE(WEEKDAY(A143,2),"一","二","三","四","五","六","日"),"")</f>
        <v/>
      </c>
      <c r="C143" s="32" t="n"/>
      <c r="D143" s="29" t="n"/>
      <c r="E143" s="55" t="str">
        <f>IF(ISNUMBER(A143),COUNTIFS('交易记录'!$B$5:$B$304,A143,'交易记录'!$Q$5:$Q$304,"已执行"),"")</f>
        <v/>
      </c>
      <c r="F143" s="31" t="n"/>
      <c r="G143" s="29" t="n"/>
      <c r="H143" s="56" t="str">
        <f>IF(NOT(ISNUMBER(A143)),"",IF(COUNTIFS('交易记录'!$S$5:$S$304,A143,'交易记录'!$Y$5:$Y$304,"已平仓")=0,"",SUMIFS('交易记录'!$AG$5:$AG$304,'交易记录'!$S$5:$S$304,A143,'交易记录'!$Y$5:$Y$304,"已平仓")))</f>
        <v/>
      </c>
      <c r="I143" s="41" t="str">
        <f>IF(NOT(ISNUMBER(H143)),"",IF(H143&lt;=-'参数'!$C$8,"触及停手线",""))</f>
        <v/>
      </c>
      <c r="J143" s="31" t="n"/>
      <c r="K143" s="31" t="n"/>
    </row>
    <row r="144">
      <c r="A144" s="30" t="n"/>
      <c r="B144" s="41" t="str">
        <f>IF(ISNUMBER(A144),"周"&amp;CHOOSE(WEEKDAY(A144,2),"一","二","三","四","五","六","日"),"")</f>
        <v/>
      </c>
      <c r="C144" s="32" t="n"/>
      <c r="D144" s="29" t="n"/>
      <c r="E144" s="55" t="str">
        <f>IF(ISNUMBER(A144),COUNTIFS('交易记录'!$B$5:$B$304,A144,'交易记录'!$Q$5:$Q$304,"已执行"),"")</f>
        <v/>
      </c>
      <c r="F144" s="31" t="n"/>
      <c r="G144" s="29" t="n"/>
      <c r="H144" s="56" t="str">
        <f>IF(NOT(ISNUMBER(A144)),"",IF(COUNTIFS('交易记录'!$S$5:$S$304,A144,'交易记录'!$Y$5:$Y$304,"已平仓")=0,"",SUMIFS('交易记录'!$AG$5:$AG$304,'交易记录'!$S$5:$S$304,A144,'交易记录'!$Y$5:$Y$304,"已平仓")))</f>
        <v/>
      </c>
      <c r="I144" s="41" t="str">
        <f>IF(NOT(ISNUMBER(H144)),"",IF(H144&lt;=-'参数'!$C$8,"触及停手线",""))</f>
        <v/>
      </c>
      <c r="J144" s="31" t="n"/>
      <c r="K144" s="31" t="n"/>
    </row>
    <row r="145">
      <c r="A145" s="30" t="n"/>
      <c r="B145" s="41" t="str">
        <f>IF(ISNUMBER(A145),"周"&amp;CHOOSE(WEEKDAY(A145,2),"一","二","三","四","五","六","日"),"")</f>
        <v/>
      </c>
      <c r="C145" s="32" t="n"/>
      <c r="D145" s="29" t="n"/>
      <c r="E145" s="55" t="str">
        <f>IF(ISNUMBER(A145),COUNTIFS('交易记录'!$B$5:$B$304,A145,'交易记录'!$Q$5:$Q$304,"已执行"),"")</f>
        <v/>
      </c>
      <c r="F145" s="31" t="n"/>
      <c r="G145" s="29" t="n"/>
      <c r="H145" s="56" t="str">
        <f>IF(NOT(ISNUMBER(A145)),"",IF(COUNTIFS('交易记录'!$S$5:$S$304,A145,'交易记录'!$Y$5:$Y$304,"已平仓")=0,"",SUMIFS('交易记录'!$AG$5:$AG$304,'交易记录'!$S$5:$S$304,A145,'交易记录'!$Y$5:$Y$304,"已平仓")))</f>
        <v/>
      </c>
      <c r="I145" s="41" t="str">
        <f>IF(NOT(ISNUMBER(H145)),"",IF(H145&lt;=-'参数'!$C$8,"触及停手线",""))</f>
        <v/>
      </c>
      <c r="J145" s="31" t="n"/>
      <c r="K145" s="31" t="n"/>
    </row>
    <row r="146">
      <c r="A146" s="30" t="n"/>
      <c r="B146" s="41" t="str">
        <f>IF(ISNUMBER(A146),"周"&amp;CHOOSE(WEEKDAY(A146,2),"一","二","三","四","五","六","日"),"")</f>
        <v/>
      </c>
      <c r="C146" s="32" t="n"/>
      <c r="D146" s="29" t="n"/>
      <c r="E146" s="55" t="str">
        <f>IF(ISNUMBER(A146),COUNTIFS('交易记录'!$B$5:$B$304,A146,'交易记录'!$Q$5:$Q$304,"已执行"),"")</f>
        <v/>
      </c>
      <c r="F146" s="31" t="n"/>
      <c r="G146" s="29" t="n"/>
      <c r="H146" s="56" t="str">
        <f>IF(NOT(ISNUMBER(A146)),"",IF(COUNTIFS('交易记录'!$S$5:$S$304,A146,'交易记录'!$Y$5:$Y$304,"已平仓")=0,"",SUMIFS('交易记录'!$AG$5:$AG$304,'交易记录'!$S$5:$S$304,A146,'交易记录'!$Y$5:$Y$304,"已平仓")))</f>
        <v/>
      </c>
      <c r="I146" s="41" t="str">
        <f>IF(NOT(ISNUMBER(H146)),"",IF(H146&lt;=-'参数'!$C$8,"触及停手线",""))</f>
        <v/>
      </c>
      <c r="J146" s="31" t="n"/>
      <c r="K146" s="31" t="n"/>
    </row>
    <row r="147">
      <c r="A147" s="30" t="n"/>
      <c r="B147" s="41" t="str">
        <f>IF(ISNUMBER(A147),"周"&amp;CHOOSE(WEEKDAY(A147,2),"一","二","三","四","五","六","日"),"")</f>
        <v/>
      </c>
      <c r="C147" s="32" t="n"/>
      <c r="D147" s="29" t="n"/>
      <c r="E147" s="55" t="str">
        <f>IF(ISNUMBER(A147),COUNTIFS('交易记录'!$B$5:$B$304,A147,'交易记录'!$Q$5:$Q$304,"已执行"),"")</f>
        <v/>
      </c>
      <c r="F147" s="31" t="n"/>
      <c r="G147" s="29" t="n"/>
      <c r="H147" s="56" t="str">
        <f>IF(NOT(ISNUMBER(A147)),"",IF(COUNTIFS('交易记录'!$S$5:$S$304,A147,'交易记录'!$Y$5:$Y$304,"已平仓")=0,"",SUMIFS('交易记录'!$AG$5:$AG$304,'交易记录'!$S$5:$S$304,A147,'交易记录'!$Y$5:$Y$304,"已平仓")))</f>
        <v/>
      </c>
      <c r="I147" s="41" t="str">
        <f>IF(NOT(ISNUMBER(H147)),"",IF(H147&lt;=-'参数'!$C$8,"触及停手线",""))</f>
        <v/>
      </c>
      <c r="J147" s="31" t="n"/>
      <c r="K147" s="31" t="n"/>
    </row>
    <row r="148">
      <c r="A148" s="30" t="n"/>
      <c r="B148" s="41" t="str">
        <f>IF(ISNUMBER(A148),"周"&amp;CHOOSE(WEEKDAY(A148,2),"一","二","三","四","五","六","日"),"")</f>
        <v/>
      </c>
      <c r="C148" s="32" t="n"/>
      <c r="D148" s="29" t="n"/>
      <c r="E148" s="55" t="str">
        <f>IF(ISNUMBER(A148),COUNTIFS('交易记录'!$B$5:$B$304,A148,'交易记录'!$Q$5:$Q$304,"已执行"),"")</f>
        <v/>
      </c>
      <c r="F148" s="31" t="n"/>
      <c r="G148" s="29" t="n"/>
      <c r="H148" s="56" t="str">
        <f>IF(NOT(ISNUMBER(A148)),"",IF(COUNTIFS('交易记录'!$S$5:$S$304,A148,'交易记录'!$Y$5:$Y$304,"已平仓")=0,"",SUMIFS('交易记录'!$AG$5:$AG$304,'交易记录'!$S$5:$S$304,A148,'交易记录'!$Y$5:$Y$304,"已平仓")))</f>
        <v/>
      </c>
      <c r="I148" s="41" t="str">
        <f>IF(NOT(ISNUMBER(H148)),"",IF(H148&lt;=-'参数'!$C$8,"触及停手线",""))</f>
        <v/>
      </c>
      <c r="J148" s="31" t="n"/>
      <c r="K148" s="31" t="n"/>
    </row>
    <row r="149">
      <c r="A149" s="30" t="n"/>
      <c r="B149" s="41" t="str">
        <f>IF(ISNUMBER(A149),"周"&amp;CHOOSE(WEEKDAY(A149,2),"一","二","三","四","五","六","日"),"")</f>
        <v/>
      </c>
      <c r="C149" s="32" t="n"/>
      <c r="D149" s="29" t="n"/>
      <c r="E149" s="55" t="str">
        <f>IF(ISNUMBER(A149),COUNTIFS('交易记录'!$B$5:$B$304,A149,'交易记录'!$Q$5:$Q$304,"已执行"),"")</f>
        <v/>
      </c>
      <c r="F149" s="31" t="n"/>
      <c r="G149" s="29" t="n"/>
      <c r="H149" s="56" t="str">
        <f>IF(NOT(ISNUMBER(A149)),"",IF(COUNTIFS('交易记录'!$S$5:$S$304,A149,'交易记录'!$Y$5:$Y$304,"已平仓")=0,"",SUMIFS('交易记录'!$AG$5:$AG$304,'交易记录'!$S$5:$S$304,A149,'交易记录'!$Y$5:$Y$304,"已平仓")))</f>
        <v/>
      </c>
      <c r="I149" s="41" t="str">
        <f>IF(NOT(ISNUMBER(H149)),"",IF(H149&lt;=-'参数'!$C$8,"触及停手线",""))</f>
        <v/>
      </c>
      <c r="J149" s="31" t="n"/>
      <c r="K149" s="31" t="n"/>
    </row>
    <row r="150">
      <c r="A150" s="30" t="n"/>
      <c r="B150" s="41" t="str">
        <f>IF(ISNUMBER(A150),"周"&amp;CHOOSE(WEEKDAY(A150,2),"一","二","三","四","五","六","日"),"")</f>
        <v/>
      </c>
      <c r="C150" s="32" t="n"/>
      <c r="D150" s="29" t="n"/>
      <c r="E150" s="55" t="str">
        <f>IF(ISNUMBER(A150),COUNTIFS('交易记录'!$B$5:$B$304,A150,'交易记录'!$Q$5:$Q$304,"已执行"),"")</f>
        <v/>
      </c>
      <c r="F150" s="31" t="n"/>
      <c r="G150" s="29" t="n"/>
      <c r="H150" s="56" t="str">
        <f>IF(NOT(ISNUMBER(A150)),"",IF(COUNTIFS('交易记录'!$S$5:$S$304,A150,'交易记录'!$Y$5:$Y$304,"已平仓")=0,"",SUMIFS('交易记录'!$AG$5:$AG$304,'交易记录'!$S$5:$S$304,A150,'交易记录'!$Y$5:$Y$304,"已平仓")))</f>
        <v/>
      </c>
      <c r="I150" s="41" t="str">
        <f>IF(NOT(ISNUMBER(H150)),"",IF(H150&lt;=-'参数'!$C$8,"触及停手线",""))</f>
        <v/>
      </c>
      <c r="J150" s="31" t="n"/>
      <c r="K150" s="31" t="n"/>
    </row>
    <row r="151">
      <c r="A151" s="30" t="n"/>
      <c r="B151" s="41" t="str">
        <f>IF(ISNUMBER(A151),"周"&amp;CHOOSE(WEEKDAY(A151,2),"一","二","三","四","五","六","日"),"")</f>
        <v/>
      </c>
      <c r="C151" s="32" t="n"/>
      <c r="D151" s="29" t="n"/>
      <c r="E151" s="55" t="str">
        <f>IF(ISNUMBER(A151),COUNTIFS('交易记录'!$B$5:$B$304,A151,'交易记录'!$Q$5:$Q$304,"已执行"),"")</f>
        <v/>
      </c>
      <c r="F151" s="31" t="n"/>
      <c r="G151" s="29" t="n"/>
      <c r="H151" s="56" t="str">
        <f>IF(NOT(ISNUMBER(A151)),"",IF(COUNTIFS('交易记录'!$S$5:$S$304,A151,'交易记录'!$Y$5:$Y$304,"已平仓")=0,"",SUMIFS('交易记录'!$AG$5:$AG$304,'交易记录'!$S$5:$S$304,A151,'交易记录'!$Y$5:$Y$304,"已平仓")))</f>
        <v/>
      </c>
      <c r="I151" s="41" t="str">
        <f>IF(NOT(ISNUMBER(H151)),"",IF(H151&lt;=-'参数'!$C$8,"触及停手线",""))</f>
        <v/>
      </c>
      <c r="J151" s="31" t="n"/>
      <c r="K151" s="31" t="n"/>
    </row>
    <row r="152">
      <c r="A152" s="30" t="n"/>
      <c r="B152" s="41" t="str">
        <f>IF(ISNUMBER(A152),"周"&amp;CHOOSE(WEEKDAY(A152,2),"一","二","三","四","五","六","日"),"")</f>
        <v/>
      </c>
      <c r="C152" s="32" t="n"/>
      <c r="D152" s="29" t="n"/>
      <c r="E152" s="55" t="str">
        <f>IF(ISNUMBER(A152),COUNTIFS('交易记录'!$B$5:$B$304,A152,'交易记录'!$Q$5:$Q$304,"已执行"),"")</f>
        <v/>
      </c>
      <c r="F152" s="31" t="n"/>
      <c r="G152" s="29" t="n"/>
      <c r="H152" s="56" t="str">
        <f>IF(NOT(ISNUMBER(A152)),"",IF(COUNTIFS('交易记录'!$S$5:$S$304,A152,'交易记录'!$Y$5:$Y$304,"已平仓")=0,"",SUMIFS('交易记录'!$AG$5:$AG$304,'交易记录'!$S$5:$S$304,A152,'交易记录'!$Y$5:$Y$304,"已平仓")))</f>
        <v/>
      </c>
      <c r="I152" s="41" t="str">
        <f>IF(NOT(ISNUMBER(H152)),"",IF(H152&lt;=-'参数'!$C$8,"触及停手线",""))</f>
        <v/>
      </c>
      <c r="J152" s="31" t="n"/>
      <c r="K152" s="31" t="n"/>
    </row>
    <row r="153">
      <c r="A153" s="30" t="n"/>
      <c r="B153" s="41" t="str">
        <f>IF(ISNUMBER(A153),"周"&amp;CHOOSE(WEEKDAY(A153,2),"一","二","三","四","五","六","日"),"")</f>
        <v/>
      </c>
      <c r="C153" s="32" t="n"/>
      <c r="D153" s="29" t="n"/>
      <c r="E153" s="55" t="str">
        <f>IF(ISNUMBER(A153),COUNTIFS('交易记录'!$B$5:$B$304,A153,'交易记录'!$Q$5:$Q$304,"已执行"),"")</f>
        <v/>
      </c>
      <c r="F153" s="31" t="n"/>
      <c r="G153" s="29" t="n"/>
      <c r="H153" s="56" t="str">
        <f>IF(NOT(ISNUMBER(A153)),"",IF(COUNTIFS('交易记录'!$S$5:$S$304,A153,'交易记录'!$Y$5:$Y$304,"已平仓")=0,"",SUMIFS('交易记录'!$AG$5:$AG$304,'交易记录'!$S$5:$S$304,A153,'交易记录'!$Y$5:$Y$304,"已平仓")))</f>
        <v/>
      </c>
      <c r="I153" s="41" t="str">
        <f>IF(NOT(ISNUMBER(H153)),"",IF(H153&lt;=-'参数'!$C$8,"触及停手线",""))</f>
        <v/>
      </c>
      <c r="J153" s="31" t="n"/>
      <c r="K153" s="31" t="n"/>
    </row>
    <row r="154">
      <c r="A154" s="30" t="n"/>
      <c r="B154" s="41" t="str">
        <f>IF(ISNUMBER(A154),"周"&amp;CHOOSE(WEEKDAY(A154,2),"一","二","三","四","五","六","日"),"")</f>
        <v/>
      </c>
      <c r="C154" s="32" t="n"/>
      <c r="D154" s="29" t="n"/>
      <c r="E154" s="55" t="str">
        <f>IF(ISNUMBER(A154),COUNTIFS('交易记录'!$B$5:$B$304,A154,'交易记录'!$Q$5:$Q$304,"已执行"),"")</f>
        <v/>
      </c>
      <c r="F154" s="31" t="n"/>
      <c r="G154" s="29" t="n"/>
      <c r="H154" s="56" t="str">
        <f>IF(NOT(ISNUMBER(A154)),"",IF(COUNTIFS('交易记录'!$S$5:$S$304,A154,'交易记录'!$Y$5:$Y$304,"已平仓")=0,"",SUMIFS('交易记录'!$AG$5:$AG$304,'交易记录'!$S$5:$S$304,A154,'交易记录'!$Y$5:$Y$304,"已平仓")))</f>
        <v/>
      </c>
      <c r="I154" s="41" t="str">
        <f>IF(NOT(ISNUMBER(H154)),"",IF(H154&lt;=-'参数'!$C$8,"触及停手线",""))</f>
        <v/>
      </c>
      <c r="J154" s="31" t="n"/>
      <c r="K154" s="31" t="n"/>
    </row>
    <row r="155">
      <c r="A155" s="30" t="n"/>
      <c r="B155" s="41" t="str">
        <f>IF(ISNUMBER(A155),"周"&amp;CHOOSE(WEEKDAY(A155,2),"一","二","三","四","五","六","日"),"")</f>
        <v/>
      </c>
      <c r="C155" s="32" t="n"/>
      <c r="D155" s="29" t="n"/>
      <c r="E155" s="55" t="str">
        <f>IF(ISNUMBER(A155),COUNTIFS('交易记录'!$B$5:$B$304,A155,'交易记录'!$Q$5:$Q$304,"已执行"),"")</f>
        <v/>
      </c>
      <c r="F155" s="31" t="n"/>
      <c r="G155" s="29" t="n"/>
      <c r="H155" s="56" t="str">
        <f>IF(NOT(ISNUMBER(A155)),"",IF(COUNTIFS('交易记录'!$S$5:$S$304,A155,'交易记录'!$Y$5:$Y$304,"已平仓")=0,"",SUMIFS('交易记录'!$AG$5:$AG$304,'交易记录'!$S$5:$S$304,A155,'交易记录'!$Y$5:$Y$304,"已平仓")))</f>
        <v/>
      </c>
      <c r="I155" s="41" t="str">
        <f>IF(NOT(ISNUMBER(H155)),"",IF(H155&lt;=-'参数'!$C$8,"触及停手线",""))</f>
        <v/>
      </c>
      <c r="J155" s="31" t="n"/>
      <c r="K155" s="31" t="n"/>
    </row>
    <row r="156">
      <c r="A156" s="30" t="n"/>
      <c r="B156" s="41" t="str">
        <f>IF(ISNUMBER(A156),"周"&amp;CHOOSE(WEEKDAY(A156,2),"一","二","三","四","五","六","日"),"")</f>
        <v/>
      </c>
      <c r="C156" s="32" t="n"/>
      <c r="D156" s="29" t="n"/>
      <c r="E156" s="55" t="str">
        <f>IF(ISNUMBER(A156),COUNTIFS('交易记录'!$B$5:$B$304,A156,'交易记录'!$Q$5:$Q$304,"已执行"),"")</f>
        <v/>
      </c>
      <c r="F156" s="31" t="n"/>
      <c r="G156" s="29" t="n"/>
      <c r="H156" s="56" t="str">
        <f>IF(NOT(ISNUMBER(A156)),"",IF(COUNTIFS('交易记录'!$S$5:$S$304,A156,'交易记录'!$Y$5:$Y$304,"已平仓")=0,"",SUMIFS('交易记录'!$AG$5:$AG$304,'交易记录'!$S$5:$S$304,A156,'交易记录'!$Y$5:$Y$304,"已平仓")))</f>
        <v/>
      </c>
      <c r="I156" s="41" t="str">
        <f>IF(NOT(ISNUMBER(H156)),"",IF(H156&lt;=-'参数'!$C$8,"触及停手线",""))</f>
        <v/>
      </c>
      <c r="J156" s="31" t="n"/>
      <c r="K156" s="31" t="n"/>
    </row>
    <row r="157">
      <c r="A157" s="30" t="n"/>
      <c r="B157" s="41" t="str">
        <f>IF(ISNUMBER(A157),"周"&amp;CHOOSE(WEEKDAY(A157,2),"一","二","三","四","五","六","日"),"")</f>
        <v/>
      </c>
      <c r="C157" s="32" t="n"/>
      <c r="D157" s="29" t="n"/>
      <c r="E157" s="55" t="str">
        <f>IF(ISNUMBER(A157),COUNTIFS('交易记录'!$B$5:$B$304,A157,'交易记录'!$Q$5:$Q$304,"已执行"),"")</f>
        <v/>
      </c>
      <c r="F157" s="31" t="n"/>
      <c r="G157" s="29" t="n"/>
      <c r="H157" s="56" t="str">
        <f>IF(NOT(ISNUMBER(A157)),"",IF(COUNTIFS('交易记录'!$S$5:$S$304,A157,'交易记录'!$Y$5:$Y$304,"已平仓")=0,"",SUMIFS('交易记录'!$AG$5:$AG$304,'交易记录'!$S$5:$S$304,A157,'交易记录'!$Y$5:$Y$304,"已平仓")))</f>
        <v/>
      </c>
      <c r="I157" s="41" t="str">
        <f>IF(NOT(ISNUMBER(H157)),"",IF(H157&lt;=-'参数'!$C$8,"触及停手线",""))</f>
        <v/>
      </c>
      <c r="J157" s="31" t="n"/>
      <c r="K157" s="31" t="n"/>
    </row>
    <row r="158">
      <c r="A158" s="30" t="n"/>
      <c r="B158" s="41" t="str">
        <f>IF(ISNUMBER(A158),"周"&amp;CHOOSE(WEEKDAY(A158,2),"一","二","三","四","五","六","日"),"")</f>
        <v/>
      </c>
      <c r="C158" s="32" t="n"/>
      <c r="D158" s="29" t="n"/>
      <c r="E158" s="55" t="str">
        <f>IF(ISNUMBER(A158),COUNTIFS('交易记录'!$B$5:$B$304,A158,'交易记录'!$Q$5:$Q$304,"已执行"),"")</f>
        <v/>
      </c>
      <c r="F158" s="31" t="n"/>
      <c r="G158" s="29" t="n"/>
      <c r="H158" s="56" t="str">
        <f>IF(NOT(ISNUMBER(A158)),"",IF(COUNTIFS('交易记录'!$S$5:$S$304,A158,'交易记录'!$Y$5:$Y$304,"已平仓")=0,"",SUMIFS('交易记录'!$AG$5:$AG$304,'交易记录'!$S$5:$S$304,A158,'交易记录'!$Y$5:$Y$304,"已平仓")))</f>
        <v/>
      </c>
      <c r="I158" s="41" t="str">
        <f>IF(NOT(ISNUMBER(H158)),"",IF(H158&lt;=-'参数'!$C$8,"触及停手线",""))</f>
        <v/>
      </c>
      <c r="J158" s="31" t="n"/>
      <c r="K158" s="31" t="n"/>
    </row>
    <row r="159">
      <c r="A159" s="30" t="n"/>
      <c r="B159" s="41" t="str">
        <f>IF(ISNUMBER(A159),"周"&amp;CHOOSE(WEEKDAY(A159,2),"一","二","三","四","五","六","日"),"")</f>
        <v/>
      </c>
      <c r="C159" s="32" t="n"/>
      <c r="D159" s="29" t="n"/>
      <c r="E159" s="55" t="str">
        <f>IF(ISNUMBER(A159),COUNTIFS('交易记录'!$B$5:$B$304,A159,'交易记录'!$Q$5:$Q$304,"已执行"),"")</f>
        <v/>
      </c>
      <c r="F159" s="31" t="n"/>
      <c r="G159" s="29" t="n"/>
      <c r="H159" s="56" t="str">
        <f>IF(NOT(ISNUMBER(A159)),"",IF(COUNTIFS('交易记录'!$S$5:$S$304,A159,'交易记录'!$Y$5:$Y$304,"已平仓")=0,"",SUMIFS('交易记录'!$AG$5:$AG$304,'交易记录'!$S$5:$S$304,A159,'交易记录'!$Y$5:$Y$304,"已平仓")))</f>
        <v/>
      </c>
      <c r="I159" s="41" t="str">
        <f>IF(NOT(ISNUMBER(H159)),"",IF(H159&lt;=-'参数'!$C$8,"触及停手线",""))</f>
        <v/>
      </c>
      <c r="J159" s="31" t="n"/>
      <c r="K159" s="31" t="n"/>
    </row>
    <row r="160">
      <c r="A160" s="30" t="n"/>
      <c r="B160" s="41" t="str">
        <f>IF(ISNUMBER(A160),"周"&amp;CHOOSE(WEEKDAY(A160,2),"一","二","三","四","五","六","日"),"")</f>
        <v/>
      </c>
      <c r="C160" s="32" t="n"/>
      <c r="D160" s="29" t="n"/>
      <c r="E160" s="55" t="str">
        <f>IF(ISNUMBER(A160),COUNTIFS('交易记录'!$B$5:$B$304,A160,'交易记录'!$Q$5:$Q$304,"已执行"),"")</f>
        <v/>
      </c>
      <c r="F160" s="31" t="n"/>
      <c r="G160" s="29" t="n"/>
      <c r="H160" s="56" t="str">
        <f>IF(NOT(ISNUMBER(A160)),"",IF(COUNTIFS('交易记录'!$S$5:$S$304,A160,'交易记录'!$Y$5:$Y$304,"已平仓")=0,"",SUMIFS('交易记录'!$AG$5:$AG$304,'交易记录'!$S$5:$S$304,A160,'交易记录'!$Y$5:$Y$304,"已平仓")))</f>
        <v/>
      </c>
      <c r="I160" s="41" t="str">
        <f>IF(NOT(ISNUMBER(H160)),"",IF(H160&lt;=-'参数'!$C$8,"触及停手线",""))</f>
        <v/>
      </c>
      <c r="J160" s="31" t="n"/>
      <c r="K160" s="31" t="n"/>
    </row>
    <row r="161">
      <c r="A161" s="30" t="n"/>
      <c r="B161" s="41" t="str">
        <f>IF(ISNUMBER(A161),"周"&amp;CHOOSE(WEEKDAY(A161,2),"一","二","三","四","五","六","日"),"")</f>
        <v/>
      </c>
      <c r="C161" s="32" t="n"/>
      <c r="D161" s="29" t="n"/>
      <c r="E161" s="55" t="str">
        <f>IF(ISNUMBER(A161),COUNTIFS('交易记录'!$B$5:$B$304,A161,'交易记录'!$Q$5:$Q$304,"已执行"),"")</f>
        <v/>
      </c>
      <c r="F161" s="31" t="n"/>
      <c r="G161" s="29" t="n"/>
      <c r="H161" s="56" t="str">
        <f>IF(NOT(ISNUMBER(A161)),"",IF(COUNTIFS('交易记录'!$S$5:$S$304,A161,'交易记录'!$Y$5:$Y$304,"已平仓")=0,"",SUMIFS('交易记录'!$AG$5:$AG$304,'交易记录'!$S$5:$S$304,A161,'交易记录'!$Y$5:$Y$304,"已平仓")))</f>
        <v/>
      </c>
      <c r="I161" s="41" t="str">
        <f>IF(NOT(ISNUMBER(H161)),"",IF(H161&lt;=-'参数'!$C$8,"触及停手线",""))</f>
        <v/>
      </c>
      <c r="J161" s="31" t="n"/>
      <c r="K161" s="31" t="n"/>
    </row>
    <row r="162">
      <c r="A162" s="30" t="n"/>
      <c r="B162" s="41" t="str">
        <f>IF(ISNUMBER(A162),"周"&amp;CHOOSE(WEEKDAY(A162,2),"一","二","三","四","五","六","日"),"")</f>
        <v/>
      </c>
      <c r="C162" s="32" t="n"/>
      <c r="D162" s="29" t="n"/>
      <c r="E162" s="55" t="str">
        <f>IF(ISNUMBER(A162),COUNTIFS('交易记录'!$B$5:$B$304,A162,'交易记录'!$Q$5:$Q$304,"已执行"),"")</f>
        <v/>
      </c>
      <c r="F162" s="31" t="n"/>
      <c r="G162" s="29" t="n"/>
      <c r="H162" s="56" t="str">
        <f>IF(NOT(ISNUMBER(A162)),"",IF(COUNTIFS('交易记录'!$S$5:$S$304,A162,'交易记录'!$Y$5:$Y$304,"已平仓")=0,"",SUMIFS('交易记录'!$AG$5:$AG$304,'交易记录'!$S$5:$S$304,A162,'交易记录'!$Y$5:$Y$304,"已平仓")))</f>
        <v/>
      </c>
      <c r="I162" s="41" t="str">
        <f>IF(NOT(ISNUMBER(H162)),"",IF(H162&lt;=-'参数'!$C$8,"触及停手线",""))</f>
        <v/>
      </c>
      <c r="J162" s="31" t="n"/>
      <c r="K162" s="31" t="n"/>
    </row>
    <row r="163">
      <c r="A163" s="30" t="n"/>
      <c r="B163" s="41" t="str">
        <f>IF(ISNUMBER(A163),"周"&amp;CHOOSE(WEEKDAY(A163,2),"一","二","三","四","五","六","日"),"")</f>
        <v/>
      </c>
      <c r="C163" s="32" t="n"/>
      <c r="D163" s="29" t="n"/>
      <c r="E163" s="55" t="str">
        <f>IF(ISNUMBER(A163),COUNTIFS('交易记录'!$B$5:$B$304,A163,'交易记录'!$Q$5:$Q$304,"已执行"),"")</f>
        <v/>
      </c>
      <c r="F163" s="31" t="n"/>
      <c r="G163" s="29" t="n"/>
      <c r="H163" s="56" t="str">
        <f>IF(NOT(ISNUMBER(A163)),"",IF(COUNTIFS('交易记录'!$S$5:$S$304,A163,'交易记录'!$Y$5:$Y$304,"已平仓")=0,"",SUMIFS('交易记录'!$AG$5:$AG$304,'交易记录'!$S$5:$S$304,A163,'交易记录'!$Y$5:$Y$304,"已平仓")))</f>
        <v/>
      </c>
      <c r="I163" s="41" t="str">
        <f>IF(NOT(ISNUMBER(H163)),"",IF(H163&lt;=-'参数'!$C$8,"触及停手线",""))</f>
        <v/>
      </c>
      <c r="J163" s="31" t="n"/>
      <c r="K163" s="31" t="n"/>
    </row>
    <row r="164">
      <c r="A164" s="30" t="n"/>
      <c r="B164" s="41" t="str">
        <f>IF(ISNUMBER(A164),"周"&amp;CHOOSE(WEEKDAY(A164,2),"一","二","三","四","五","六","日"),"")</f>
        <v/>
      </c>
      <c r="C164" s="32" t="n"/>
      <c r="D164" s="29" t="n"/>
      <c r="E164" s="55" t="str">
        <f>IF(ISNUMBER(A164),COUNTIFS('交易记录'!$B$5:$B$304,A164,'交易记录'!$Q$5:$Q$304,"已执行"),"")</f>
        <v/>
      </c>
      <c r="F164" s="31" t="n"/>
      <c r="G164" s="29" t="n"/>
      <c r="H164" s="56" t="str">
        <f>IF(NOT(ISNUMBER(A164)),"",IF(COUNTIFS('交易记录'!$S$5:$S$304,A164,'交易记录'!$Y$5:$Y$304,"已平仓")=0,"",SUMIFS('交易记录'!$AG$5:$AG$304,'交易记录'!$S$5:$S$304,A164,'交易记录'!$Y$5:$Y$304,"已平仓")))</f>
        <v/>
      </c>
      <c r="I164" s="41" t="str">
        <f>IF(NOT(ISNUMBER(H164)),"",IF(H164&lt;=-'参数'!$C$8,"触及停手线",""))</f>
        <v/>
      </c>
      <c r="J164" s="31" t="n"/>
      <c r="K164" s="31" t="n"/>
    </row>
    <row r="165">
      <c r="A165" s="30" t="n"/>
      <c r="B165" s="41" t="str">
        <f>IF(ISNUMBER(A165),"周"&amp;CHOOSE(WEEKDAY(A165,2),"一","二","三","四","五","六","日"),"")</f>
        <v/>
      </c>
      <c r="C165" s="32" t="n"/>
      <c r="D165" s="29" t="n"/>
      <c r="E165" s="55" t="str">
        <f>IF(ISNUMBER(A165),COUNTIFS('交易记录'!$B$5:$B$304,A165,'交易记录'!$Q$5:$Q$304,"已执行"),"")</f>
        <v/>
      </c>
      <c r="F165" s="31" t="n"/>
      <c r="G165" s="29" t="n"/>
      <c r="H165" s="56" t="str">
        <f>IF(NOT(ISNUMBER(A165)),"",IF(COUNTIFS('交易记录'!$S$5:$S$304,A165,'交易记录'!$Y$5:$Y$304,"已平仓")=0,"",SUMIFS('交易记录'!$AG$5:$AG$304,'交易记录'!$S$5:$S$304,A165,'交易记录'!$Y$5:$Y$304,"已平仓")))</f>
        <v/>
      </c>
      <c r="I165" s="41" t="str">
        <f>IF(NOT(ISNUMBER(H165)),"",IF(H165&lt;=-'参数'!$C$8,"触及停手线",""))</f>
        <v/>
      </c>
      <c r="J165" s="31" t="n"/>
      <c r="K165" s="31" t="n"/>
    </row>
    <row r="166">
      <c r="A166" s="30" t="n"/>
      <c r="B166" s="41" t="str">
        <f>IF(ISNUMBER(A166),"周"&amp;CHOOSE(WEEKDAY(A166,2),"一","二","三","四","五","六","日"),"")</f>
        <v/>
      </c>
      <c r="C166" s="32" t="n"/>
      <c r="D166" s="29" t="n"/>
      <c r="E166" s="55" t="str">
        <f>IF(ISNUMBER(A166),COUNTIFS('交易记录'!$B$5:$B$304,A166,'交易记录'!$Q$5:$Q$304,"已执行"),"")</f>
        <v/>
      </c>
      <c r="F166" s="31" t="n"/>
      <c r="G166" s="29" t="n"/>
      <c r="H166" s="56" t="str">
        <f>IF(NOT(ISNUMBER(A166)),"",IF(COUNTIFS('交易记录'!$S$5:$S$304,A166,'交易记录'!$Y$5:$Y$304,"已平仓")=0,"",SUMIFS('交易记录'!$AG$5:$AG$304,'交易记录'!$S$5:$S$304,A166,'交易记录'!$Y$5:$Y$304,"已平仓")))</f>
        <v/>
      </c>
      <c r="I166" s="41" t="str">
        <f>IF(NOT(ISNUMBER(H166)),"",IF(H166&lt;=-'参数'!$C$8,"触及停手线",""))</f>
        <v/>
      </c>
      <c r="J166" s="31" t="n"/>
      <c r="K166" s="31" t="n"/>
    </row>
    <row r="167">
      <c r="A167" s="30" t="n"/>
      <c r="B167" s="41" t="str">
        <f>IF(ISNUMBER(A167),"周"&amp;CHOOSE(WEEKDAY(A167,2),"一","二","三","四","五","六","日"),"")</f>
        <v/>
      </c>
      <c r="C167" s="32" t="n"/>
      <c r="D167" s="29" t="n"/>
      <c r="E167" s="55" t="str">
        <f>IF(ISNUMBER(A167),COUNTIFS('交易记录'!$B$5:$B$304,A167,'交易记录'!$Q$5:$Q$304,"已执行"),"")</f>
        <v/>
      </c>
      <c r="F167" s="31" t="n"/>
      <c r="G167" s="29" t="n"/>
      <c r="H167" s="56" t="str">
        <f>IF(NOT(ISNUMBER(A167)),"",IF(COUNTIFS('交易记录'!$S$5:$S$304,A167,'交易记录'!$Y$5:$Y$304,"已平仓")=0,"",SUMIFS('交易记录'!$AG$5:$AG$304,'交易记录'!$S$5:$S$304,A167,'交易记录'!$Y$5:$Y$304,"已平仓")))</f>
        <v/>
      </c>
      <c r="I167" s="41" t="str">
        <f>IF(NOT(ISNUMBER(H167)),"",IF(H167&lt;=-'参数'!$C$8,"触及停手线",""))</f>
        <v/>
      </c>
      <c r="J167" s="31" t="n"/>
      <c r="K167" s="31" t="n"/>
    </row>
    <row r="168">
      <c r="A168" s="30" t="n"/>
      <c r="B168" s="41" t="str">
        <f>IF(ISNUMBER(A168),"周"&amp;CHOOSE(WEEKDAY(A168,2),"一","二","三","四","五","六","日"),"")</f>
        <v/>
      </c>
      <c r="C168" s="32" t="n"/>
      <c r="D168" s="29" t="n"/>
      <c r="E168" s="55" t="str">
        <f>IF(ISNUMBER(A168),COUNTIFS('交易记录'!$B$5:$B$304,A168,'交易记录'!$Q$5:$Q$304,"已执行"),"")</f>
        <v/>
      </c>
      <c r="F168" s="31" t="n"/>
      <c r="G168" s="29" t="n"/>
      <c r="H168" s="56" t="str">
        <f>IF(NOT(ISNUMBER(A168)),"",IF(COUNTIFS('交易记录'!$S$5:$S$304,A168,'交易记录'!$Y$5:$Y$304,"已平仓")=0,"",SUMIFS('交易记录'!$AG$5:$AG$304,'交易记录'!$S$5:$S$304,A168,'交易记录'!$Y$5:$Y$304,"已平仓")))</f>
        <v/>
      </c>
      <c r="I168" s="41" t="str">
        <f>IF(NOT(ISNUMBER(H168)),"",IF(H168&lt;=-'参数'!$C$8,"触及停手线",""))</f>
        <v/>
      </c>
      <c r="J168" s="31" t="n"/>
      <c r="K168" s="31" t="n"/>
    </row>
    <row r="169">
      <c r="A169" s="30" t="n"/>
      <c r="B169" s="41" t="str">
        <f>IF(ISNUMBER(A169),"周"&amp;CHOOSE(WEEKDAY(A169,2),"一","二","三","四","五","六","日"),"")</f>
        <v/>
      </c>
      <c r="C169" s="32" t="n"/>
      <c r="D169" s="29" t="n"/>
      <c r="E169" s="55" t="str">
        <f>IF(ISNUMBER(A169),COUNTIFS('交易记录'!$B$5:$B$304,A169,'交易记录'!$Q$5:$Q$304,"已执行"),"")</f>
        <v/>
      </c>
      <c r="F169" s="31" t="n"/>
      <c r="G169" s="29" t="n"/>
      <c r="H169" s="56" t="str">
        <f>IF(NOT(ISNUMBER(A169)),"",IF(COUNTIFS('交易记录'!$S$5:$S$304,A169,'交易记录'!$Y$5:$Y$304,"已平仓")=0,"",SUMIFS('交易记录'!$AG$5:$AG$304,'交易记录'!$S$5:$S$304,A169,'交易记录'!$Y$5:$Y$304,"已平仓")))</f>
        <v/>
      </c>
      <c r="I169" s="41" t="str">
        <f>IF(NOT(ISNUMBER(H169)),"",IF(H169&lt;=-'参数'!$C$8,"触及停手线",""))</f>
        <v/>
      </c>
      <c r="J169" s="31" t="n"/>
      <c r="K169" s="31" t="n"/>
    </row>
    <row r="170">
      <c r="A170" s="30" t="n"/>
      <c r="B170" s="41" t="str">
        <f>IF(ISNUMBER(A170),"周"&amp;CHOOSE(WEEKDAY(A170,2),"一","二","三","四","五","六","日"),"")</f>
        <v/>
      </c>
      <c r="C170" s="32" t="n"/>
      <c r="D170" s="29" t="n"/>
      <c r="E170" s="55" t="str">
        <f>IF(ISNUMBER(A170),COUNTIFS('交易记录'!$B$5:$B$304,A170,'交易记录'!$Q$5:$Q$304,"已执行"),"")</f>
        <v/>
      </c>
      <c r="F170" s="31" t="n"/>
      <c r="G170" s="29" t="n"/>
      <c r="H170" s="56" t="str">
        <f>IF(NOT(ISNUMBER(A170)),"",IF(COUNTIFS('交易记录'!$S$5:$S$304,A170,'交易记录'!$Y$5:$Y$304,"已平仓")=0,"",SUMIFS('交易记录'!$AG$5:$AG$304,'交易记录'!$S$5:$S$304,A170,'交易记录'!$Y$5:$Y$304,"已平仓")))</f>
        <v/>
      </c>
      <c r="I170" s="41" t="str">
        <f>IF(NOT(ISNUMBER(H170)),"",IF(H170&lt;=-'参数'!$C$8,"触及停手线",""))</f>
        <v/>
      </c>
      <c r="J170" s="31" t="n"/>
      <c r="K170" s="31" t="n"/>
    </row>
    <row r="171">
      <c r="A171" s="30" t="n"/>
      <c r="B171" s="41" t="str">
        <f>IF(ISNUMBER(A171),"周"&amp;CHOOSE(WEEKDAY(A171,2),"一","二","三","四","五","六","日"),"")</f>
        <v/>
      </c>
      <c r="C171" s="32" t="n"/>
      <c r="D171" s="29" t="n"/>
      <c r="E171" s="55" t="str">
        <f>IF(ISNUMBER(A171),COUNTIFS('交易记录'!$B$5:$B$304,A171,'交易记录'!$Q$5:$Q$304,"已执行"),"")</f>
        <v/>
      </c>
      <c r="F171" s="31" t="n"/>
      <c r="G171" s="29" t="n"/>
      <c r="H171" s="56" t="str">
        <f>IF(NOT(ISNUMBER(A171)),"",IF(COUNTIFS('交易记录'!$S$5:$S$304,A171,'交易记录'!$Y$5:$Y$304,"已平仓")=0,"",SUMIFS('交易记录'!$AG$5:$AG$304,'交易记录'!$S$5:$S$304,A171,'交易记录'!$Y$5:$Y$304,"已平仓")))</f>
        <v/>
      </c>
      <c r="I171" s="41" t="str">
        <f>IF(NOT(ISNUMBER(H171)),"",IF(H171&lt;=-'参数'!$C$8,"触及停手线",""))</f>
        <v/>
      </c>
      <c r="J171" s="31" t="n"/>
      <c r="K171" s="31" t="n"/>
    </row>
    <row r="172">
      <c r="A172" s="30" t="n"/>
      <c r="B172" s="41" t="str">
        <f>IF(ISNUMBER(A172),"周"&amp;CHOOSE(WEEKDAY(A172,2),"一","二","三","四","五","六","日"),"")</f>
        <v/>
      </c>
      <c r="C172" s="32" t="n"/>
      <c r="D172" s="29" t="n"/>
      <c r="E172" s="55" t="str">
        <f>IF(ISNUMBER(A172),COUNTIFS('交易记录'!$B$5:$B$304,A172,'交易记录'!$Q$5:$Q$304,"已执行"),"")</f>
        <v/>
      </c>
      <c r="F172" s="31" t="n"/>
      <c r="G172" s="29" t="n"/>
      <c r="H172" s="56" t="str">
        <f>IF(NOT(ISNUMBER(A172)),"",IF(COUNTIFS('交易记录'!$S$5:$S$304,A172,'交易记录'!$Y$5:$Y$304,"已平仓")=0,"",SUMIFS('交易记录'!$AG$5:$AG$304,'交易记录'!$S$5:$S$304,A172,'交易记录'!$Y$5:$Y$304,"已平仓")))</f>
        <v/>
      </c>
      <c r="I172" s="41" t="str">
        <f>IF(NOT(ISNUMBER(H172)),"",IF(H172&lt;=-'参数'!$C$8,"触及停手线",""))</f>
        <v/>
      </c>
      <c r="J172" s="31" t="n"/>
      <c r="K172" s="31" t="n"/>
    </row>
    <row r="173">
      <c r="A173" s="30" t="n"/>
      <c r="B173" s="41" t="str">
        <f>IF(ISNUMBER(A173),"周"&amp;CHOOSE(WEEKDAY(A173,2),"一","二","三","四","五","六","日"),"")</f>
        <v/>
      </c>
      <c r="C173" s="32" t="n"/>
      <c r="D173" s="29" t="n"/>
      <c r="E173" s="55" t="str">
        <f>IF(ISNUMBER(A173),COUNTIFS('交易记录'!$B$5:$B$304,A173,'交易记录'!$Q$5:$Q$304,"已执行"),"")</f>
        <v/>
      </c>
      <c r="F173" s="31" t="n"/>
      <c r="G173" s="29" t="n"/>
      <c r="H173" s="56" t="str">
        <f>IF(NOT(ISNUMBER(A173)),"",IF(COUNTIFS('交易记录'!$S$5:$S$304,A173,'交易记录'!$Y$5:$Y$304,"已平仓")=0,"",SUMIFS('交易记录'!$AG$5:$AG$304,'交易记录'!$S$5:$S$304,A173,'交易记录'!$Y$5:$Y$304,"已平仓")))</f>
        <v/>
      </c>
      <c r="I173" s="41" t="str">
        <f>IF(NOT(ISNUMBER(H173)),"",IF(H173&lt;=-'参数'!$C$8,"触及停手线",""))</f>
        <v/>
      </c>
      <c r="J173" s="31" t="n"/>
      <c r="K173" s="31" t="n"/>
    </row>
    <row r="174">
      <c r="A174" s="30" t="n"/>
      <c r="B174" s="41" t="str">
        <f>IF(ISNUMBER(A174),"周"&amp;CHOOSE(WEEKDAY(A174,2),"一","二","三","四","五","六","日"),"")</f>
        <v/>
      </c>
      <c r="C174" s="32" t="n"/>
      <c r="D174" s="29" t="n"/>
      <c r="E174" s="55" t="str">
        <f>IF(ISNUMBER(A174),COUNTIFS('交易记录'!$B$5:$B$304,A174,'交易记录'!$Q$5:$Q$304,"已执行"),"")</f>
        <v/>
      </c>
      <c r="F174" s="31" t="n"/>
      <c r="G174" s="29" t="n"/>
      <c r="H174" s="56" t="str">
        <f>IF(NOT(ISNUMBER(A174)),"",IF(COUNTIFS('交易记录'!$S$5:$S$304,A174,'交易记录'!$Y$5:$Y$304,"已平仓")=0,"",SUMIFS('交易记录'!$AG$5:$AG$304,'交易记录'!$S$5:$S$304,A174,'交易记录'!$Y$5:$Y$304,"已平仓")))</f>
        <v/>
      </c>
      <c r="I174" s="41" t="str">
        <f>IF(NOT(ISNUMBER(H174)),"",IF(H174&lt;=-'参数'!$C$8,"触及停手线",""))</f>
        <v/>
      </c>
      <c r="J174" s="31" t="n"/>
      <c r="K174" s="31" t="n"/>
    </row>
    <row r="175">
      <c r="A175" s="30" t="n"/>
      <c r="B175" s="41" t="str">
        <f>IF(ISNUMBER(A175),"周"&amp;CHOOSE(WEEKDAY(A175,2),"一","二","三","四","五","六","日"),"")</f>
        <v/>
      </c>
      <c r="C175" s="32" t="n"/>
      <c r="D175" s="29" t="n"/>
      <c r="E175" s="55" t="str">
        <f>IF(ISNUMBER(A175),COUNTIFS('交易记录'!$B$5:$B$304,A175,'交易记录'!$Q$5:$Q$304,"已执行"),"")</f>
        <v/>
      </c>
      <c r="F175" s="31" t="n"/>
      <c r="G175" s="29" t="n"/>
      <c r="H175" s="56" t="str">
        <f>IF(NOT(ISNUMBER(A175)),"",IF(COUNTIFS('交易记录'!$S$5:$S$304,A175,'交易记录'!$Y$5:$Y$304,"已平仓")=0,"",SUMIFS('交易记录'!$AG$5:$AG$304,'交易记录'!$S$5:$S$304,A175,'交易记录'!$Y$5:$Y$304,"已平仓")))</f>
        <v/>
      </c>
      <c r="I175" s="41" t="str">
        <f>IF(NOT(ISNUMBER(H175)),"",IF(H175&lt;=-'参数'!$C$8,"触及停手线",""))</f>
        <v/>
      </c>
      <c r="J175" s="31" t="n"/>
      <c r="K175" s="31" t="n"/>
    </row>
    <row r="176">
      <c r="A176" s="30" t="n"/>
      <c r="B176" s="41" t="str">
        <f>IF(ISNUMBER(A176),"周"&amp;CHOOSE(WEEKDAY(A176,2),"一","二","三","四","五","六","日"),"")</f>
        <v/>
      </c>
      <c r="C176" s="32" t="n"/>
      <c r="D176" s="29" t="n"/>
      <c r="E176" s="55" t="str">
        <f>IF(ISNUMBER(A176),COUNTIFS('交易记录'!$B$5:$B$304,A176,'交易记录'!$Q$5:$Q$304,"已执行"),"")</f>
        <v/>
      </c>
      <c r="F176" s="31" t="n"/>
      <c r="G176" s="29" t="n"/>
      <c r="H176" s="56" t="str">
        <f>IF(NOT(ISNUMBER(A176)),"",IF(COUNTIFS('交易记录'!$S$5:$S$304,A176,'交易记录'!$Y$5:$Y$304,"已平仓")=0,"",SUMIFS('交易记录'!$AG$5:$AG$304,'交易记录'!$S$5:$S$304,A176,'交易记录'!$Y$5:$Y$304,"已平仓")))</f>
        <v/>
      </c>
      <c r="I176" s="41" t="str">
        <f>IF(NOT(ISNUMBER(H176)),"",IF(H176&lt;=-'参数'!$C$8,"触及停手线",""))</f>
        <v/>
      </c>
      <c r="J176" s="31" t="n"/>
      <c r="K176" s="31" t="n"/>
    </row>
    <row r="177">
      <c r="A177" s="30" t="n"/>
      <c r="B177" s="41" t="str">
        <f>IF(ISNUMBER(A177),"周"&amp;CHOOSE(WEEKDAY(A177,2),"一","二","三","四","五","六","日"),"")</f>
        <v/>
      </c>
      <c r="C177" s="32" t="n"/>
      <c r="D177" s="29" t="n"/>
      <c r="E177" s="55" t="str">
        <f>IF(ISNUMBER(A177),COUNTIFS('交易记录'!$B$5:$B$304,A177,'交易记录'!$Q$5:$Q$304,"已执行"),"")</f>
        <v/>
      </c>
      <c r="F177" s="31" t="n"/>
      <c r="G177" s="29" t="n"/>
      <c r="H177" s="56" t="str">
        <f>IF(NOT(ISNUMBER(A177)),"",IF(COUNTIFS('交易记录'!$S$5:$S$304,A177,'交易记录'!$Y$5:$Y$304,"已平仓")=0,"",SUMIFS('交易记录'!$AG$5:$AG$304,'交易记录'!$S$5:$S$304,A177,'交易记录'!$Y$5:$Y$304,"已平仓")))</f>
        <v/>
      </c>
      <c r="I177" s="41" t="str">
        <f>IF(NOT(ISNUMBER(H177)),"",IF(H177&lt;=-'参数'!$C$8,"触及停手线",""))</f>
        <v/>
      </c>
      <c r="J177" s="31" t="n"/>
      <c r="K177" s="31" t="n"/>
    </row>
    <row r="178">
      <c r="A178" s="30" t="n"/>
      <c r="B178" s="41" t="str">
        <f>IF(ISNUMBER(A178),"周"&amp;CHOOSE(WEEKDAY(A178,2),"一","二","三","四","五","六","日"),"")</f>
        <v/>
      </c>
      <c r="C178" s="32" t="n"/>
      <c r="D178" s="29" t="n"/>
      <c r="E178" s="55" t="str">
        <f>IF(ISNUMBER(A178),COUNTIFS('交易记录'!$B$5:$B$304,A178,'交易记录'!$Q$5:$Q$304,"已执行"),"")</f>
        <v/>
      </c>
      <c r="F178" s="31" t="n"/>
      <c r="G178" s="29" t="n"/>
      <c r="H178" s="56" t="str">
        <f>IF(NOT(ISNUMBER(A178)),"",IF(COUNTIFS('交易记录'!$S$5:$S$304,A178,'交易记录'!$Y$5:$Y$304,"已平仓")=0,"",SUMIFS('交易记录'!$AG$5:$AG$304,'交易记录'!$S$5:$S$304,A178,'交易记录'!$Y$5:$Y$304,"已平仓")))</f>
        <v/>
      </c>
      <c r="I178" s="41" t="str">
        <f>IF(NOT(ISNUMBER(H178)),"",IF(H178&lt;=-'参数'!$C$8,"触及停手线",""))</f>
        <v/>
      </c>
      <c r="J178" s="31" t="n"/>
      <c r="K178" s="31" t="n"/>
    </row>
    <row r="179">
      <c r="A179" s="30" t="n"/>
      <c r="B179" s="41" t="str">
        <f>IF(ISNUMBER(A179),"周"&amp;CHOOSE(WEEKDAY(A179,2),"一","二","三","四","五","六","日"),"")</f>
        <v/>
      </c>
      <c r="C179" s="32" t="n"/>
      <c r="D179" s="29" t="n"/>
      <c r="E179" s="55" t="str">
        <f>IF(ISNUMBER(A179),COUNTIFS('交易记录'!$B$5:$B$304,A179,'交易记录'!$Q$5:$Q$304,"已执行"),"")</f>
        <v/>
      </c>
      <c r="F179" s="31" t="n"/>
      <c r="G179" s="29" t="n"/>
      <c r="H179" s="56" t="str">
        <f>IF(NOT(ISNUMBER(A179)),"",IF(COUNTIFS('交易记录'!$S$5:$S$304,A179,'交易记录'!$Y$5:$Y$304,"已平仓")=0,"",SUMIFS('交易记录'!$AG$5:$AG$304,'交易记录'!$S$5:$S$304,A179,'交易记录'!$Y$5:$Y$304,"已平仓")))</f>
        <v/>
      </c>
      <c r="I179" s="41" t="str">
        <f>IF(NOT(ISNUMBER(H179)),"",IF(H179&lt;=-'参数'!$C$8,"触及停手线",""))</f>
        <v/>
      </c>
      <c r="J179" s="31" t="n"/>
      <c r="K179" s="31" t="n"/>
    </row>
    <row r="180">
      <c r="A180" s="30" t="n"/>
      <c r="B180" s="41" t="str">
        <f>IF(ISNUMBER(A180),"周"&amp;CHOOSE(WEEKDAY(A180,2),"一","二","三","四","五","六","日"),"")</f>
        <v/>
      </c>
      <c r="C180" s="32" t="n"/>
      <c r="D180" s="29" t="n"/>
      <c r="E180" s="55" t="str">
        <f>IF(ISNUMBER(A180),COUNTIFS('交易记录'!$B$5:$B$304,A180,'交易记录'!$Q$5:$Q$304,"已执行"),"")</f>
        <v/>
      </c>
      <c r="F180" s="31" t="n"/>
      <c r="G180" s="29" t="n"/>
      <c r="H180" s="56" t="str">
        <f>IF(NOT(ISNUMBER(A180)),"",IF(COUNTIFS('交易记录'!$S$5:$S$304,A180,'交易记录'!$Y$5:$Y$304,"已平仓")=0,"",SUMIFS('交易记录'!$AG$5:$AG$304,'交易记录'!$S$5:$S$304,A180,'交易记录'!$Y$5:$Y$304,"已平仓")))</f>
        <v/>
      </c>
      <c r="I180" s="41" t="str">
        <f>IF(NOT(ISNUMBER(H180)),"",IF(H180&lt;=-'参数'!$C$8,"触及停手线",""))</f>
        <v/>
      </c>
      <c r="J180" s="31" t="n"/>
      <c r="K180" s="31" t="n"/>
    </row>
    <row r="181">
      <c r="A181" s="30" t="n"/>
      <c r="B181" s="41" t="str">
        <f>IF(ISNUMBER(A181),"周"&amp;CHOOSE(WEEKDAY(A181,2),"一","二","三","四","五","六","日"),"")</f>
        <v/>
      </c>
      <c r="C181" s="32" t="n"/>
      <c r="D181" s="29" t="n"/>
      <c r="E181" s="55" t="str">
        <f>IF(ISNUMBER(A181),COUNTIFS('交易记录'!$B$5:$B$304,A181,'交易记录'!$Q$5:$Q$304,"已执行"),"")</f>
        <v/>
      </c>
      <c r="F181" s="31" t="n"/>
      <c r="G181" s="29" t="n"/>
      <c r="H181" s="56" t="str">
        <f>IF(NOT(ISNUMBER(A181)),"",IF(COUNTIFS('交易记录'!$S$5:$S$304,A181,'交易记录'!$Y$5:$Y$304,"已平仓")=0,"",SUMIFS('交易记录'!$AG$5:$AG$304,'交易记录'!$S$5:$S$304,A181,'交易记录'!$Y$5:$Y$304,"已平仓")))</f>
        <v/>
      </c>
      <c r="I181" s="41" t="str">
        <f>IF(NOT(ISNUMBER(H181)),"",IF(H181&lt;=-'参数'!$C$8,"触及停手线",""))</f>
        <v/>
      </c>
      <c r="J181" s="31" t="n"/>
      <c r="K181" s="31" t="n"/>
    </row>
    <row r="182">
      <c r="A182" s="30" t="n"/>
      <c r="B182" s="41" t="str">
        <f>IF(ISNUMBER(A182),"周"&amp;CHOOSE(WEEKDAY(A182,2),"一","二","三","四","五","六","日"),"")</f>
        <v/>
      </c>
      <c r="C182" s="32" t="n"/>
      <c r="D182" s="29" t="n"/>
      <c r="E182" s="55" t="str">
        <f>IF(ISNUMBER(A182),COUNTIFS('交易记录'!$B$5:$B$304,A182,'交易记录'!$Q$5:$Q$304,"已执行"),"")</f>
        <v/>
      </c>
      <c r="F182" s="31" t="n"/>
      <c r="G182" s="29" t="n"/>
      <c r="H182" s="56" t="str">
        <f>IF(NOT(ISNUMBER(A182)),"",IF(COUNTIFS('交易记录'!$S$5:$S$304,A182,'交易记录'!$Y$5:$Y$304,"已平仓")=0,"",SUMIFS('交易记录'!$AG$5:$AG$304,'交易记录'!$S$5:$S$304,A182,'交易记录'!$Y$5:$Y$304,"已平仓")))</f>
        <v/>
      </c>
      <c r="I182" s="41" t="str">
        <f>IF(NOT(ISNUMBER(H182)),"",IF(H182&lt;=-'参数'!$C$8,"触及停手线",""))</f>
        <v/>
      </c>
      <c r="J182" s="31" t="n"/>
      <c r="K182" s="31" t="n"/>
    </row>
    <row r="183">
      <c r="A183" s="30" t="n"/>
      <c r="B183" s="41" t="str">
        <f>IF(ISNUMBER(A183),"周"&amp;CHOOSE(WEEKDAY(A183,2),"一","二","三","四","五","六","日"),"")</f>
        <v/>
      </c>
      <c r="C183" s="32" t="n"/>
      <c r="D183" s="29" t="n"/>
      <c r="E183" s="55" t="str">
        <f>IF(ISNUMBER(A183),COUNTIFS('交易记录'!$B$5:$B$304,A183,'交易记录'!$Q$5:$Q$304,"已执行"),"")</f>
        <v/>
      </c>
      <c r="F183" s="31" t="n"/>
      <c r="G183" s="29" t="n"/>
      <c r="H183" s="56" t="str">
        <f>IF(NOT(ISNUMBER(A183)),"",IF(COUNTIFS('交易记录'!$S$5:$S$304,A183,'交易记录'!$Y$5:$Y$304,"已平仓")=0,"",SUMIFS('交易记录'!$AG$5:$AG$304,'交易记录'!$S$5:$S$304,A183,'交易记录'!$Y$5:$Y$304,"已平仓")))</f>
        <v/>
      </c>
      <c r="I183" s="41" t="str">
        <f>IF(NOT(ISNUMBER(H183)),"",IF(H183&lt;=-'参数'!$C$8,"触及停手线",""))</f>
        <v/>
      </c>
      <c r="J183" s="31" t="n"/>
      <c r="K183" s="31" t="n"/>
    </row>
    <row r="184">
      <c r="A184" s="30" t="n"/>
      <c r="B184" s="41" t="str">
        <f>IF(ISNUMBER(A184),"周"&amp;CHOOSE(WEEKDAY(A184,2),"一","二","三","四","五","六","日"),"")</f>
        <v/>
      </c>
      <c r="C184" s="32" t="n"/>
      <c r="D184" s="29" t="n"/>
      <c r="E184" s="55" t="str">
        <f>IF(ISNUMBER(A184),COUNTIFS('交易记录'!$B$5:$B$304,A184,'交易记录'!$Q$5:$Q$304,"已执行"),"")</f>
        <v/>
      </c>
      <c r="F184" s="31" t="n"/>
      <c r="G184" s="29" t="n"/>
      <c r="H184" s="56" t="str">
        <f>IF(NOT(ISNUMBER(A184)),"",IF(COUNTIFS('交易记录'!$S$5:$S$304,A184,'交易记录'!$Y$5:$Y$304,"已平仓")=0,"",SUMIFS('交易记录'!$AG$5:$AG$304,'交易记录'!$S$5:$S$304,A184,'交易记录'!$Y$5:$Y$304,"已平仓")))</f>
        <v/>
      </c>
      <c r="I184" s="41" t="str">
        <f>IF(NOT(ISNUMBER(H184)),"",IF(H184&lt;=-'参数'!$C$8,"触及停手线",""))</f>
        <v/>
      </c>
      <c r="J184" s="31" t="n"/>
      <c r="K184" s="31" t="n"/>
    </row>
    <row r="185">
      <c r="A185" s="30" t="n"/>
      <c r="B185" s="41" t="str">
        <f>IF(ISNUMBER(A185),"周"&amp;CHOOSE(WEEKDAY(A185,2),"一","二","三","四","五","六","日"),"")</f>
        <v/>
      </c>
      <c r="C185" s="32" t="n"/>
      <c r="D185" s="29" t="n"/>
      <c r="E185" s="55" t="str">
        <f>IF(ISNUMBER(A185),COUNTIFS('交易记录'!$B$5:$B$304,A185,'交易记录'!$Q$5:$Q$304,"已执行"),"")</f>
        <v/>
      </c>
      <c r="F185" s="31" t="n"/>
      <c r="G185" s="29" t="n"/>
      <c r="H185" s="56" t="str">
        <f>IF(NOT(ISNUMBER(A185)),"",IF(COUNTIFS('交易记录'!$S$5:$S$304,A185,'交易记录'!$Y$5:$Y$304,"已平仓")=0,"",SUMIFS('交易记录'!$AG$5:$AG$304,'交易记录'!$S$5:$S$304,A185,'交易记录'!$Y$5:$Y$304,"已平仓")))</f>
        <v/>
      </c>
      <c r="I185" s="41" t="str">
        <f>IF(NOT(ISNUMBER(H185)),"",IF(H185&lt;=-'参数'!$C$8,"触及停手线",""))</f>
        <v/>
      </c>
      <c r="J185" s="31" t="n"/>
      <c r="K185" s="31" t="n"/>
    </row>
    <row r="186">
      <c r="A186" s="30" t="n"/>
      <c r="B186" s="41" t="str">
        <f>IF(ISNUMBER(A186),"周"&amp;CHOOSE(WEEKDAY(A186,2),"一","二","三","四","五","六","日"),"")</f>
        <v/>
      </c>
      <c r="C186" s="32" t="n"/>
      <c r="D186" s="29" t="n"/>
      <c r="E186" s="55" t="str">
        <f>IF(ISNUMBER(A186),COUNTIFS('交易记录'!$B$5:$B$304,A186,'交易记录'!$Q$5:$Q$304,"已执行"),"")</f>
        <v/>
      </c>
      <c r="F186" s="31" t="n"/>
      <c r="G186" s="29" t="n"/>
      <c r="H186" s="56" t="str">
        <f>IF(NOT(ISNUMBER(A186)),"",IF(COUNTIFS('交易记录'!$S$5:$S$304,A186,'交易记录'!$Y$5:$Y$304,"已平仓")=0,"",SUMIFS('交易记录'!$AG$5:$AG$304,'交易记录'!$S$5:$S$304,A186,'交易记录'!$Y$5:$Y$304,"已平仓")))</f>
        <v/>
      </c>
      <c r="I186" s="41" t="str">
        <f>IF(NOT(ISNUMBER(H186)),"",IF(H186&lt;=-'参数'!$C$8,"触及停手线",""))</f>
        <v/>
      </c>
      <c r="J186" s="31" t="n"/>
      <c r="K186" s="31" t="n"/>
    </row>
    <row r="187">
      <c r="A187" s="30" t="n"/>
      <c r="B187" s="41" t="str">
        <f>IF(ISNUMBER(A187),"周"&amp;CHOOSE(WEEKDAY(A187,2),"一","二","三","四","五","六","日"),"")</f>
        <v/>
      </c>
      <c r="C187" s="32" t="n"/>
      <c r="D187" s="29" t="n"/>
      <c r="E187" s="55" t="str">
        <f>IF(ISNUMBER(A187),COUNTIFS('交易记录'!$B$5:$B$304,A187,'交易记录'!$Q$5:$Q$304,"已执行"),"")</f>
        <v/>
      </c>
      <c r="F187" s="31" t="n"/>
      <c r="G187" s="29" t="n"/>
      <c r="H187" s="56" t="str">
        <f>IF(NOT(ISNUMBER(A187)),"",IF(COUNTIFS('交易记录'!$S$5:$S$304,A187,'交易记录'!$Y$5:$Y$304,"已平仓")=0,"",SUMIFS('交易记录'!$AG$5:$AG$304,'交易记录'!$S$5:$S$304,A187,'交易记录'!$Y$5:$Y$304,"已平仓")))</f>
        <v/>
      </c>
      <c r="I187" s="41" t="str">
        <f>IF(NOT(ISNUMBER(H187)),"",IF(H187&lt;=-'参数'!$C$8,"触及停手线",""))</f>
        <v/>
      </c>
      <c r="J187" s="31" t="n"/>
      <c r="K187" s="31" t="n"/>
    </row>
    <row r="188">
      <c r="A188" s="30" t="n"/>
      <c r="B188" s="41" t="str">
        <f>IF(ISNUMBER(A188),"周"&amp;CHOOSE(WEEKDAY(A188,2),"一","二","三","四","五","六","日"),"")</f>
        <v/>
      </c>
      <c r="C188" s="32" t="n"/>
      <c r="D188" s="29" t="n"/>
      <c r="E188" s="55" t="str">
        <f>IF(ISNUMBER(A188),COUNTIFS('交易记录'!$B$5:$B$304,A188,'交易记录'!$Q$5:$Q$304,"已执行"),"")</f>
        <v/>
      </c>
      <c r="F188" s="31" t="n"/>
      <c r="G188" s="29" t="n"/>
      <c r="H188" s="56" t="str">
        <f>IF(NOT(ISNUMBER(A188)),"",IF(COUNTIFS('交易记录'!$S$5:$S$304,A188,'交易记录'!$Y$5:$Y$304,"已平仓")=0,"",SUMIFS('交易记录'!$AG$5:$AG$304,'交易记录'!$S$5:$S$304,A188,'交易记录'!$Y$5:$Y$304,"已平仓")))</f>
        <v/>
      </c>
      <c r="I188" s="41" t="str">
        <f>IF(NOT(ISNUMBER(H188)),"",IF(H188&lt;=-'参数'!$C$8,"触及停手线",""))</f>
        <v/>
      </c>
      <c r="J188" s="31" t="n"/>
      <c r="K188" s="31" t="n"/>
    </row>
    <row r="189">
      <c r="A189" s="30" t="n"/>
      <c r="B189" s="41" t="str">
        <f>IF(ISNUMBER(A189),"周"&amp;CHOOSE(WEEKDAY(A189,2),"一","二","三","四","五","六","日"),"")</f>
        <v/>
      </c>
      <c r="C189" s="32" t="n"/>
      <c r="D189" s="29" t="n"/>
      <c r="E189" s="55" t="str">
        <f>IF(ISNUMBER(A189),COUNTIFS('交易记录'!$B$5:$B$304,A189,'交易记录'!$Q$5:$Q$304,"已执行"),"")</f>
        <v/>
      </c>
      <c r="F189" s="31" t="n"/>
      <c r="G189" s="29" t="n"/>
      <c r="H189" s="56" t="str">
        <f>IF(NOT(ISNUMBER(A189)),"",IF(COUNTIFS('交易记录'!$S$5:$S$304,A189,'交易记录'!$Y$5:$Y$304,"已平仓")=0,"",SUMIFS('交易记录'!$AG$5:$AG$304,'交易记录'!$S$5:$S$304,A189,'交易记录'!$Y$5:$Y$304,"已平仓")))</f>
        <v/>
      </c>
      <c r="I189" s="41" t="str">
        <f>IF(NOT(ISNUMBER(H189)),"",IF(H189&lt;=-'参数'!$C$8,"触及停手线",""))</f>
        <v/>
      </c>
      <c r="J189" s="31" t="n"/>
      <c r="K189" s="31" t="n"/>
    </row>
    <row r="190">
      <c r="A190" s="30" t="n"/>
      <c r="B190" s="41" t="str">
        <f>IF(ISNUMBER(A190),"周"&amp;CHOOSE(WEEKDAY(A190,2),"一","二","三","四","五","六","日"),"")</f>
        <v/>
      </c>
      <c r="C190" s="32" t="n"/>
      <c r="D190" s="29" t="n"/>
      <c r="E190" s="55" t="str">
        <f>IF(ISNUMBER(A190),COUNTIFS('交易记录'!$B$5:$B$304,A190,'交易记录'!$Q$5:$Q$304,"已执行"),"")</f>
        <v/>
      </c>
      <c r="F190" s="31" t="n"/>
      <c r="G190" s="29" t="n"/>
      <c r="H190" s="56" t="str">
        <f>IF(NOT(ISNUMBER(A190)),"",IF(COUNTIFS('交易记录'!$S$5:$S$304,A190,'交易记录'!$Y$5:$Y$304,"已平仓")=0,"",SUMIFS('交易记录'!$AG$5:$AG$304,'交易记录'!$S$5:$S$304,A190,'交易记录'!$Y$5:$Y$304,"已平仓")))</f>
        <v/>
      </c>
      <c r="I190" s="41" t="str">
        <f>IF(NOT(ISNUMBER(H190)),"",IF(H190&lt;=-'参数'!$C$8,"触及停手线",""))</f>
        <v/>
      </c>
      <c r="J190" s="31" t="n"/>
      <c r="K190" s="31" t="n"/>
    </row>
    <row r="191">
      <c r="A191" s="30" t="n"/>
      <c r="B191" s="41" t="str">
        <f>IF(ISNUMBER(A191),"周"&amp;CHOOSE(WEEKDAY(A191,2),"一","二","三","四","五","六","日"),"")</f>
        <v/>
      </c>
      <c r="C191" s="32" t="n"/>
      <c r="D191" s="29" t="n"/>
      <c r="E191" s="55" t="str">
        <f>IF(ISNUMBER(A191),COUNTIFS('交易记录'!$B$5:$B$304,A191,'交易记录'!$Q$5:$Q$304,"已执行"),"")</f>
        <v/>
      </c>
      <c r="F191" s="31" t="n"/>
      <c r="G191" s="29" t="n"/>
      <c r="H191" s="56" t="str">
        <f>IF(NOT(ISNUMBER(A191)),"",IF(COUNTIFS('交易记录'!$S$5:$S$304,A191,'交易记录'!$Y$5:$Y$304,"已平仓")=0,"",SUMIFS('交易记录'!$AG$5:$AG$304,'交易记录'!$S$5:$S$304,A191,'交易记录'!$Y$5:$Y$304,"已平仓")))</f>
        <v/>
      </c>
      <c r="I191" s="41" t="str">
        <f>IF(NOT(ISNUMBER(H191)),"",IF(H191&lt;=-'参数'!$C$8,"触及停手线",""))</f>
        <v/>
      </c>
      <c r="J191" s="31" t="n"/>
      <c r="K191" s="31" t="n"/>
    </row>
    <row r="192">
      <c r="A192" s="30" t="n"/>
      <c r="B192" s="41" t="str">
        <f>IF(ISNUMBER(A192),"周"&amp;CHOOSE(WEEKDAY(A192,2),"一","二","三","四","五","六","日"),"")</f>
        <v/>
      </c>
      <c r="C192" s="32" t="n"/>
      <c r="D192" s="29" t="n"/>
      <c r="E192" s="55" t="str">
        <f>IF(ISNUMBER(A192),COUNTIFS('交易记录'!$B$5:$B$304,A192,'交易记录'!$Q$5:$Q$304,"已执行"),"")</f>
        <v/>
      </c>
      <c r="F192" s="31" t="n"/>
      <c r="G192" s="29" t="n"/>
      <c r="H192" s="56" t="str">
        <f>IF(NOT(ISNUMBER(A192)),"",IF(COUNTIFS('交易记录'!$S$5:$S$304,A192,'交易记录'!$Y$5:$Y$304,"已平仓")=0,"",SUMIFS('交易记录'!$AG$5:$AG$304,'交易记录'!$S$5:$S$304,A192,'交易记录'!$Y$5:$Y$304,"已平仓")))</f>
        <v/>
      </c>
      <c r="I192" s="41" t="str">
        <f>IF(NOT(ISNUMBER(H192)),"",IF(H192&lt;=-'参数'!$C$8,"触及停手线",""))</f>
        <v/>
      </c>
      <c r="J192" s="31" t="n"/>
      <c r="K192" s="31" t="n"/>
    </row>
    <row r="193">
      <c r="A193" s="30" t="n"/>
      <c r="B193" s="41" t="str">
        <f>IF(ISNUMBER(A193),"周"&amp;CHOOSE(WEEKDAY(A193,2),"一","二","三","四","五","六","日"),"")</f>
        <v/>
      </c>
      <c r="C193" s="32" t="n"/>
      <c r="D193" s="29" t="n"/>
      <c r="E193" s="55" t="str">
        <f>IF(ISNUMBER(A193),COUNTIFS('交易记录'!$B$5:$B$304,A193,'交易记录'!$Q$5:$Q$304,"已执行"),"")</f>
        <v/>
      </c>
      <c r="F193" s="31" t="n"/>
      <c r="G193" s="29" t="n"/>
      <c r="H193" s="56" t="str">
        <f>IF(NOT(ISNUMBER(A193)),"",IF(COUNTIFS('交易记录'!$S$5:$S$304,A193,'交易记录'!$Y$5:$Y$304,"已平仓")=0,"",SUMIFS('交易记录'!$AG$5:$AG$304,'交易记录'!$S$5:$S$304,A193,'交易记录'!$Y$5:$Y$304,"已平仓")))</f>
        <v/>
      </c>
      <c r="I193" s="41" t="str">
        <f>IF(NOT(ISNUMBER(H193)),"",IF(H193&lt;=-'参数'!$C$8,"触及停手线",""))</f>
        <v/>
      </c>
      <c r="J193" s="31" t="n"/>
      <c r="K193" s="31" t="n"/>
    </row>
    <row r="194">
      <c r="A194" s="30" t="n"/>
      <c r="B194" s="41" t="str">
        <f>IF(ISNUMBER(A194),"周"&amp;CHOOSE(WEEKDAY(A194,2),"一","二","三","四","五","六","日"),"")</f>
        <v/>
      </c>
      <c r="C194" s="32" t="n"/>
      <c r="D194" s="29" t="n"/>
      <c r="E194" s="55" t="str">
        <f>IF(ISNUMBER(A194),COUNTIFS('交易记录'!$B$5:$B$304,A194,'交易记录'!$Q$5:$Q$304,"已执行"),"")</f>
        <v/>
      </c>
      <c r="F194" s="31" t="n"/>
      <c r="G194" s="29" t="n"/>
      <c r="H194" s="56" t="str">
        <f>IF(NOT(ISNUMBER(A194)),"",IF(COUNTIFS('交易记录'!$S$5:$S$304,A194,'交易记录'!$Y$5:$Y$304,"已平仓")=0,"",SUMIFS('交易记录'!$AG$5:$AG$304,'交易记录'!$S$5:$S$304,A194,'交易记录'!$Y$5:$Y$304,"已平仓")))</f>
        <v/>
      </c>
      <c r="I194" s="41" t="str">
        <f>IF(NOT(ISNUMBER(H194)),"",IF(H194&lt;=-'参数'!$C$8,"触及停手线",""))</f>
        <v/>
      </c>
      <c r="J194" s="31" t="n"/>
      <c r="K194" s="31" t="n"/>
    </row>
    <row r="195">
      <c r="A195" s="30" t="n"/>
      <c r="B195" s="41" t="str">
        <f>IF(ISNUMBER(A195),"周"&amp;CHOOSE(WEEKDAY(A195,2),"一","二","三","四","五","六","日"),"")</f>
        <v/>
      </c>
      <c r="C195" s="32" t="n"/>
      <c r="D195" s="29" t="n"/>
      <c r="E195" s="55" t="str">
        <f>IF(ISNUMBER(A195),COUNTIFS('交易记录'!$B$5:$B$304,A195,'交易记录'!$Q$5:$Q$304,"已执行"),"")</f>
        <v/>
      </c>
      <c r="F195" s="31" t="n"/>
      <c r="G195" s="29" t="n"/>
      <c r="H195" s="56" t="str">
        <f>IF(NOT(ISNUMBER(A195)),"",IF(COUNTIFS('交易记录'!$S$5:$S$304,A195,'交易记录'!$Y$5:$Y$304,"已平仓")=0,"",SUMIFS('交易记录'!$AG$5:$AG$304,'交易记录'!$S$5:$S$304,A195,'交易记录'!$Y$5:$Y$304,"已平仓")))</f>
        <v/>
      </c>
      <c r="I195" s="41" t="str">
        <f>IF(NOT(ISNUMBER(H195)),"",IF(H195&lt;=-'参数'!$C$8,"触及停手线",""))</f>
        <v/>
      </c>
      <c r="J195" s="31" t="n"/>
      <c r="K195" s="31" t="n"/>
    </row>
    <row r="196">
      <c r="A196" s="30" t="n"/>
      <c r="B196" s="41" t="str">
        <f>IF(ISNUMBER(A196),"周"&amp;CHOOSE(WEEKDAY(A196,2),"一","二","三","四","五","六","日"),"")</f>
        <v/>
      </c>
      <c r="C196" s="32" t="n"/>
      <c r="D196" s="29" t="n"/>
      <c r="E196" s="55" t="str">
        <f>IF(ISNUMBER(A196),COUNTIFS('交易记录'!$B$5:$B$304,A196,'交易记录'!$Q$5:$Q$304,"已执行"),"")</f>
        <v/>
      </c>
      <c r="F196" s="31" t="n"/>
      <c r="G196" s="29" t="n"/>
      <c r="H196" s="56" t="str">
        <f>IF(NOT(ISNUMBER(A196)),"",IF(COUNTIFS('交易记录'!$S$5:$S$304,A196,'交易记录'!$Y$5:$Y$304,"已平仓")=0,"",SUMIFS('交易记录'!$AG$5:$AG$304,'交易记录'!$S$5:$S$304,A196,'交易记录'!$Y$5:$Y$304,"已平仓")))</f>
        <v/>
      </c>
      <c r="I196" s="41" t="str">
        <f>IF(NOT(ISNUMBER(H196)),"",IF(H196&lt;=-'参数'!$C$8,"触及停手线",""))</f>
        <v/>
      </c>
      <c r="J196" s="31" t="n"/>
      <c r="K196" s="31" t="n"/>
    </row>
    <row r="197">
      <c r="A197" s="30" t="n"/>
      <c r="B197" s="41" t="str">
        <f>IF(ISNUMBER(A197),"周"&amp;CHOOSE(WEEKDAY(A197,2),"一","二","三","四","五","六","日"),"")</f>
        <v/>
      </c>
      <c r="C197" s="32" t="n"/>
      <c r="D197" s="29" t="n"/>
      <c r="E197" s="55" t="str">
        <f>IF(ISNUMBER(A197),COUNTIFS('交易记录'!$B$5:$B$304,A197,'交易记录'!$Q$5:$Q$304,"已执行"),"")</f>
        <v/>
      </c>
      <c r="F197" s="31" t="n"/>
      <c r="G197" s="29" t="n"/>
      <c r="H197" s="56" t="str">
        <f>IF(NOT(ISNUMBER(A197)),"",IF(COUNTIFS('交易记录'!$S$5:$S$304,A197,'交易记录'!$Y$5:$Y$304,"已平仓")=0,"",SUMIFS('交易记录'!$AG$5:$AG$304,'交易记录'!$S$5:$S$304,A197,'交易记录'!$Y$5:$Y$304,"已平仓")))</f>
        <v/>
      </c>
      <c r="I197" s="41" t="str">
        <f>IF(NOT(ISNUMBER(H197)),"",IF(H197&lt;=-'参数'!$C$8,"触及停手线",""))</f>
        <v/>
      </c>
      <c r="J197" s="31" t="n"/>
      <c r="K197" s="31" t="n"/>
    </row>
    <row r="198">
      <c r="A198" s="30" t="n"/>
      <c r="B198" s="41" t="str">
        <f>IF(ISNUMBER(A198),"周"&amp;CHOOSE(WEEKDAY(A198,2),"一","二","三","四","五","六","日"),"")</f>
        <v/>
      </c>
      <c r="C198" s="32" t="n"/>
      <c r="D198" s="29" t="n"/>
      <c r="E198" s="55" t="str">
        <f>IF(ISNUMBER(A198),COUNTIFS('交易记录'!$B$5:$B$304,A198,'交易记录'!$Q$5:$Q$304,"已执行"),"")</f>
        <v/>
      </c>
      <c r="F198" s="31" t="n"/>
      <c r="G198" s="29" t="n"/>
      <c r="H198" s="56" t="str">
        <f>IF(NOT(ISNUMBER(A198)),"",IF(COUNTIFS('交易记录'!$S$5:$S$304,A198,'交易记录'!$Y$5:$Y$304,"已平仓")=0,"",SUMIFS('交易记录'!$AG$5:$AG$304,'交易记录'!$S$5:$S$304,A198,'交易记录'!$Y$5:$Y$304,"已平仓")))</f>
        <v/>
      </c>
      <c r="I198" s="41" t="str">
        <f>IF(NOT(ISNUMBER(H198)),"",IF(H198&lt;=-'参数'!$C$8,"触及停手线",""))</f>
        <v/>
      </c>
      <c r="J198" s="31" t="n"/>
      <c r="K198" s="31" t="n"/>
    </row>
    <row r="199">
      <c r="A199" s="30" t="n"/>
      <c r="B199" s="41" t="str">
        <f>IF(ISNUMBER(A199),"周"&amp;CHOOSE(WEEKDAY(A199,2),"一","二","三","四","五","六","日"),"")</f>
        <v/>
      </c>
      <c r="C199" s="32" t="n"/>
      <c r="D199" s="29" t="n"/>
      <c r="E199" s="55" t="str">
        <f>IF(ISNUMBER(A199),COUNTIFS('交易记录'!$B$5:$B$304,A199,'交易记录'!$Q$5:$Q$304,"已执行"),"")</f>
        <v/>
      </c>
      <c r="F199" s="31" t="n"/>
      <c r="G199" s="29" t="n"/>
      <c r="H199" s="56" t="str">
        <f>IF(NOT(ISNUMBER(A199)),"",IF(COUNTIFS('交易记录'!$S$5:$S$304,A199,'交易记录'!$Y$5:$Y$304,"已平仓")=0,"",SUMIFS('交易记录'!$AG$5:$AG$304,'交易记录'!$S$5:$S$304,A199,'交易记录'!$Y$5:$Y$304,"已平仓")))</f>
        <v/>
      </c>
      <c r="I199" s="41" t="str">
        <f>IF(NOT(ISNUMBER(H199)),"",IF(H199&lt;=-'参数'!$C$8,"触及停手线",""))</f>
        <v/>
      </c>
      <c r="J199" s="31" t="n"/>
      <c r="K199" s="31" t="n"/>
    </row>
    <row r="200">
      <c r="A200" s="30" t="n"/>
      <c r="B200" s="41" t="str">
        <f>IF(ISNUMBER(A200),"周"&amp;CHOOSE(WEEKDAY(A200,2),"一","二","三","四","五","六","日"),"")</f>
        <v/>
      </c>
      <c r="C200" s="32" t="n"/>
      <c r="D200" s="29" t="n"/>
      <c r="E200" s="55" t="str">
        <f>IF(ISNUMBER(A200),COUNTIFS('交易记录'!$B$5:$B$304,A200,'交易记录'!$Q$5:$Q$304,"已执行"),"")</f>
        <v/>
      </c>
      <c r="F200" s="31" t="n"/>
      <c r="G200" s="29" t="n"/>
      <c r="H200" s="56" t="str">
        <f>IF(NOT(ISNUMBER(A200)),"",IF(COUNTIFS('交易记录'!$S$5:$S$304,A200,'交易记录'!$Y$5:$Y$304,"已平仓")=0,"",SUMIFS('交易记录'!$AG$5:$AG$304,'交易记录'!$S$5:$S$304,A200,'交易记录'!$Y$5:$Y$304,"已平仓")))</f>
        <v/>
      </c>
      <c r="I200" s="41" t="str">
        <f>IF(NOT(ISNUMBER(H200)),"",IF(H200&lt;=-'参数'!$C$8,"触及停手线",""))</f>
        <v/>
      </c>
      <c r="J200" s="31" t="n"/>
      <c r="K200" s="31" t="n"/>
    </row>
    <row r="201">
      <c r="A201" s="30" t="n"/>
      <c r="B201" s="41" t="str">
        <f>IF(ISNUMBER(A201),"周"&amp;CHOOSE(WEEKDAY(A201,2),"一","二","三","四","五","六","日"),"")</f>
        <v/>
      </c>
      <c r="C201" s="32" t="n"/>
      <c r="D201" s="29" t="n"/>
      <c r="E201" s="55" t="str">
        <f>IF(ISNUMBER(A201),COUNTIFS('交易记录'!$B$5:$B$304,A201,'交易记录'!$Q$5:$Q$304,"已执行"),"")</f>
        <v/>
      </c>
      <c r="F201" s="31" t="n"/>
      <c r="G201" s="29" t="n"/>
      <c r="H201" s="56" t="str">
        <f>IF(NOT(ISNUMBER(A201)),"",IF(COUNTIFS('交易记录'!$S$5:$S$304,A201,'交易记录'!$Y$5:$Y$304,"已平仓")=0,"",SUMIFS('交易记录'!$AG$5:$AG$304,'交易记录'!$S$5:$S$304,A201,'交易记录'!$Y$5:$Y$304,"已平仓")))</f>
        <v/>
      </c>
      <c r="I201" s="41" t="str">
        <f>IF(NOT(ISNUMBER(H201)),"",IF(H201&lt;=-'参数'!$C$8,"触及停手线",""))</f>
        <v/>
      </c>
      <c r="J201" s="31" t="n"/>
      <c r="K201" s="31" t="n"/>
    </row>
    <row r="202">
      <c r="A202" s="30" t="n"/>
      <c r="B202" s="41" t="str">
        <f>IF(ISNUMBER(A202),"周"&amp;CHOOSE(WEEKDAY(A202,2),"一","二","三","四","五","六","日"),"")</f>
        <v/>
      </c>
      <c r="C202" s="32" t="n"/>
      <c r="D202" s="29" t="n"/>
      <c r="E202" s="55" t="str">
        <f>IF(ISNUMBER(A202),COUNTIFS('交易记录'!$B$5:$B$304,A202,'交易记录'!$Q$5:$Q$304,"已执行"),"")</f>
        <v/>
      </c>
      <c r="F202" s="31" t="n"/>
      <c r="G202" s="29" t="n"/>
      <c r="H202" s="56" t="str">
        <f>IF(NOT(ISNUMBER(A202)),"",IF(COUNTIFS('交易记录'!$S$5:$S$304,A202,'交易记录'!$Y$5:$Y$304,"已平仓")=0,"",SUMIFS('交易记录'!$AG$5:$AG$304,'交易记录'!$S$5:$S$304,A202,'交易记录'!$Y$5:$Y$304,"已平仓")))</f>
        <v/>
      </c>
      <c r="I202" s="41" t="str">
        <f>IF(NOT(ISNUMBER(H202)),"",IF(H202&lt;=-'参数'!$C$8,"触及停手线",""))</f>
        <v/>
      </c>
      <c r="J202" s="31" t="n"/>
      <c r="K202" s="31" t="n"/>
    </row>
    <row r="203">
      <c r="A203" s="30" t="n"/>
      <c r="B203" s="41" t="str">
        <f>IF(ISNUMBER(A203),"周"&amp;CHOOSE(WEEKDAY(A203,2),"一","二","三","四","五","六","日"),"")</f>
        <v/>
      </c>
      <c r="C203" s="32" t="n"/>
      <c r="D203" s="29" t="n"/>
      <c r="E203" s="55" t="str">
        <f>IF(ISNUMBER(A203),COUNTIFS('交易记录'!$B$5:$B$304,A203,'交易记录'!$Q$5:$Q$304,"已执行"),"")</f>
        <v/>
      </c>
      <c r="F203" s="31" t="n"/>
      <c r="G203" s="29" t="n"/>
      <c r="H203" s="56" t="str">
        <f>IF(NOT(ISNUMBER(A203)),"",IF(COUNTIFS('交易记录'!$S$5:$S$304,A203,'交易记录'!$Y$5:$Y$304,"已平仓")=0,"",SUMIFS('交易记录'!$AG$5:$AG$304,'交易记录'!$S$5:$S$304,A203,'交易记录'!$Y$5:$Y$304,"已平仓")))</f>
        <v/>
      </c>
      <c r="I203" s="41" t="str">
        <f>IF(NOT(ISNUMBER(H203)),"",IF(H203&lt;=-'参数'!$C$8,"触及停手线",""))</f>
        <v/>
      </c>
      <c r="J203" s="31" t="n"/>
      <c r="K203" s="31" t="n"/>
    </row>
    <row r="204">
      <c r="A204" s="30" t="n"/>
      <c r="B204" s="41" t="str">
        <f>IF(ISNUMBER(A204),"周"&amp;CHOOSE(WEEKDAY(A204,2),"一","二","三","四","五","六","日"),"")</f>
        <v/>
      </c>
      <c r="C204" s="32" t="n"/>
      <c r="D204" s="29" t="n"/>
      <c r="E204" s="55" t="str">
        <f>IF(ISNUMBER(A204),COUNTIFS('交易记录'!$B$5:$B$304,A204,'交易记录'!$Q$5:$Q$304,"已执行"),"")</f>
        <v/>
      </c>
      <c r="F204" s="31" t="n"/>
      <c r="G204" s="29" t="n"/>
      <c r="H204" s="56" t="str">
        <f>IF(NOT(ISNUMBER(A204)),"",IF(COUNTIFS('交易记录'!$S$5:$S$304,A204,'交易记录'!$Y$5:$Y$304,"已平仓")=0,"",SUMIFS('交易记录'!$AG$5:$AG$304,'交易记录'!$S$5:$S$304,A204,'交易记录'!$Y$5:$Y$304,"已平仓")))</f>
        <v/>
      </c>
      <c r="I204" s="41" t="str">
        <f>IF(NOT(ISNUMBER(H204)),"",IF(H204&lt;=-'参数'!$C$8,"触及停手线",""))</f>
        <v/>
      </c>
      <c r="J204" s="31" t="n"/>
      <c r="K204" s="31" t="n"/>
    </row>
    <row r="205">
      <c r="A205" s="30" t="n"/>
      <c r="B205" s="41" t="str">
        <f>IF(ISNUMBER(A205),"周"&amp;CHOOSE(WEEKDAY(A205,2),"一","二","三","四","五","六","日"),"")</f>
        <v/>
      </c>
      <c r="C205" s="32" t="n"/>
      <c r="D205" s="29" t="n"/>
      <c r="E205" s="55" t="str">
        <f>IF(ISNUMBER(A205),COUNTIFS('交易记录'!$B$5:$B$304,A205,'交易记录'!$Q$5:$Q$304,"已执行"),"")</f>
        <v/>
      </c>
      <c r="F205" s="31" t="n"/>
      <c r="G205" s="29" t="n"/>
      <c r="H205" s="56" t="str">
        <f>IF(NOT(ISNUMBER(A205)),"",IF(COUNTIFS('交易记录'!$S$5:$S$304,A205,'交易记录'!$Y$5:$Y$304,"已平仓")=0,"",SUMIFS('交易记录'!$AG$5:$AG$304,'交易记录'!$S$5:$S$304,A205,'交易记录'!$Y$5:$Y$304,"已平仓")))</f>
        <v/>
      </c>
      <c r="I205" s="41" t="str">
        <f>IF(NOT(ISNUMBER(H205)),"",IF(H205&lt;=-'参数'!$C$8,"触及停手线",""))</f>
        <v/>
      </c>
      <c r="J205" s="31" t="n"/>
      <c r="K205" s="31" t="n"/>
    </row>
    <row r="206">
      <c r="A206" s="30" t="n"/>
      <c r="B206" s="41" t="str">
        <f>IF(ISNUMBER(A206),"周"&amp;CHOOSE(WEEKDAY(A206,2),"一","二","三","四","五","六","日"),"")</f>
        <v/>
      </c>
      <c r="C206" s="32" t="n"/>
      <c r="D206" s="29" t="n"/>
      <c r="E206" s="55" t="str">
        <f>IF(ISNUMBER(A206),COUNTIFS('交易记录'!$B$5:$B$304,A206,'交易记录'!$Q$5:$Q$304,"已执行"),"")</f>
        <v/>
      </c>
      <c r="F206" s="31" t="n"/>
      <c r="G206" s="29" t="n"/>
      <c r="H206" s="56" t="str">
        <f>IF(NOT(ISNUMBER(A206)),"",IF(COUNTIFS('交易记录'!$S$5:$S$304,A206,'交易记录'!$Y$5:$Y$304,"已平仓")=0,"",SUMIFS('交易记录'!$AG$5:$AG$304,'交易记录'!$S$5:$S$304,A206,'交易记录'!$Y$5:$Y$304,"已平仓")))</f>
        <v/>
      </c>
      <c r="I206" s="41" t="str">
        <f>IF(NOT(ISNUMBER(H206)),"",IF(H206&lt;=-'参数'!$C$8,"触及停手线",""))</f>
        <v/>
      </c>
      <c r="J206" s="31" t="n"/>
      <c r="K206" s="31" t="n"/>
    </row>
    <row r="207">
      <c r="A207" s="30" t="n"/>
      <c r="B207" s="41" t="str">
        <f>IF(ISNUMBER(A207),"周"&amp;CHOOSE(WEEKDAY(A207,2),"一","二","三","四","五","六","日"),"")</f>
        <v/>
      </c>
      <c r="C207" s="32" t="n"/>
      <c r="D207" s="29" t="n"/>
      <c r="E207" s="55" t="str">
        <f>IF(ISNUMBER(A207),COUNTIFS('交易记录'!$B$5:$B$304,A207,'交易记录'!$Q$5:$Q$304,"已执行"),"")</f>
        <v/>
      </c>
      <c r="F207" s="31" t="n"/>
      <c r="G207" s="29" t="n"/>
      <c r="H207" s="56" t="str">
        <f>IF(NOT(ISNUMBER(A207)),"",IF(COUNTIFS('交易记录'!$S$5:$S$304,A207,'交易记录'!$Y$5:$Y$304,"已平仓")=0,"",SUMIFS('交易记录'!$AG$5:$AG$304,'交易记录'!$S$5:$S$304,A207,'交易记录'!$Y$5:$Y$304,"已平仓")))</f>
        <v/>
      </c>
      <c r="I207" s="41" t="str">
        <f>IF(NOT(ISNUMBER(H207)),"",IF(H207&lt;=-'参数'!$C$8,"触及停手线",""))</f>
        <v/>
      </c>
      <c r="J207" s="31" t="n"/>
      <c r="K207" s="31" t="n"/>
    </row>
    <row r="208">
      <c r="A208" s="30" t="n"/>
      <c r="B208" s="41" t="str">
        <f>IF(ISNUMBER(A208),"周"&amp;CHOOSE(WEEKDAY(A208,2),"一","二","三","四","五","六","日"),"")</f>
        <v/>
      </c>
      <c r="C208" s="32" t="n"/>
      <c r="D208" s="29" t="n"/>
      <c r="E208" s="55" t="str">
        <f>IF(ISNUMBER(A208),COUNTIFS('交易记录'!$B$5:$B$304,A208,'交易记录'!$Q$5:$Q$304,"已执行"),"")</f>
        <v/>
      </c>
      <c r="F208" s="31" t="n"/>
      <c r="G208" s="29" t="n"/>
      <c r="H208" s="56" t="str">
        <f>IF(NOT(ISNUMBER(A208)),"",IF(COUNTIFS('交易记录'!$S$5:$S$304,A208,'交易记录'!$Y$5:$Y$304,"已平仓")=0,"",SUMIFS('交易记录'!$AG$5:$AG$304,'交易记录'!$S$5:$S$304,A208,'交易记录'!$Y$5:$Y$304,"已平仓")))</f>
        <v/>
      </c>
      <c r="I208" s="41" t="str">
        <f>IF(NOT(ISNUMBER(H208)),"",IF(H208&lt;=-'参数'!$C$8,"触及停手线",""))</f>
        <v/>
      </c>
      <c r="J208" s="31" t="n"/>
      <c r="K208" s="31" t="n"/>
    </row>
    <row r="209">
      <c r="A209" s="30" t="n"/>
      <c r="B209" s="41" t="str">
        <f>IF(ISNUMBER(A209),"周"&amp;CHOOSE(WEEKDAY(A209,2),"一","二","三","四","五","六","日"),"")</f>
        <v/>
      </c>
      <c r="C209" s="32" t="n"/>
      <c r="D209" s="29" t="n"/>
      <c r="E209" s="55" t="str">
        <f>IF(ISNUMBER(A209),COUNTIFS('交易记录'!$B$5:$B$304,A209,'交易记录'!$Q$5:$Q$304,"已执行"),"")</f>
        <v/>
      </c>
      <c r="F209" s="31" t="n"/>
      <c r="G209" s="29" t="n"/>
      <c r="H209" s="56" t="str">
        <f>IF(NOT(ISNUMBER(A209)),"",IF(COUNTIFS('交易记录'!$S$5:$S$304,A209,'交易记录'!$Y$5:$Y$304,"已平仓")=0,"",SUMIFS('交易记录'!$AG$5:$AG$304,'交易记录'!$S$5:$S$304,A209,'交易记录'!$Y$5:$Y$304,"已平仓")))</f>
        <v/>
      </c>
      <c r="I209" s="41" t="str">
        <f>IF(NOT(ISNUMBER(H209)),"",IF(H209&lt;=-'参数'!$C$8,"触及停手线",""))</f>
        <v/>
      </c>
      <c r="J209" s="31" t="n"/>
      <c r="K209" s="31" t="n"/>
    </row>
    <row r="210">
      <c r="A210" s="30" t="n"/>
      <c r="B210" s="41" t="str">
        <f>IF(ISNUMBER(A210),"周"&amp;CHOOSE(WEEKDAY(A210,2),"一","二","三","四","五","六","日"),"")</f>
        <v/>
      </c>
      <c r="C210" s="32" t="n"/>
      <c r="D210" s="29" t="n"/>
      <c r="E210" s="55" t="str">
        <f>IF(ISNUMBER(A210),COUNTIFS('交易记录'!$B$5:$B$304,A210,'交易记录'!$Q$5:$Q$304,"已执行"),"")</f>
        <v/>
      </c>
      <c r="F210" s="31" t="n"/>
      <c r="G210" s="29" t="n"/>
      <c r="H210" s="56" t="str">
        <f>IF(NOT(ISNUMBER(A210)),"",IF(COUNTIFS('交易记录'!$S$5:$S$304,A210,'交易记录'!$Y$5:$Y$304,"已平仓")=0,"",SUMIFS('交易记录'!$AG$5:$AG$304,'交易记录'!$S$5:$S$304,A210,'交易记录'!$Y$5:$Y$304,"已平仓")))</f>
        <v/>
      </c>
      <c r="I210" s="41" t="str">
        <f>IF(NOT(ISNUMBER(H210)),"",IF(H210&lt;=-'参数'!$C$8,"触及停手线",""))</f>
        <v/>
      </c>
      <c r="J210" s="31" t="n"/>
      <c r="K210" s="31" t="n"/>
    </row>
    <row r="211">
      <c r="A211" s="30" t="n"/>
      <c r="B211" s="41" t="str">
        <f>IF(ISNUMBER(A211),"周"&amp;CHOOSE(WEEKDAY(A211,2),"一","二","三","四","五","六","日"),"")</f>
        <v/>
      </c>
      <c r="C211" s="32" t="n"/>
      <c r="D211" s="29" t="n"/>
      <c r="E211" s="55" t="str">
        <f>IF(ISNUMBER(A211),COUNTIFS('交易记录'!$B$5:$B$304,A211,'交易记录'!$Q$5:$Q$304,"已执行"),"")</f>
        <v/>
      </c>
      <c r="F211" s="31" t="n"/>
      <c r="G211" s="29" t="n"/>
      <c r="H211" s="56" t="str">
        <f>IF(NOT(ISNUMBER(A211)),"",IF(COUNTIFS('交易记录'!$S$5:$S$304,A211,'交易记录'!$Y$5:$Y$304,"已平仓")=0,"",SUMIFS('交易记录'!$AG$5:$AG$304,'交易记录'!$S$5:$S$304,A211,'交易记录'!$Y$5:$Y$304,"已平仓")))</f>
        <v/>
      </c>
      <c r="I211" s="41" t="str">
        <f>IF(NOT(ISNUMBER(H211)),"",IF(H211&lt;=-'参数'!$C$8,"触及停手线",""))</f>
        <v/>
      </c>
      <c r="J211" s="31" t="n"/>
      <c r="K211" s="31" t="n"/>
    </row>
    <row r="212">
      <c r="A212" s="30" t="n"/>
      <c r="B212" s="41" t="str">
        <f>IF(ISNUMBER(A212),"周"&amp;CHOOSE(WEEKDAY(A212,2),"一","二","三","四","五","六","日"),"")</f>
        <v/>
      </c>
      <c r="C212" s="32" t="n"/>
      <c r="D212" s="29" t="n"/>
      <c r="E212" s="55" t="str">
        <f>IF(ISNUMBER(A212),COUNTIFS('交易记录'!$B$5:$B$304,A212,'交易记录'!$Q$5:$Q$304,"已执行"),"")</f>
        <v/>
      </c>
      <c r="F212" s="31" t="n"/>
      <c r="G212" s="29" t="n"/>
      <c r="H212" s="56" t="str">
        <f>IF(NOT(ISNUMBER(A212)),"",IF(COUNTIFS('交易记录'!$S$5:$S$304,A212,'交易记录'!$Y$5:$Y$304,"已平仓")=0,"",SUMIFS('交易记录'!$AG$5:$AG$304,'交易记录'!$S$5:$S$304,A212,'交易记录'!$Y$5:$Y$304,"已平仓")))</f>
        <v/>
      </c>
      <c r="I212" s="41" t="str">
        <f>IF(NOT(ISNUMBER(H212)),"",IF(H212&lt;=-'参数'!$C$8,"触及停手线",""))</f>
        <v/>
      </c>
      <c r="J212" s="31" t="n"/>
      <c r="K212" s="31" t="n"/>
    </row>
    <row r="213">
      <c r="A213" s="30" t="n"/>
      <c r="B213" s="41" t="str">
        <f>IF(ISNUMBER(A213),"周"&amp;CHOOSE(WEEKDAY(A213,2),"一","二","三","四","五","六","日"),"")</f>
        <v/>
      </c>
      <c r="C213" s="32" t="n"/>
      <c r="D213" s="29" t="n"/>
      <c r="E213" s="55" t="str">
        <f>IF(ISNUMBER(A213),COUNTIFS('交易记录'!$B$5:$B$304,A213,'交易记录'!$Q$5:$Q$304,"已执行"),"")</f>
        <v/>
      </c>
      <c r="F213" s="31" t="n"/>
      <c r="G213" s="29" t="n"/>
      <c r="H213" s="56" t="str">
        <f>IF(NOT(ISNUMBER(A213)),"",IF(COUNTIFS('交易记录'!$S$5:$S$304,A213,'交易记录'!$Y$5:$Y$304,"已平仓")=0,"",SUMIFS('交易记录'!$AG$5:$AG$304,'交易记录'!$S$5:$S$304,A213,'交易记录'!$Y$5:$Y$304,"已平仓")))</f>
        <v/>
      </c>
      <c r="I213" s="41" t="str">
        <f>IF(NOT(ISNUMBER(H213)),"",IF(H213&lt;=-'参数'!$C$8,"触及停手线",""))</f>
        <v/>
      </c>
      <c r="J213" s="31" t="n"/>
      <c r="K213" s="31" t="n"/>
    </row>
    <row r="214">
      <c r="A214" s="30" t="n"/>
      <c r="B214" s="41" t="str">
        <f>IF(ISNUMBER(A214),"周"&amp;CHOOSE(WEEKDAY(A214,2),"一","二","三","四","五","六","日"),"")</f>
        <v/>
      </c>
      <c r="C214" s="32" t="n"/>
      <c r="D214" s="29" t="n"/>
      <c r="E214" s="55" t="str">
        <f>IF(ISNUMBER(A214),COUNTIFS('交易记录'!$B$5:$B$304,A214,'交易记录'!$Q$5:$Q$304,"已执行"),"")</f>
        <v/>
      </c>
      <c r="F214" s="31" t="n"/>
      <c r="G214" s="29" t="n"/>
      <c r="H214" s="56" t="str">
        <f>IF(NOT(ISNUMBER(A214)),"",IF(COUNTIFS('交易记录'!$S$5:$S$304,A214,'交易记录'!$Y$5:$Y$304,"已平仓")=0,"",SUMIFS('交易记录'!$AG$5:$AG$304,'交易记录'!$S$5:$S$304,A214,'交易记录'!$Y$5:$Y$304,"已平仓")))</f>
        <v/>
      </c>
      <c r="I214" s="41" t="str">
        <f>IF(NOT(ISNUMBER(H214)),"",IF(H214&lt;=-'参数'!$C$8,"触及停手线",""))</f>
        <v/>
      </c>
      <c r="J214" s="31" t="n"/>
      <c r="K214" s="31" t="n"/>
    </row>
    <row r="215">
      <c r="A215" s="30" t="n"/>
      <c r="B215" s="41" t="str">
        <f>IF(ISNUMBER(A215),"周"&amp;CHOOSE(WEEKDAY(A215,2),"一","二","三","四","五","六","日"),"")</f>
        <v/>
      </c>
      <c r="C215" s="32" t="n"/>
      <c r="D215" s="29" t="n"/>
      <c r="E215" s="55" t="str">
        <f>IF(ISNUMBER(A215),COUNTIFS('交易记录'!$B$5:$B$304,A215,'交易记录'!$Q$5:$Q$304,"已执行"),"")</f>
        <v/>
      </c>
      <c r="F215" s="31" t="n"/>
      <c r="G215" s="29" t="n"/>
      <c r="H215" s="56" t="str">
        <f>IF(NOT(ISNUMBER(A215)),"",IF(COUNTIFS('交易记录'!$S$5:$S$304,A215,'交易记录'!$Y$5:$Y$304,"已平仓")=0,"",SUMIFS('交易记录'!$AG$5:$AG$304,'交易记录'!$S$5:$S$304,A215,'交易记录'!$Y$5:$Y$304,"已平仓")))</f>
        <v/>
      </c>
      <c r="I215" s="41" t="str">
        <f>IF(NOT(ISNUMBER(H215)),"",IF(H215&lt;=-'参数'!$C$8,"触及停手线",""))</f>
        <v/>
      </c>
      <c r="J215" s="31" t="n"/>
      <c r="K215" s="31" t="n"/>
    </row>
    <row r="216">
      <c r="A216" s="30" t="n"/>
      <c r="B216" s="41" t="str">
        <f>IF(ISNUMBER(A216),"周"&amp;CHOOSE(WEEKDAY(A216,2),"一","二","三","四","五","六","日"),"")</f>
        <v/>
      </c>
      <c r="C216" s="32" t="n"/>
      <c r="D216" s="29" t="n"/>
      <c r="E216" s="55" t="str">
        <f>IF(ISNUMBER(A216),COUNTIFS('交易记录'!$B$5:$B$304,A216,'交易记录'!$Q$5:$Q$304,"已执行"),"")</f>
        <v/>
      </c>
      <c r="F216" s="31" t="n"/>
      <c r="G216" s="29" t="n"/>
      <c r="H216" s="56" t="str">
        <f>IF(NOT(ISNUMBER(A216)),"",IF(COUNTIFS('交易记录'!$S$5:$S$304,A216,'交易记录'!$Y$5:$Y$304,"已平仓")=0,"",SUMIFS('交易记录'!$AG$5:$AG$304,'交易记录'!$S$5:$S$304,A216,'交易记录'!$Y$5:$Y$304,"已平仓")))</f>
        <v/>
      </c>
      <c r="I216" s="41" t="str">
        <f>IF(NOT(ISNUMBER(H216)),"",IF(H216&lt;=-'参数'!$C$8,"触及停手线",""))</f>
        <v/>
      </c>
      <c r="J216" s="31" t="n"/>
      <c r="K216" s="31" t="n"/>
    </row>
    <row r="217">
      <c r="A217" s="30" t="n"/>
      <c r="B217" s="41" t="str">
        <f>IF(ISNUMBER(A217),"周"&amp;CHOOSE(WEEKDAY(A217,2),"一","二","三","四","五","六","日"),"")</f>
        <v/>
      </c>
      <c r="C217" s="32" t="n"/>
      <c r="D217" s="29" t="n"/>
      <c r="E217" s="55" t="str">
        <f>IF(ISNUMBER(A217),COUNTIFS('交易记录'!$B$5:$B$304,A217,'交易记录'!$Q$5:$Q$304,"已执行"),"")</f>
        <v/>
      </c>
      <c r="F217" s="31" t="n"/>
      <c r="G217" s="29" t="n"/>
      <c r="H217" s="56" t="str">
        <f>IF(NOT(ISNUMBER(A217)),"",IF(COUNTIFS('交易记录'!$S$5:$S$304,A217,'交易记录'!$Y$5:$Y$304,"已平仓")=0,"",SUMIFS('交易记录'!$AG$5:$AG$304,'交易记录'!$S$5:$S$304,A217,'交易记录'!$Y$5:$Y$304,"已平仓")))</f>
        <v/>
      </c>
      <c r="I217" s="41" t="str">
        <f>IF(NOT(ISNUMBER(H217)),"",IF(H217&lt;=-'参数'!$C$8,"触及停手线",""))</f>
        <v/>
      </c>
      <c r="J217" s="31" t="n"/>
      <c r="K217" s="31" t="n"/>
    </row>
    <row r="218">
      <c r="A218" s="30" t="n"/>
      <c r="B218" s="41" t="str">
        <f>IF(ISNUMBER(A218),"周"&amp;CHOOSE(WEEKDAY(A218,2),"一","二","三","四","五","六","日"),"")</f>
        <v/>
      </c>
      <c r="C218" s="32" t="n"/>
      <c r="D218" s="29" t="n"/>
      <c r="E218" s="55" t="str">
        <f>IF(ISNUMBER(A218),COUNTIFS('交易记录'!$B$5:$B$304,A218,'交易记录'!$Q$5:$Q$304,"已执行"),"")</f>
        <v/>
      </c>
      <c r="F218" s="31" t="n"/>
      <c r="G218" s="29" t="n"/>
      <c r="H218" s="56" t="str">
        <f>IF(NOT(ISNUMBER(A218)),"",IF(COUNTIFS('交易记录'!$S$5:$S$304,A218,'交易记录'!$Y$5:$Y$304,"已平仓")=0,"",SUMIFS('交易记录'!$AG$5:$AG$304,'交易记录'!$S$5:$S$304,A218,'交易记录'!$Y$5:$Y$304,"已平仓")))</f>
        <v/>
      </c>
      <c r="I218" s="41" t="str">
        <f>IF(NOT(ISNUMBER(H218)),"",IF(H218&lt;=-'参数'!$C$8,"触及停手线",""))</f>
        <v/>
      </c>
      <c r="J218" s="31" t="n"/>
      <c r="K218" s="31" t="n"/>
    </row>
    <row r="219">
      <c r="A219" s="30" t="n"/>
      <c r="B219" s="41" t="str">
        <f>IF(ISNUMBER(A219),"周"&amp;CHOOSE(WEEKDAY(A219,2),"一","二","三","四","五","六","日"),"")</f>
        <v/>
      </c>
      <c r="C219" s="32" t="n"/>
      <c r="D219" s="29" t="n"/>
      <c r="E219" s="55" t="str">
        <f>IF(ISNUMBER(A219),COUNTIFS('交易记录'!$B$5:$B$304,A219,'交易记录'!$Q$5:$Q$304,"已执行"),"")</f>
        <v/>
      </c>
      <c r="F219" s="31" t="n"/>
      <c r="G219" s="29" t="n"/>
      <c r="H219" s="56" t="str">
        <f>IF(NOT(ISNUMBER(A219)),"",IF(COUNTIFS('交易记录'!$S$5:$S$304,A219,'交易记录'!$Y$5:$Y$304,"已平仓")=0,"",SUMIFS('交易记录'!$AG$5:$AG$304,'交易记录'!$S$5:$S$304,A219,'交易记录'!$Y$5:$Y$304,"已平仓")))</f>
        <v/>
      </c>
      <c r="I219" s="41" t="str">
        <f>IF(NOT(ISNUMBER(H219)),"",IF(H219&lt;=-'参数'!$C$8,"触及停手线",""))</f>
        <v/>
      </c>
      <c r="J219" s="31" t="n"/>
      <c r="K219" s="31" t="n"/>
    </row>
    <row r="220">
      <c r="A220" s="30" t="n"/>
      <c r="B220" s="41" t="str">
        <f>IF(ISNUMBER(A220),"周"&amp;CHOOSE(WEEKDAY(A220,2),"一","二","三","四","五","六","日"),"")</f>
        <v/>
      </c>
      <c r="C220" s="32" t="n"/>
      <c r="D220" s="29" t="n"/>
      <c r="E220" s="55" t="str">
        <f>IF(ISNUMBER(A220),COUNTIFS('交易记录'!$B$5:$B$304,A220,'交易记录'!$Q$5:$Q$304,"已执行"),"")</f>
        <v/>
      </c>
      <c r="F220" s="31" t="n"/>
      <c r="G220" s="29" t="n"/>
      <c r="H220" s="56" t="str">
        <f>IF(NOT(ISNUMBER(A220)),"",IF(COUNTIFS('交易记录'!$S$5:$S$304,A220,'交易记录'!$Y$5:$Y$304,"已平仓")=0,"",SUMIFS('交易记录'!$AG$5:$AG$304,'交易记录'!$S$5:$S$304,A220,'交易记录'!$Y$5:$Y$304,"已平仓")))</f>
        <v/>
      </c>
      <c r="I220" s="41" t="str">
        <f>IF(NOT(ISNUMBER(H220)),"",IF(H220&lt;=-'参数'!$C$8,"触及停手线",""))</f>
        <v/>
      </c>
      <c r="J220" s="31" t="n"/>
      <c r="K220" s="31" t="n"/>
    </row>
    <row r="221">
      <c r="A221" s="30" t="n"/>
      <c r="B221" s="41" t="str">
        <f>IF(ISNUMBER(A221),"周"&amp;CHOOSE(WEEKDAY(A221,2),"一","二","三","四","五","六","日"),"")</f>
        <v/>
      </c>
      <c r="C221" s="32" t="n"/>
      <c r="D221" s="29" t="n"/>
      <c r="E221" s="55" t="str">
        <f>IF(ISNUMBER(A221),COUNTIFS('交易记录'!$B$5:$B$304,A221,'交易记录'!$Q$5:$Q$304,"已执行"),"")</f>
        <v/>
      </c>
      <c r="F221" s="31" t="n"/>
      <c r="G221" s="29" t="n"/>
      <c r="H221" s="56" t="str">
        <f>IF(NOT(ISNUMBER(A221)),"",IF(COUNTIFS('交易记录'!$S$5:$S$304,A221,'交易记录'!$Y$5:$Y$304,"已平仓")=0,"",SUMIFS('交易记录'!$AG$5:$AG$304,'交易记录'!$S$5:$S$304,A221,'交易记录'!$Y$5:$Y$304,"已平仓")))</f>
        <v/>
      </c>
      <c r="I221" s="41" t="str">
        <f>IF(NOT(ISNUMBER(H221)),"",IF(H221&lt;=-'参数'!$C$8,"触及停手线",""))</f>
        <v/>
      </c>
      <c r="J221" s="31" t="n"/>
      <c r="K221" s="31" t="n"/>
    </row>
    <row r="222">
      <c r="A222" s="30" t="n"/>
      <c r="B222" s="41" t="str">
        <f>IF(ISNUMBER(A222),"周"&amp;CHOOSE(WEEKDAY(A222,2),"一","二","三","四","五","六","日"),"")</f>
        <v/>
      </c>
      <c r="C222" s="32" t="n"/>
      <c r="D222" s="29" t="n"/>
      <c r="E222" s="55" t="str">
        <f>IF(ISNUMBER(A222),COUNTIFS('交易记录'!$B$5:$B$304,A222,'交易记录'!$Q$5:$Q$304,"已执行"),"")</f>
        <v/>
      </c>
      <c r="F222" s="31" t="n"/>
      <c r="G222" s="29" t="n"/>
      <c r="H222" s="56" t="str">
        <f>IF(NOT(ISNUMBER(A222)),"",IF(COUNTIFS('交易记录'!$S$5:$S$304,A222,'交易记录'!$Y$5:$Y$304,"已平仓")=0,"",SUMIFS('交易记录'!$AG$5:$AG$304,'交易记录'!$S$5:$S$304,A222,'交易记录'!$Y$5:$Y$304,"已平仓")))</f>
        <v/>
      </c>
      <c r="I222" s="41" t="str">
        <f>IF(NOT(ISNUMBER(H222)),"",IF(H222&lt;=-'参数'!$C$8,"触及停手线",""))</f>
        <v/>
      </c>
      <c r="J222" s="31" t="n"/>
      <c r="K222" s="31" t="n"/>
    </row>
    <row r="223">
      <c r="A223" s="30" t="n"/>
      <c r="B223" s="41" t="str">
        <f>IF(ISNUMBER(A223),"周"&amp;CHOOSE(WEEKDAY(A223,2),"一","二","三","四","五","六","日"),"")</f>
        <v/>
      </c>
      <c r="C223" s="32" t="n"/>
      <c r="D223" s="29" t="n"/>
      <c r="E223" s="55" t="str">
        <f>IF(ISNUMBER(A223),COUNTIFS('交易记录'!$B$5:$B$304,A223,'交易记录'!$Q$5:$Q$304,"已执行"),"")</f>
        <v/>
      </c>
      <c r="F223" s="31" t="n"/>
      <c r="G223" s="29" t="n"/>
      <c r="H223" s="56" t="str">
        <f>IF(NOT(ISNUMBER(A223)),"",IF(COUNTIFS('交易记录'!$S$5:$S$304,A223,'交易记录'!$Y$5:$Y$304,"已平仓")=0,"",SUMIFS('交易记录'!$AG$5:$AG$304,'交易记录'!$S$5:$S$304,A223,'交易记录'!$Y$5:$Y$304,"已平仓")))</f>
        <v/>
      </c>
      <c r="I223" s="41" t="str">
        <f>IF(NOT(ISNUMBER(H223)),"",IF(H223&lt;=-'参数'!$C$8,"触及停手线",""))</f>
        <v/>
      </c>
      <c r="J223" s="31" t="n"/>
      <c r="K223" s="31" t="n"/>
    </row>
    <row r="224">
      <c r="A224" s="30" t="n"/>
      <c r="B224" s="41" t="str">
        <f>IF(ISNUMBER(A224),"周"&amp;CHOOSE(WEEKDAY(A224,2),"一","二","三","四","五","六","日"),"")</f>
        <v/>
      </c>
      <c r="C224" s="32" t="n"/>
      <c r="D224" s="29" t="n"/>
      <c r="E224" s="55" t="str">
        <f>IF(ISNUMBER(A224),COUNTIFS('交易记录'!$B$5:$B$304,A224,'交易记录'!$Q$5:$Q$304,"已执行"),"")</f>
        <v/>
      </c>
      <c r="F224" s="31" t="n"/>
      <c r="G224" s="29" t="n"/>
      <c r="H224" s="56" t="str">
        <f>IF(NOT(ISNUMBER(A224)),"",IF(COUNTIFS('交易记录'!$S$5:$S$304,A224,'交易记录'!$Y$5:$Y$304,"已平仓")=0,"",SUMIFS('交易记录'!$AG$5:$AG$304,'交易记录'!$S$5:$S$304,A224,'交易记录'!$Y$5:$Y$304,"已平仓")))</f>
        <v/>
      </c>
      <c r="I224" s="41" t="str">
        <f>IF(NOT(ISNUMBER(H224)),"",IF(H224&lt;=-'参数'!$C$8,"触及停手线",""))</f>
        <v/>
      </c>
      <c r="J224" s="31" t="n"/>
      <c r="K224" s="31" t="n"/>
    </row>
    <row r="225">
      <c r="A225" s="30" t="n"/>
      <c r="B225" s="41" t="str">
        <f>IF(ISNUMBER(A225),"周"&amp;CHOOSE(WEEKDAY(A225,2),"一","二","三","四","五","六","日"),"")</f>
        <v/>
      </c>
      <c r="C225" s="32" t="n"/>
      <c r="D225" s="29" t="n"/>
      <c r="E225" s="55" t="str">
        <f>IF(ISNUMBER(A225),COUNTIFS('交易记录'!$B$5:$B$304,A225,'交易记录'!$Q$5:$Q$304,"已执行"),"")</f>
        <v/>
      </c>
      <c r="F225" s="31" t="n"/>
      <c r="G225" s="29" t="n"/>
      <c r="H225" s="56" t="str">
        <f>IF(NOT(ISNUMBER(A225)),"",IF(COUNTIFS('交易记录'!$S$5:$S$304,A225,'交易记录'!$Y$5:$Y$304,"已平仓")=0,"",SUMIFS('交易记录'!$AG$5:$AG$304,'交易记录'!$S$5:$S$304,A225,'交易记录'!$Y$5:$Y$304,"已平仓")))</f>
        <v/>
      </c>
      <c r="I225" s="41" t="str">
        <f>IF(NOT(ISNUMBER(H225)),"",IF(H225&lt;=-'参数'!$C$8,"触及停手线",""))</f>
        <v/>
      </c>
      <c r="J225" s="31" t="n"/>
      <c r="K225" s="31" t="n"/>
    </row>
    <row r="226">
      <c r="A226" s="30" t="n"/>
      <c r="B226" s="41" t="str">
        <f>IF(ISNUMBER(A226),"周"&amp;CHOOSE(WEEKDAY(A226,2),"一","二","三","四","五","六","日"),"")</f>
        <v/>
      </c>
      <c r="C226" s="32" t="n"/>
      <c r="D226" s="29" t="n"/>
      <c r="E226" s="55" t="str">
        <f>IF(ISNUMBER(A226),COUNTIFS('交易记录'!$B$5:$B$304,A226,'交易记录'!$Q$5:$Q$304,"已执行"),"")</f>
        <v/>
      </c>
      <c r="F226" s="31" t="n"/>
      <c r="G226" s="29" t="n"/>
      <c r="H226" s="56" t="str">
        <f>IF(NOT(ISNUMBER(A226)),"",IF(COUNTIFS('交易记录'!$S$5:$S$304,A226,'交易记录'!$Y$5:$Y$304,"已平仓")=0,"",SUMIFS('交易记录'!$AG$5:$AG$304,'交易记录'!$S$5:$S$304,A226,'交易记录'!$Y$5:$Y$304,"已平仓")))</f>
        <v/>
      </c>
      <c r="I226" s="41" t="str">
        <f>IF(NOT(ISNUMBER(H226)),"",IF(H226&lt;=-'参数'!$C$8,"触及停手线",""))</f>
        <v/>
      </c>
      <c r="J226" s="31" t="n"/>
      <c r="K226" s="31" t="n"/>
    </row>
    <row r="227">
      <c r="A227" s="30" t="n"/>
      <c r="B227" s="41" t="str">
        <f>IF(ISNUMBER(A227),"周"&amp;CHOOSE(WEEKDAY(A227,2),"一","二","三","四","五","六","日"),"")</f>
        <v/>
      </c>
      <c r="C227" s="32" t="n"/>
      <c r="D227" s="29" t="n"/>
      <c r="E227" s="55" t="str">
        <f>IF(ISNUMBER(A227),COUNTIFS('交易记录'!$B$5:$B$304,A227,'交易记录'!$Q$5:$Q$304,"已执行"),"")</f>
        <v/>
      </c>
      <c r="F227" s="31" t="n"/>
      <c r="G227" s="29" t="n"/>
      <c r="H227" s="56" t="str">
        <f>IF(NOT(ISNUMBER(A227)),"",IF(COUNTIFS('交易记录'!$S$5:$S$304,A227,'交易记录'!$Y$5:$Y$304,"已平仓")=0,"",SUMIFS('交易记录'!$AG$5:$AG$304,'交易记录'!$S$5:$S$304,A227,'交易记录'!$Y$5:$Y$304,"已平仓")))</f>
        <v/>
      </c>
      <c r="I227" s="41" t="str">
        <f>IF(NOT(ISNUMBER(H227)),"",IF(H227&lt;=-'参数'!$C$8,"触及停手线",""))</f>
        <v/>
      </c>
      <c r="J227" s="31" t="n"/>
      <c r="K227" s="31" t="n"/>
    </row>
    <row r="228">
      <c r="A228" s="30" t="n"/>
      <c r="B228" s="41" t="str">
        <f>IF(ISNUMBER(A228),"周"&amp;CHOOSE(WEEKDAY(A228,2),"一","二","三","四","五","六","日"),"")</f>
        <v/>
      </c>
      <c r="C228" s="32" t="n"/>
      <c r="D228" s="29" t="n"/>
      <c r="E228" s="55" t="str">
        <f>IF(ISNUMBER(A228),COUNTIFS('交易记录'!$B$5:$B$304,A228,'交易记录'!$Q$5:$Q$304,"已执行"),"")</f>
        <v/>
      </c>
      <c r="F228" s="31" t="n"/>
      <c r="G228" s="29" t="n"/>
      <c r="H228" s="56" t="str">
        <f>IF(NOT(ISNUMBER(A228)),"",IF(COUNTIFS('交易记录'!$S$5:$S$304,A228,'交易记录'!$Y$5:$Y$304,"已平仓")=0,"",SUMIFS('交易记录'!$AG$5:$AG$304,'交易记录'!$S$5:$S$304,A228,'交易记录'!$Y$5:$Y$304,"已平仓")))</f>
        <v/>
      </c>
      <c r="I228" s="41" t="str">
        <f>IF(NOT(ISNUMBER(H228)),"",IF(H228&lt;=-'参数'!$C$8,"触及停手线",""))</f>
        <v/>
      </c>
      <c r="J228" s="31" t="n"/>
      <c r="K228" s="31" t="n"/>
    </row>
    <row r="229">
      <c r="A229" s="30" t="n"/>
      <c r="B229" s="41" t="str">
        <f>IF(ISNUMBER(A229),"周"&amp;CHOOSE(WEEKDAY(A229,2),"一","二","三","四","五","六","日"),"")</f>
        <v/>
      </c>
      <c r="C229" s="32" t="n"/>
      <c r="D229" s="29" t="n"/>
      <c r="E229" s="55" t="str">
        <f>IF(ISNUMBER(A229),COUNTIFS('交易记录'!$B$5:$B$304,A229,'交易记录'!$Q$5:$Q$304,"已执行"),"")</f>
        <v/>
      </c>
      <c r="F229" s="31" t="n"/>
      <c r="G229" s="29" t="n"/>
      <c r="H229" s="56" t="str">
        <f>IF(NOT(ISNUMBER(A229)),"",IF(COUNTIFS('交易记录'!$S$5:$S$304,A229,'交易记录'!$Y$5:$Y$304,"已平仓")=0,"",SUMIFS('交易记录'!$AG$5:$AG$304,'交易记录'!$S$5:$S$304,A229,'交易记录'!$Y$5:$Y$304,"已平仓")))</f>
        <v/>
      </c>
      <c r="I229" s="41" t="str">
        <f>IF(NOT(ISNUMBER(H229)),"",IF(H229&lt;=-'参数'!$C$8,"触及停手线",""))</f>
        <v/>
      </c>
      <c r="J229" s="31" t="n"/>
      <c r="K229" s="31" t="n"/>
    </row>
    <row r="230">
      <c r="A230" s="30" t="n"/>
      <c r="B230" s="41" t="str">
        <f>IF(ISNUMBER(A230),"周"&amp;CHOOSE(WEEKDAY(A230,2),"一","二","三","四","五","六","日"),"")</f>
        <v/>
      </c>
      <c r="C230" s="32" t="n"/>
      <c r="D230" s="29" t="n"/>
      <c r="E230" s="55" t="str">
        <f>IF(ISNUMBER(A230),COUNTIFS('交易记录'!$B$5:$B$304,A230,'交易记录'!$Q$5:$Q$304,"已执行"),"")</f>
        <v/>
      </c>
      <c r="F230" s="31" t="n"/>
      <c r="G230" s="29" t="n"/>
      <c r="H230" s="56" t="str">
        <f>IF(NOT(ISNUMBER(A230)),"",IF(COUNTIFS('交易记录'!$S$5:$S$304,A230,'交易记录'!$Y$5:$Y$304,"已平仓")=0,"",SUMIFS('交易记录'!$AG$5:$AG$304,'交易记录'!$S$5:$S$304,A230,'交易记录'!$Y$5:$Y$304,"已平仓")))</f>
        <v/>
      </c>
      <c r="I230" s="41" t="str">
        <f>IF(NOT(ISNUMBER(H230)),"",IF(H230&lt;=-'参数'!$C$8,"触及停手线",""))</f>
        <v/>
      </c>
      <c r="J230" s="31" t="n"/>
      <c r="K230" s="31" t="n"/>
    </row>
    <row r="231">
      <c r="A231" s="30" t="n"/>
      <c r="B231" s="41" t="str">
        <f>IF(ISNUMBER(A231),"周"&amp;CHOOSE(WEEKDAY(A231,2),"一","二","三","四","五","六","日"),"")</f>
        <v/>
      </c>
      <c r="C231" s="32" t="n"/>
      <c r="D231" s="29" t="n"/>
      <c r="E231" s="55" t="str">
        <f>IF(ISNUMBER(A231),COUNTIFS('交易记录'!$B$5:$B$304,A231,'交易记录'!$Q$5:$Q$304,"已执行"),"")</f>
        <v/>
      </c>
      <c r="F231" s="31" t="n"/>
      <c r="G231" s="29" t="n"/>
      <c r="H231" s="56" t="str">
        <f>IF(NOT(ISNUMBER(A231)),"",IF(COUNTIFS('交易记录'!$S$5:$S$304,A231,'交易记录'!$Y$5:$Y$304,"已平仓")=0,"",SUMIFS('交易记录'!$AG$5:$AG$304,'交易记录'!$S$5:$S$304,A231,'交易记录'!$Y$5:$Y$304,"已平仓")))</f>
        <v/>
      </c>
      <c r="I231" s="41" t="str">
        <f>IF(NOT(ISNUMBER(H231)),"",IF(H231&lt;=-'参数'!$C$8,"触及停手线",""))</f>
        <v/>
      </c>
      <c r="J231" s="31" t="n"/>
      <c r="K231" s="31" t="n"/>
    </row>
    <row r="232">
      <c r="A232" s="30" t="n"/>
      <c r="B232" s="41" t="str">
        <f>IF(ISNUMBER(A232),"周"&amp;CHOOSE(WEEKDAY(A232,2),"一","二","三","四","五","六","日"),"")</f>
        <v/>
      </c>
      <c r="C232" s="32" t="n"/>
      <c r="D232" s="29" t="n"/>
      <c r="E232" s="55" t="str">
        <f>IF(ISNUMBER(A232),COUNTIFS('交易记录'!$B$5:$B$304,A232,'交易记录'!$Q$5:$Q$304,"已执行"),"")</f>
        <v/>
      </c>
      <c r="F232" s="31" t="n"/>
      <c r="G232" s="29" t="n"/>
      <c r="H232" s="56" t="str">
        <f>IF(NOT(ISNUMBER(A232)),"",IF(COUNTIFS('交易记录'!$S$5:$S$304,A232,'交易记录'!$Y$5:$Y$304,"已平仓")=0,"",SUMIFS('交易记录'!$AG$5:$AG$304,'交易记录'!$S$5:$S$304,A232,'交易记录'!$Y$5:$Y$304,"已平仓")))</f>
        <v/>
      </c>
      <c r="I232" s="41" t="str">
        <f>IF(NOT(ISNUMBER(H232)),"",IF(H232&lt;=-'参数'!$C$8,"触及停手线",""))</f>
        <v/>
      </c>
      <c r="J232" s="31" t="n"/>
      <c r="K232" s="31" t="n"/>
    </row>
    <row r="233">
      <c r="A233" s="30" t="n"/>
      <c r="B233" s="41" t="str">
        <f>IF(ISNUMBER(A233),"周"&amp;CHOOSE(WEEKDAY(A233,2),"一","二","三","四","五","六","日"),"")</f>
        <v/>
      </c>
      <c r="C233" s="32" t="n"/>
      <c r="D233" s="29" t="n"/>
      <c r="E233" s="55" t="str">
        <f>IF(ISNUMBER(A233),COUNTIFS('交易记录'!$B$5:$B$304,A233,'交易记录'!$Q$5:$Q$304,"已执行"),"")</f>
        <v/>
      </c>
      <c r="F233" s="31" t="n"/>
      <c r="G233" s="29" t="n"/>
      <c r="H233" s="56" t="str">
        <f>IF(NOT(ISNUMBER(A233)),"",IF(COUNTIFS('交易记录'!$S$5:$S$304,A233,'交易记录'!$Y$5:$Y$304,"已平仓")=0,"",SUMIFS('交易记录'!$AG$5:$AG$304,'交易记录'!$S$5:$S$304,A233,'交易记录'!$Y$5:$Y$304,"已平仓")))</f>
        <v/>
      </c>
      <c r="I233" s="41" t="str">
        <f>IF(NOT(ISNUMBER(H233)),"",IF(H233&lt;=-'参数'!$C$8,"触及停手线",""))</f>
        <v/>
      </c>
      <c r="J233" s="31" t="n"/>
      <c r="K233" s="31" t="n"/>
    </row>
    <row r="234">
      <c r="A234" s="30" t="n"/>
      <c r="B234" s="41" t="str">
        <f>IF(ISNUMBER(A234),"周"&amp;CHOOSE(WEEKDAY(A234,2),"一","二","三","四","五","六","日"),"")</f>
        <v/>
      </c>
      <c r="C234" s="32" t="n"/>
      <c r="D234" s="29" t="n"/>
      <c r="E234" s="55" t="str">
        <f>IF(ISNUMBER(A234),COUNTIFS('交易记录'!$B$5:$B$304,A234,'交易记录'!$Q$5:$Q$304,"已执行"),"")</f>
        <v/>
      </c>
      <c r="F234" s="31" t="n"/>
      <c r="G234" s="29" t="n"/>
      <c r="H234" s="56" t="str">
        <f>IF(NOT(ISNUMBER(A234)),"",IF(COUNTIFS('交易记录'!$S$5:$S$304,A234,'交易记录'!$Y$5:$Y$304,"已平仓")=0,"",SUMIFS('交易记录'!$AG$5:$AG$304,'交易记录'!$S$5:$S$304,A234,'交易记录'!$Y$5:$Y$304,"已平仓")))</f>
        <v/>
      </c>
      <c r="I234" s="41" t="str">
        <f>IF(NOT(ISNUMBER(H234)),"",IF(H234&lt;=-'参数'!$C$8,"触及停手线",""))</f>
        <v/>
      </c>
      <c r="J234" s="31" t="n"/>
      <c r="K234" s="31" t="n"/>
    </row>
    <row r="235">
      <c r="A235" s="30" t="n"/>
      <c r="B235" s="41" t="str">
        <f>IF(ISNUMBER(A235),"周"&amp;CHOOSE(WEEKDAY(A235,2),"一","二","三","四","五","六","日"),"")</f>
        <v/>
      </c>
      <c r="C235" s="32" t="n"/>
      <c r="D235" s="29" t="n"/>
      <c r="E235" s="55" t="str">
        <f>IF(ISNUMBER(A235),COUNTIFS('交易记录'!$B$5:$B$304,A235,'交易记录'!$Q$5:$Q$304,"已执行"),"")</f>
        <v/>
      </c>
      <c r="F235" s="31" t="n"/>
      <c r="G235" s="29" t="n"/>
      <c r="H235" s="56" t="str">
        <f>IF(NOT(ISNUMBER(A235)),"",IF(COUNTIFS('交易记录'!$S$5:$S$304,A235,'交易记录'!$Y$5:$Y$304,"已平仓")=0,"",SUMIFS('交易记录'!$AG$5:$AG$304,'交易记录'!$S$5:$S$304,A235,'交易记录'!$Y$5:$Y$304,"已平仓")))</f>
        <v/>
      </c>
      <c r="I235" s="41" t="str">
        <f>IF(NOT(ISNUMBER(H235)),"",IF(H235&lt;=-'参数'!$C$8,"触及停手线",""))</f>
        <v/>
      </c>
      <c r="J235" s="31" t="n"/>
      <c r="K235" s="31" t="n"/>
    </row>
    <row r="236">
      <c r="A236" s="30" t="n"/>
      <c r="B236" s="41" t="str">
        <f>IF(ISNUMBER(A236),"周"&amp;CHOOSE(WEEKDAY(A236,2),"一","二","三","四","五","六","日"),"")</f>
        <v/>
      </c>
      <c r="C236" s="32" t="n"/>
      <c r="D236" s="29" t="n"/>
      <c r="E236" s="55" t="str">
        <f>IF(ISNUMBER(A236),COUNTIFS('交易记录'!$B$5:$B$304,A236,'交易记录'!$Q$5:$Q$304,"已执行"),"")</f>
        <v/>
      </c>
      <c r="F236" s="31" t="n"/>
      <c r="G236" s="29" t="n"/>
      <c r="H236" s="56" t="str">
        <f>IF(NOT(ISNUMBER(A236)),"",IF(COUNTIFS('交易记录'!$S$5:$S$304,A236,'交易记录'!$Y$5:$Y$304,"已平仓")=0,"",SUMIFS('交易记录'!$AG$5:$AG$304,'交易记录'!$S$5:$S$304,A236,'交易记录'!$Y$5:$Y$304,"已平仓")))</f>
        <v/>
      </c>
      <c r="I236" s="41" t="str">
        <f>IF(NOT(ISNUMBER(H236)),"",IF(H236&lt;=-'参数'!$C$8,"触及停手线",""))</f>
        <v/>
      </c>
      <c r="J236" s="31" t="n"/>
      <c r="K236" s="31" t="n"/>
    </row>
    <row r="237">
      <c r="A237" s="30" t="n"/>
      <c r="B237" s="41" t="str">
        <f>IF(ISNUMBER(A237),"周"&amp;CHOOSE(WEEKDAY(A237,2),"一","二","三","四","五","六","日"),"")</f>
        <v/>
      </c>
      <c r="C237" s="32" t="n"/>
      <c r="D237" s="29" t="n"/>
      <c r="E237" s="55" t="str">
        <f>IF(ISNUMBER(A237),COUNTIFS('交易记录'!$B$5:$B$304,A237,'交易记录'!$Q$5:$Q$304,"已执行"),"")</f>
        <v/>
      </c>
      <c r="F237" s="31" t="n"/>
      <c r="G237" s="29" t="n"/>
      <c r="H237" s="56" t="str">
        <f>IF(NOT(ISNUMBER(A237)),"",IF(COUNTIFS('交易记录'!$S$5:$S$304,A237,'交易记录'!$Y$5:$Y$304,"已平仓")=0,"",SUMIFS('交易记录'!$AG$5:$AG$304,'交易记录'!$S$5:$S$304,A237,'交易记录'!$Y$5:$Y$304,"已平仓")))</f>
        <v/>
      </c>
      <c r="I237" s="41" t="str">
        <f>IF(NOT(ISNUMBER(H237)),"",IF(H237&lt;=-'参数'!$C$8,"触及停手线",""))</f>
        <v/>
      </c>
      <c r="J237" s="31" t="n"/>
      <c r="K237" s="31" t="n"/>
    </row>
    <row r="238">
      <c r="A238" s="30" t="n"/>
      <c r="B238" s="41" t="str">
        <f>IF(ISNUMBER(A238),"周"&amp;CHOOSE(WEEKDAY(A238,2),"一","二","三","四","五","六","日"),"")</f>
        <v/>
      </c>
      <c r="C238" s="32" t="n"/>
      <c r="D238" s="29" t="n"/>
      <c r="E238" s="55" t="str">
        <f>IF(ISNUMBER(A238),COUNTIFS('交易记录'!$B$5:$B$304,A238,'交易记录'!$Q$5:$Q$304,"已执行"),"")</f>
        <v/>
      </c>
      <c r="F238" s="31" t="n"/>
      <c r="G238" s="29" t="n"/>
      <c r="H238" s="56" t="str">
        <f>IF(NOT(ISNUMBER(A238)),"",IF(COUNTIFS('交易记录'!$S$5:$S$304,A238,'交易记录'!$Y$5:$Y$304,"已平仓")=0,"",SUMIFS('交易记录'!$AG$5:$AG$304,'交易记录'!$S$5:$S$304,A238,'交易记录'!$Y$5:$Y$304,"已平仓")))</f>
        <v/>
      </c>
      <c r="I238" s="41" t="str">
        <f>IF(NOT(ISNUMBER(H238)),"",IF(H238&lt;=-'参数'!$C$8,"触及停手线",""))</f>
        <v/>
      </c>
      <c r="J238" s="31" t="n"/>
      <c r="K238" s="31" t="n"/>
    </row>
    <row r="239">
      <c r="A239" s="30" t="n"/>
      <c r="B239" s="41" t="str">
        <f>IF(ISNUMBER(A239),"周"&amp;CHOOSE(WEEKDAY(A239,2),"一","二","三","四","五","六","日"),"")</f>
        <v/>
      </c>
      <c r="C239" s="32" t="n"/>
      <c r="D239" s="29" t="n"/>
      <c r="E239" s="55" t="str">
        <f>IF(ISNUMBER(A239),COUNTIFS('交易记录'!$B$5:$B$304,A239,'交易记录'!$Q$5:$Q$304,"已执行"),"")</f>
        <v/>
      </c>
      <c r="F239" s="31" t="n"/>
      <c r="G239" s="29" t="n"/>
      <c r="H239" s="56" t="str">
        <f>IF(NOT(ISNUMBER(A239)),"",IF(COUNTIFS('交易记录'!$S$5:$S$304,A239,'交易记录'!$Y$5:$Y$304,"已平仓")=0,"",SUMIFS('交易记录'!$AG$5:$AG$304,'交易记录'!$S$5:$S$304,A239,'交易记录'!$Y$5:$Y$304,"已平仓")))</f>
        <v/>
      </c>
      <c r="I239" s="41" t="str">
        <f>IF(NOT(ISNUMBER(H239)),"",IF(H239&lt;=-'参数'!$C$8,"触及停手线",""))</f>
        <v/>
      </c>
      <c r="J239" s="31" t="n"/>
      <c r="K239" s="31" t="n"/>
    </row>
    <row r="240">
      <c r="A240" s="30" t="n"/>
      <c r="B240" s="41" t="str">
        <f>IF(ISNUMBER(A240),"周"&amp;CHOOSE(WEEKDAY(A240,2),"一","二","三","四","五","六","日"),"")</f>
        <v/>
      </c>
      <c r="C240" s="32" t="n"/>
      <c r="D240" s="29" t="n"/>
      <c r="E240" s="55" t="str">
        <f>IF(ISNUMBER(A240),COUNTIFS('交易记录'!$B$5:$B$304,A240,'交易记录'!$Q$5:$Q$304,"已执行"),"")</f>
        <v/>
      </c>
      <c r="F240" s="31" t="n"/>
      <c r="G240" s="29" t="n"/>
      <c r="H240" s="56" t="str">
        <f>IF(NOT(ISNUMBER(A240)),"",IF(COUNTIFS('交易记录'!$S$5:$S$304,A240,'交易记录'!$Y$5:$Y$304,"已平仓")=0,"",SUMIFS('交易记录'!$AG$5:$AG$304,'交易记录'!$S$5:$S$304,A240,'交易记录'!$Y$5:$Y$304,"已平仓")))</f>
        <v/>
      </c>
      <c r="I240" s="41" t="str">
        <f>IF(NOT(ISNUMBER(H240)),"",IF(H240&lt;=-'参数'!$C$8,"触及停手线",""))</f>
        <v/>
      </c>
      <c r="J240" s="31" t="n"/>
      <c r="K240" s="31" t="n"/>
    </row>
    <row r="241">
      <c r="A241" s="30" t="n"/>
      <c r="B241" s="41" t="str">
        <f>IF(ISNUMBER(A241),"周"&amp;CHOOSE(WEEKDAY(A241,2),"一","二","三","四","五","六","日"),"")</f>
        <v/>
      </c>
      <c r="C241" s="32" t="n"/>
      <c r="D241" s="29" t="n"/>
      <c r="E241" s="55" t="str">
        <f>IF(ISNUMBER(A241),COUNTIFS('交易记录'!$B$5:$B$304,A241,'交易记录'!$Q$5:$Q$304,"已执行"),"")</f>
        <v/>
      </c>
      <c r="F241" s="31" t="n"/>
      <c r="G241" s="29" t="n"/>
      <c r="H241" s="56" t="str">
        <f>IF(NOT(ISNUMBER(A241)),"",IF(COUNTIFS('交易记录'!$S$5:$S$304,A241,'交易记录'!$Y$5:$Y$304,"已平仓")=0,"",SUMIFS('交易记录'!$AG$5:$AG$304,'交易记录'!$S$5:$S$304,A241,'交易记录'!$Y$5:$Y$304,"已平仓")))</f>
        <v/>
      </c>
      <c r="I241" s="41" t="str">
        <f>IF(NOT(ISNUMBER(H241)),"",IF(H241&lt;=-'参数'!$C$8,"触及停手线",""))</f>
        <v/>
      </c>
      <c r="J241" s="31" t="n"/>
      <c r="K241" s="31" t="n"/>
    </row>
    <row r="242">
      <c r="A242" s="30" t="n"/>
      <c r="B242" s="41" t="str">
        <f>IF(ISNUMBER(A242),"周"&amp;CHOOSE(WEEKDAY(A242,2),"一","二","三","四","五","六","日"),"")</f>
        <v/>
      </c>
      <c r="C242" s="32" t="n"/>
      <c r="D242" s="29" t="n"/>
      <c r="E242" s="55" t="str">
        <f>IF(ISNUMBER(A242),COUNTIFS('交易记录'!$B$5:$B$304,A242,'交易记录'!$Q$5:$Q$304,"已执行"),"")</f>
        <v/>
      </c>
      <c r="F242" s="31" t="n"/>
      <c r="G242" s="29" t="n"/>
      <c r="H242" s="56" t="str">
        <f>IF(NOT(ISNUMBER(A242)),"",IF(COUNTIFS('交易记录'!$S$5:$S$304,A242,'交易记录'!$Y$5:$Y$304,"已平仓")=0,"",SUMIFS('交易记录'!$AG$5:$AG$304,'交易记录'!$S$5:$S$304,A242,'交易记录'!$Y$5:$Y$304,"已平仓")))</f>
        <v/>
      </c>
      <c r="I242" s="41" t="str">
        <f>IF(NOT(ISNUMBER(H242)),"",IF(H242&lt;=-'参数'!$C$8,"触及停手线",""))</f>
        <v/>
      </c>
      <c r="J242" s="31" t="n"/>
      <c r="K242" s="31" t="n"/>
    </row>
    <row r="243">
      <c r="A243" s="30" t="n"/>
      <c r="B243" s="41" t="str">
        <f>IF(ISNUMBER(A243),"周"&amp;CHOOSE(WEEKDAY(A243,2),"一","二","三","四","五","六","日"),"")</f>
        <v/>
      </c>
      <c r="C243" s="32" t="n"/>
      <c r="D243" s="29" t="n"/>
      <c r="E243" s="55" t="str">
        <f>IF(ISNUMBER(A243),COUNTIFS('交易记录'!$B$5:$B$304,A243,'交易记录'!$Q$5:$Q$304,"已执行"),"")</f>
        <v/>
      </c>
      <c r="F243" s="31" t="n"/>
      <c r="G243" s="29" t="n"/>
      <c r="H243" s="56" t="str">
        <f>IF(NOT(ISNUMBER(A243)),"",IF(COUNTIFS('交易记录'!$S$5:$S$304,A243,'交易记录'!$Y$5:$Y$304,"已平仓")=0,"",SUMIFS('交易记录'!$AG$5:$AG$304,'交易记录'!$S$5:$S$304,A243,'交易记录'!$Y$5:$Y$304,"已平仓")))</f>
        <v/>
      </c>
      <c r="I243" s="41" t="str">
        <f>IF(NOT(ISNUMBER(H243)),"",IF(H243&lt;=-'参数'!$C$8,"触及停手线",""))</f>
        <v/>
      </c>
      <c r="J243" s="31" t="n"/>
      <c r="K243" s="31" t="n"/>
    </row>
    <row r="244">
      <c r="A244" s="30" t="n"/>
      <c r="B244" s="41" t="str">
        <f>IF(ISNUMBER(A244),"周"&amp;CHOOSE(WEEKDAY(A244,2),"一","二","三","四","五","六","日"),"")</f>
        <v/>
      </c>
      <c r="C244" s="32" t="n"/>
      <c r="D244" s="29" t="n"/>
      <c r="E244" s="55" t="str">
        <f>IF(ISNUMBER(A244),COUNTIFS('交易记录'!$B$5:$B$304,A244,'交易记录'!$Q$5:$Q$304,"已执行"),"")</f>
        <v/>
      </c>
      <c r="F244" s="31" t="n"/>
      <c r="G244" s="29" t="n"/>
      <c r="H244" s="56" t="str">
        <f>IF(NOT(ISNUMBER(A244)),"",IF(COUNTIFS('交易记录'!$S$5:$S$304,A244,'交易记录'!$Y$5:$Y$304,"已平仓")=0,"",SUMIFS('交易记录'!$AG$5:$AG$304,'交易记录'!$S$5:$S$304,A244,'交易记录'!$Y$5:$Y$304,"已平仓")))</f>
        <v/>
      </c>
      <c r="I244" s="41" t="str">
        <f>IF(NOT(ISNUMBER(H244)),"",IF(H244&lt;=-'参数'!$C$8,"触及停手线",""))</f>
        <v/>
      </c>
      <c r="J244" s="31" t="n"/>
      <c r="K244" s="31" t="n"/>
    </row>
    <row r="245">
      <c r="A245" s="30" t="n"/>
      <c r="B245" s="41" t="str">
        <f>IF(ISNUMBER(A245),"周"&amp;CHOOSE(WEEKDAY(A245,2),"一","二","三","四","五","六","日"),"")</f>
        <v/>
      </c>
      <c r="C245" s="32" t="n"/>
      <c r="D245" s="29" t="n"/>
      <c r="E245" s="55" t="str">
        <f>IF(ISNUMBER(A245),COUNTIFS('交易记录'!$B$5:$B$304,A245,'交易记录'!$Q$5:$Q$304,"已执行"),"")</f>
        <v/>
      </c>
      <c r="F245" s="31" t="n"/>
      <c r="G245" s="29" t="n"/>
      <c r="H245" s="56" t="str">
        <f>IF(NOT(ISNUMBER(A245)),"",IF(COUNTIFS('交易记录'!$S$5:$S$304,A245,'交易记录'!$Y$5:$Y$304,"已平仓")=0,"",SUMIFS('交易记录'!$AG$5:$AG$304,'交易记录'!$S$5:$S$304,A245,'交易记录'!$Y$5:$Y$304,"已平仓")))</f>
        <v/>
      </c>
      <c r="I245" s="41" t="str">
        <f>IF(NOT(ISNUMBER(H245)),"",IF(H245&lt;=-'参数'!$C$8,"触及停手线",""))</f>
        <v/>
      </c>
      <c r="J245" s="31" t="n"/>
      <c r="K245" s="31" t="n"/>
    </row>
    <row r="246">
      <c r="A246" s="30" t="n"/>
      <c r="B246" s="41" t="str">
        <f>IF(ISNUMBER(A246),"周"&amp;CHOOSE(WEEKDAY(A246,2),"一","二","三","四","五","六","日"),"")</f>
        <v/>
      </c>
      <c r="C246" s="32" t="n"/>
      <c r="D246" s="29" t="n"/>
      <c r="E246" s="55" t="str">
        <f>IF(ISNUMBER(A246),COUNTIFS('交易记录'!$B$5:$B$304,A246,'交易记录'!$Q$5:$Q$304,"已执行"),"")</f>
        <v/>
      </c>
      <c r="F246" s="31" t="n"/>
      <c r="G246" s="29" t="n"/>
      <c r="H246" s="56" t="str">
        <f>IF(NOT(ISNUMBER(A246)),"",IF(COUNTIFS('交易记录'!$S$5:$S$304,A246,'交易记录'!$Y$5:$Y$304,"已平仓")=0,"",SUMIFS('交易记录'!$AG$5:$AG$304,'交易记录'!$S$5:$S$304,A246,'交易记录'!$Y$5:$Y$304,"已平仓")))</f>
        <v/>
      </c>
      <c r="I246" s="41" t="str">
        <f>IF(NOT(ISNUMBER(H246)),"",IF(H246&lt;=-'参数'!$C$8,"触及停手线",""))</f>
        <v/>
      </c>
      <c r="J246" s="31" t="n"/>
      <c r="K246" s="31" t="n"/>
    </row>
    <row r="247">
      <c r="A247" s="30" t="n"/>
      <c r="B247" s="41" t="str">
        <f>IF(ISNUMBER(A247),"周"&amp;CHOOSE(WEEKDAY(A247,2),"一","二","三","四","五","六","日"),"")</f>
        <v/>
      </c>
      <c r="C247" s="32" t="n"/>
      <c r="D247" s="29" t="n"/>
      <c r="E247" s="55" t="str">
        <f>IF(ISNUMBER(A247),COUNTIFS('交易记录'!$B$5:$B$304,A247,'交易记录'!$Q$5:$Q$304,"已执行"),"")</f>
        <v/>
      </c>
      <c r="F247" s="31" t="n"/>
      <c r="G247" s="29" t="n"/>
      <c r="H247" s="56" t="str">
        <f>IF(NOT(ISNUMBER(A247)),"",IF(COUNTIFS('交易记录'!$S$5:$S$304,A247,'交易记录'!$Y$5:$Y$304,"已平仓")=0,"",SUMIFS('交易记录'!$AG$5:$AG$304,'交易记录'!$S$5:$S$304,A247,'交易记录'!$Y$5:$Y$304,"已平仓")))</f>
        <v/>
      </c>
      <c r="I247" s="41" t="str">
        <f>IF(NOT(ISNUMBER(H247)),"",IF(H247&lt;=-'参数'!$C$8,"触及停手线",""))</f>
        <v/>
      </c>
      <c r="J247" s="31" t="n"/>
      <c r="K247" s="31" t="n"/>
    </row>
    <row r="248">
      <c r="A248" s="30" t="n"/>
      <c r="B248" s="41" t="str">
        <f>IF(ISNUMBER(A248),"周"&amp;CHOOSE(WEEKDAY(A248,2),"一","二","三","四","五","六","日"),"")</f>
        <v/>
      </c>
      <c r="C248" s="32" t="n"/>
      <c r="D248" s="29" t="n"/>
      <c r="E248" s="55" t="str">
        <f>IF(ISNUMBER(A248),COUNTIFS('交易记录'!$B$5:$B$304,A248,'交易记录'!$Q$5:$Q$304,"已执行"),"")</f>
        <v/>
      </c>
      <c r="F248" s="31" t="n"/>
      <c r="G248" s="29" t="n"/>
      <c r="H248" s="56" t="str">
        <f>IF(NOT(ISNUMBER(A248)),"",IF(COUNTIFS('交易记录'!$S$5:$S$304,A248,'交易记录'!$Y$5:$Y$304,"已平仓")=0,"",SUMIFS('交易记录'!$AG$5:$AG$304,'交易记录'!$S$5:$S$304,A248,'交易记录'!$Y$5:$Y$304,"已平仓")))</f>
        <v/>
      </c>
      <c r="I248" s="41" t="str">
        <f>IF(NOT(ISNUMBER(H248)),"",IF(H248&lt;=-'参数'!$C$8,"触及停手线",""))</f>
        <v/>
      </c>
      <c r="J248" s="31" t="n"/>
      <c r="K248" s="31" t="n"/>
    </row>
    <row r="249">
      <c r="A249" s="30" t="n"/>
      <c r="B249" s="41" t="str">
        <f>IF(ISNUMBER(A249),"周"&amp;CHOOSE(WEEKDAY(A249,2),"一","二","三","四","五","六","日"),"")</f>
        <v/>
      </c>
      <c r="C249" s="32" t="n"/>
      <c r="D249" s="29" t="n"/>
      <c r="E249" s="55" t="str">
        <f>IF(ISNUMBER(A249),COUNTIFS('交易记录'!$B$5:$B$304,A249,'交易记录'!$Q$5:$Q$304,"已执行"),"")</f>
        <v/>
      </c>
      <c r="F249" s="31" t="n"/>
      <c r="G249" s="29" t="n"/>
      <c r="H249" s="56" t="str">
        <f>IF(NOT(ISNUMBER(A249)),"",IF(COUNTIFS('交易记录'!$S$5:$S$304,A249,'交易记录'!$Y$5:$Y$304,"已平仓")=0,"",SUMIFS('交易记录'!$AG$5:$AG$304,'交易记录'!$S$5:$S$304,A249,'交易记录'!$Y$5:$Y$304,"已平仓")))</f>
        <v/>
      </c>
      <c r="I249" s="41" t="str">
        <f>IF(NOT(ISNUMBER(H249)),"",IF(H249&lt;=-'参数'!$C$8,"触及停手线",""))</f>
        <v/>
      </c>
      <c r="J249" s="31" t="n"/>
      <c r="K249" s="31" t="n"/>
    </row>
    <row r="250">
      <c r="A250" s="30" t="n"/>
      <c r="B250" s="41" t="str">
        <f>IF(ISNUMBER(A250),"周"&amp;CHOOSE(WEEKDAY(A250,2),"一","二","三","四","五","六","日"),"")</f>
        <v/>
      </c>
      <c r="C250" s="32" t="n"/>
      <c r="D250" s="29" t="n"/>
      <c r="E250" s="55" t="str">
        <f>IF(ISNUMBER(A250),COUNTIFS('交易记录'!$B$5:$B$304,A250,'交易记录'!$Q$5:$Q$304,"已执行"),"")</f>
        <v/>
      </c>
      <c r="F250" s="31" t="n"/>
      <c r="G250" s="29" t="n"/>
      <c r="H250" s="56" t="str">
        <f>IF(NOT(ISNUMBER(A250)),"",IF(COUNTIFS('交易记录'!$S$5:$S$304,A250,'交易记录'!$Y$5:$Y$304,"已平仓")=0,"",SUMIFS('交易记录'!$AG$5:$AG$304,'交易记录'!$S$5:$S$304,A250,'交易记录'!$Y$5:$Y$304,"已平仓")))</f>
        <v/>
      </c>
      <c r="I250" s="41" t="str">
        <f>IF(NOT(ISNUMBER(H250)),"",IF(H250&lt;=-'参数'!$C$8,"触及停手线",""))</f>
        <v/>
      </c>
      <c r="J250" s="31" t="n"/>
      <c r="K250" s="31" t="n"/>
    </row>
    <row r="251">
      <c r="A251" s="30" t="n"/>
      <c r="B251" s="41" t="str">
        <f>IF(ISNUMBER(A251),"周"&amp;CHOOSE(WEEKDAY(A251,2),"一","二","三","四","五","六","日"),"")</f>
        <v/>
      </c>
      <c r="C251" s="32" t="n"/>
      <c r="D251" s="29" t="n"/>
      <c r="E251" s="55" t="str">
        <f>IF(ISNUMBER(A251),COUNTIFS('交易记录'!$B$5:$B$304,A251,'交易记录'!$Q$5:$Q$304,"已执行"),"")</f>
        <v/>
      </c>
      <c r="F251" s="31" t="n"/>
      <c r="G251" s="29" t="n"/>
      <c r="H251" s="56" t="str">
        <f>IF(NOT(ISNUMBER(A251)),"",IF(COUNTIFS('交易记录'!$S$5:$S$304,A251,'交易记录'!$Y$5:$Y$304,"已平仓")=0,"",SUMIFS('交易记录'!$AG$5:$AG$304,'交易记录'!$S$5:$S$304,A251,'交易记录'!$Y$5:$Y$304,"已平仓")))</f>
        <v/>
      </c>
      <c r="I251" s="41" t="str">
        <f>IF(NOT(ISNUMBER(H251)),"",IF(H251&lt;=-'参数'!$C$8,"触及停手线",""))</f>
        <v/>
      </c>
      <c r="J251" s="31" t="n"/>
      <c r="K251" s="31" t="n"/>
    </row>
    <row r="252">
      <c r="A252" s="30" t="n"/>
      <c r="B252" s="41" t="str">
        <f>IF(ISNUMBER(A252),"周"&amp;CHOOSE(WEEKDAY(A252,2),"一","二","三","四","五","六","日"),"")</f>
        <v/>
      </c>
      <c r="C252" s="32" t="n"/>
      <c r="D252" s="29" t="n"/>
      <c r="E252" s="55" t="str">
        <f>IF(ISNUMBER(A252),COUNTIFS('交易记录'!$B$5:$B$304,A252,'交易记录'!$Q$5:$Q$304,"已执行"),"")</f>
        <v/>
      </c>
      <c r="F252" s="31" t="n"/>
      <c r="G252" s="29" t="n"/>
      <c r="H252" s="56" t="str">
        <f>IF(NOT(ISNUMBER(A252)),"",IF(COUNTIFS('交易记录'!$S$5:$S$304,A252,'交易记录'!$Y$5:$Y$304,"已平仓")=0,"",SUMIFS('交易记录'!$AG$5:$AG$304,'交易记录'!$S$5:$S$304,A252,'交易记录'!$Y$5:$Y$304,"已平仓")))</f>
        <v/>
      </c>
      <c r="I252" s="41" t="str">
        <f>IF(NOT(ISNUMBER(H252)),"",IF(H252&lt;=-'参数'!$C$8,"触及停手线",""))</f>
        <v/>
      </c>
      <c r="J252" s="31" t="n"/>
      <c r="K252" s="31" t="n"/>
    </row>
    <row r="253">
      <c r="A253" s="30" t="n"/>
      <c r="B253" s="41" t="str">
        <f>IF(ISNUMBER(A253),"周"&amp;CHOOSE(WEEKDAY(A253,2),"一","二","三","四","五","六","日"),"")</f>
        <v/>
      </c>
      <c r="C253" s="32" t="n"/>
      <c r="D253" s="29" t="n"/>
      <c r="E253" s="55" t="str">
        <f>IF(ISNUMBER(A253),COUNTIFS('交易记录'!$B$5:$B$304,A253,'交易记录'!$Q$5:$Q$304,"已执行"),"")</f>
        <v/>
      </c>
      <c r="F253" s="31" t="n"/>
      <c r="G253" s="29" t="n"/>
      <c r="H253" s="56" t="str">
        <f>IF(NOT(ISNUMBER(A253)),"",IF(COUNTIFS('交易记录'!$S$5:$S$304,A253,'交易记录'!$Y$5:$Y$304,"已平仓")=0,"",SUMIFS('交易记录'!$AG$5:$AG$304,'交易记录'!$S$5:$S$304,A253,'交易记录'!$Y$5:$Y$304,"已平仓")))</f>
        <v/>
      </c>
      <c r="I253" s="41" t="str">
        <f>IF(NOT(ISNUMBER(H253)),"",IF(H253&lt;=-'参数'!$C$8,"触及停手线",""))</f>
        <v/>
      </c>
      <c r="J253" s="31" t="n"/>
      <c r="K253" s="31" t="n"/>
    </row>
    <row r="254">
      <c r="A254" s="30" t="n"/>
      <c r="B254" s="41" t="str">
        <f>IF(ISNUMBER(A254),"周"&amp;CHOOSE(WEEKDAY(A254,2),"一","二","三","四","五","六","日"),"")</f>
        <v/>
      </c>
      <c r="C254" s="32" t="n"/>
      <c r="D254" s="29" t="n"/>
      <c r="E254" s="55" t="str">
        <f>IF(ISNUMBER(A254),COUNTIFS('交易记录'!$B$5:$B$304,A254,'交易记录'!$Q$5:$Q$304,"已执行"),"")</f>
        <v/>
      </c>
      <c r="F254" s="31" t="n"/>
      <c r="G254" s="29" t="n"/>
      <c r="H254" s="56" t="str">
        <f>IF(NOT(ISNUMBER(A254)),"",IF(COUNTIFS('交易记录'!$S$5:$S$304,A254,'交易记录'!$Y$5:$Y$304,"已平仓")=0,"",SUMIFS('交易记录'!$AG$5:$AG$304,'交易记录'!$S$5:$S$304,A254,'交易记录'!$Y$5:$Y$304,"已平仓")))</f>
        <v/>
      </c>
      <c r="I254" s="41" t="str">
        <f>IF(NOT(ISNUMBER(H254)),"",IF(H254&lt;=-'参数'!$C$8,"触及停手线",""))</f>
        <v/>
      </c>
      <c r="J254" s="31" t="n"/>
      <c r="K254" s="31" t="n"/>
    </row>
    <row r="255">
      <c r="A255" s="30" t="n"/>
      <c r="B255" s="41" t="str">
        <f>IF(ISNUMBER(A255),"周"&amp;CHOOSE(WEEKDAY(A255,2),"一","二","三","四","五","六","日"),"")</f>
        <v/>
      </c>
      <c r="C255" s="32" t="n"/>
      <c r="D255" s="29" t="n"/>
      <c r="E255" s="55" t="str">
        <f>IF(ISNUMBER(A255),COUNTIFS('交易记录'!$B$5:$B$304,A255,'交易记录'!$Q$5:$Q$304,"已执行"),"")</f>
        <v/>
      </c>
      <c r="F255" s="31" t="n"/>
      <c r="G255" s="29" t="n"/>
      <c r="H255" s="56" t="str">
        <f>IF(NOT(ISNUMBER(A255)),"",IF(COUNTIFS('交易记录'!$S$5:$S$304,A255,'交易记录'!$Y$5:$Y$304,"已平仓")=0,"",SUMIFS('交易记录'!$AG$5:$AG$304,'交易记录'!$S$5:$S$304,A255,'交易记录'!$Y$5:$Y$304,"已平仓")))</f>
        <v/>
      </c>
      <c r="I255" s="41" t="str">
        <f>IF(NOT(ISNUMBER(H255)),"",IF(H255&lt;=-'参数'!$C$8,"触及停手线",""))</f>
        <v/>
      </c>
      <c r="J255" s="31" t="n"/>
      <c r="K255" s="31" t="n"/>
    </row>
    <row r="256">
      <c r="A256" s="30" t="n"/>
      <c r="B256" s="41" t="str">
        <f>IF(ISNUMBER(A256),"周"&amp;CHOOSE(WEEKDAY(A256,2),"一","二","三","四","五","六","日"),"")</f>
        <v/>
      </c>
      <c r="C256" s="32" t="n"/>
      <c r="D256" s="29" t="n"/>
      <c r="E256" s="55" t="str">
        <f>IF(ISNUMBER(A256),COUNTIFS('交易记录'!$B$5:$B$304,A256,'交易记录'!$Q$5:$Q$304,"已执行"),"")</f>
        <v/>
      </c>
      <c r="F256" s="31" t="n"/>
      <c r="G256" s="29" t="n"/>
      <c r="H256" s="56" t="str">
        <f>IF(NOT(ISNUMBER(A256)),"",IF(COUNTIFS('交易记录'!$S$5:$S$304,A256,'交易记录'!$Y$5:$Y$304,"已平仓")=0,"",SUMIFS('交易记录'!$AG$5:$AG$304,'交易记录'!$S$5:$S$304,A256,'交易记录'!$Y$5:$Y$304,"已平仓")))</f>
        <v/>
      </c>
      <c r="I256" s="41" t="str">
        <f>IF(NOT(ISNUMBER(H256)),"",IF(H256&lt;=-'参数'!$C$8,"触及停手线",""))</f>
        <v/>
      </c>
      <c r="J256" s="31" t="n"/>
      <c r="K256" s="31" t="n"/>
    </row>
    <row r="257">
      <c r="A257" s="30" t="n"/>
      <c r="B257" s="41" t="str">
        <f>IF(ISNUMBER(A257),"周"&amp;CHOOSE(WEEKDAY(A257,2),"一","二","三","四","五","六","日"),"")</f>
        <v/>
      </c>
      <c r="C257" s="32" t="n"/>
      <c r="D257" s="29" t="n"/>
      <c r="E257" s="55" t="str">
        <f>IF(ISNUMBER(A257),COUNTIFS('交易记录'!$B$5:$B$304,A257,'交易记录'!$Q$5:$Q$304,"已执行"),"")</f>
        <v/>
      </c>
      <c r="F257" s="31" t="n"/>
      <c r="G257" s="29" t="n"/>
      <c r="H257" s="56" t="str">
        <f>IF(NOT(ISNUMBER(A257)),"",IF(COUNTIFS('交易记录'!$S$5:$S$304,A257,'交易记录'!$Y$5:$Y$304,"已平仓")=0,"",SUMIFS('交易记录'!$AG$5:$AG$304,'交易记录'!$S$5:$S$304,A257,'交易记录'!$Y$5:$Y$304,"已平仓")))</f>
        <v/>
      </c>
      <c r="I257" s="41" t="str">
        <f>IF(NOT(ISNUMBER(H257)),"",IF(H257&lt;=-'参数'!$C$8,"触及停手线",""))</f>
        <v/>
      </c>
      <c r="J257" s="31" t="n"/>
      <c r="K257" s="31" t="n"/>
    </row>
    <row r="258">
      <c r="A258" s="30" t="n"/>
      <c r="B258" s="41" t="str">
        <f>IF(ISNUMBER(A258),"周"&amp;CHOOSE(WEEKDAY(A258,2),"一","二","三","四","五","六","日"),"")</f>
        <v/>
      </c>
      <c r="C258" s="32" t="n"/>
      <c r="D258" s="29" t="n"/>
      <c r="E258" s="55" t="str">
        <f>IF(ISNUMBER(A258),COUNTIFS('交易记录'!$B$5:$B$304,A258,'交易记录'!$Q$5:$Q$304,"已执行"),"")</f>
        <v/>
      </c>
      <c r="F258" s="31" t="n"/>
      <c r="G258" s="29" t="n"/>
      <c r="H258" s="56" t="str">
        <f>IF(NOT(ISNUMBER(A258)),"",IF(COUNTIFS('交易记录'!$S$5:$S$304,A258,'交易记录'!$Y$5:$Y$304,"已平仓")=0,"",SUMIFS('交易记录'!$AG$5:$AG$304,'交易记录'!$S$5:$S$304,A258,'交易记录'!$Y$5:$Y$304,"已平仓")))</f>
        <v/>
      </c>
      <c r="I258" s="41" t="str">
        <f>IF(NOT(ISNUMBER(H258)),"",IF(H258&lt;=-'参数'!$C$8,"触及停手线",""))</f>
        <v/>
      </c>
      <c r="J258" s="31" t="n"/>
      <c r="K258" s="31" t="n"/>
    </row>
    <row r="259">
      <c r="A259" s="30" t="n"/>
      <c r="B259" s="41" t="str">
        <f>IF(ISNUMBER(A259),"周"&amp;CHOOSE(WEEKDAY(A259,2),"一","二","三","四","五","六","日"),"")</f>
        <v/>
      </c>
      <c r="C259" s="32" t="n"/>
      <c r="D259" s="29" t="n"/>
      <c r="E259" s="55" t="str">
        <f>IF(ISNUMBER(A259),COUNTIFS('交易记录'!$B$5:$B$304,A259,'交易记录'!$Q$5:$Q$304,"已执行"),"")</f>
        <v/>
      </c>
      <c r="F259" s="31" t="n"/>
      <c r="G259" s="29" t="n"/>
      <c r="H259" s="56" t="str">
        <f>IF(NOT(ISNUMBER(A259)),"",IF(COUNTIFS('交易记录'!$S$5:$S$304,A259,'交易记录'!$Y$5:$Y$304,"已平仓")=0,"",SUMIFS('交易记录'!$AG$5:$AG$304,'交易记录'!$S$5:$S$304,A259,'交易记录'!$Y$5:$Y$304,"已平仓")))</f>
        <v/>
      </c>
      <c r="I259" s="41" t="str">
        <f>IF(NOT(ISNUMBER(H259)),"",IF(H259&lt;=-'参数'!$C$8,"触及停手线",""))</f>
        <v/>
      </c>
      <c r="J259" s="31" t="n"/>
      <c r="K259" s="31" t="n"/>
    </row>
    <row r="260">
      <c r="A260" s="30" t="n"/>
      <c r="B260" s="41" t="str">
        <f>IF(ISNUMBER(A260),"周"&amp;CHOOSE(WEEKDAY(A260,2),"一","二","三","四","五","六","日"),"")</f>
        <v/>
      </c>
      <c r="C260" s="32" t="n"/>
      <c r="D260" s="29" t="n"/>
      <c r="E260" s="55" t="str">
        <f>IF(ISNUMBER(A260),COUNTIFS('交易记录'!$B$5:$B$304,A260,'交易记录'!$Q$5:$Q$304,"已执行"),"")</f>
        <v/>
      </c>
      <c r="F260" s="31" t="n"/>
      <c r="G260" s="29" t="n"/>
      <c r="H260" s="56" t="str">
        <f>IF(NOT(ISNUMBER(A260)),"",IF(COUNTIFS('交易记录'!$S$5:$S$304,A260,'交易记录'!$Y$5:$Y$304,"已平仓")=0,"",SUMIFS('交易记录'!$AG$5:$AG$304,'交易记录'!$S$5:$S$304,A260,'交易记录'!$Y$5:$Y$304,"已平仓")))</f>
        <v/>
      </c>
      <c r="I260" s="41" t="str">
        <f>IF(NOT(ISNUMBER(H260)),"",IF(H260&lt;=-'参数'!$C$8,"触及停手线",""))</f>
        <v/>
      </c>
      <c r="J260" s="31" t="n"/>
      <c r="K260" s="31" t="n"/>
    </row>
    <row r="261">
      <c r="A261" s="30" t="n"/>
      <c r="B261" s="41" t="str">
        <f>IF(ISNUMBER(A261),"周"&amp;CHOOSE(WEEKDAY(A261,2),"一","二","三","四","五","六","日"),"")</f>
        <v/>
      </c>
      <c r="C261" s="32" t="n"/>
      <c r="D261" s="29" t="n"/>
      <c r="E261" s="55" t="str">
        <f>IF(ISNUMBER(A261),COUNTIFS('交易记录'!$B$5:$B$304,A261,'交易记录'!$Q$5:$Q$304,"已执行"),"")</f>
        <v/>
      </c>
      <c r="F261" s="31" t="n"/>
      <c r="G261" s="29" t="n"/>
      <c r="H261" s="56" t="str">
        <f>IF(NOT(ISNUMBER(A261)),"",IF(COUNTIFS('交易记录'!$S$5:$S$304,A261,'交易记录'!$Y$5:$Y$304,"已平仓")=0,"",SUMIFS('交易记录'!$AG$5:$AG$304,'交易记录'!$S$5:$S$304,A261,'交易记录'!$Y$5:$Y$304,"已平仓")))</f>
        <v/>
      </c>
      <c r="I261" s="41" t="str">
        <f>IF(NOT(ISNUMBER(H261)),"",IF(H261&lt;=-'参数'!$C$8,"触及停手线",""))</f>
        <v/>
      </c>
      <c r="J261" s="31" t="n"/>
      <c r="K261" s="31" t="n"/>
    </row>
    <row r="262">
      <c r="A262" s="30" t="n"/>
      <c r="B262" s="41" t="str">
        <f>IF(ISNUMBER(A262),"周"&amp;CHOOSE(WEEKDAY(A262,2),"一","二","三","四","五","六","日"),"")</f>
        <v/>
      </c>
      <c r="C262" s="32" t="n"/>
      <c r="D262" s="29" t="n"/>
      <c r="E262" s="55" t="str">
        <f>IF(ISNUMBER(A262),COUNTIFS('交易记录'!$B$5:$B$304,A262,'交易记录'!$Q$5:$Q$304,"已执行"),"")</f>
        <v/>
      </c>
      <c r="F262" s="31" t="n"/>
      <c r="G262" s="29" t="n"/>
      <c r="H262" s="56" t="str">
        <f>IF(NOT(ISNUMBER(A262)),"",IF(COUNTIFS('交易记录'!$S$5:$S$304,A262,'交易记录'!$Y$5:$Y$304,"已平仓")=0,"",SUMIFS('交易记录'!$AG$5:$AG$304,'交易记录'!$S$5:$S$304,A262,'交易记录'!$Y$5:$Y$304,"已平仓")))</f>
        <v/>
      </c>
      <c r="I262" s="41" t="str">
        <f>IF(NOT(ISNUMBER(H262)),"",IF(H262&lt;=-'参数'!$C$8,"触及停手线",""))</f>
        <v/>
      </c>
      <c r="J262" s="31" t="n"/>
      <c r="K262" s="31" t="n"/>
    </row>
    <row r="263">
      <c r="A263" s="30" t="n"/>
      <c r="B263" s="41" t="str">
        <f>IF(ISNUMBER(A263),"周"&amp;CHOOSE(WEEKDAY(A263,2),"一","二","三","四","五","六","日"),"")</f>
        <v/>
      </c>
      <c r="C263" s="32" t="n"/>
      <c r="D263" s="29" t="n"/>
      <c r="E263" s="55" t="str">
        <f>IF(ISNUMBER(A263),COUNTIFS('交易记录'!$B$5:$B$304,A263,'交易记录'!$Q$5:$Q$304,"已执行"),"")</f>
        <v/>
      </c>
      <c r="F263" s="31" t="n"/>
      <c r="G263" s="29" t="n"/>
      <c r="H263" s="56" t="str">
        <f>IF(NOT(ISNUMBER(A263)),"",IF(COUNTIFS('交易记录'!$S$5:$S$304,A263,'交易记录'!$Y$5:$Y$304,"已平仓")=0,"",SUMIFS('交易记录'!$AG$5:$AG$304,'交易记录'!$S$5:$S$304,A263,'交易记录'!$Y$5:$Y$304,"已平仓")))</f>
        <v/>
      </c>
      <c r="I263" s="41" t="str">
        <f>IF(NOT(ISNUMBER(H263)),"",IF(H263&lt;=-'参数'!$C$8,"触及停手线",""))</f>
        <v/>
      </c>
      <c r="J263" s="31" t="n"/>
      <c r="K263" s="31" t="n"/>
    </row>
    <row r="264">
      <c r="A264" s="30" t="n"/>
      <c r="B264" s="41" t="str">
        <f>IF(ISNUMBER(A264),"周"&amp;CHOOSE(WEEKDAY(A264,2),"一","二","三","四","五","六","日"),"")</f>
        <v/>
      </c>
      <c r="C264" s="32" t="n"/>
      <c r="D264" s="29" t="n"/>
      <c r="E264" s="55" t="str">
        <f>IF(ISNUMBER(A264),COUNTIFS('交易记录'!$B$5:$B$304,A264,'交易记录'!$Q$5:$Q$304,"已执行"),"")</f>
        <v/>
      </c>
      <c r="F264" s="31" t="n"/>
      <c r="G264" s="29" t="n"/>
      <c r="H264" s="56" t="str">
        <f>IF(NOT(ISNUMBER(A264)),"",IF(COUNTIFS('交易记录'!$S$5:$S$304,A264,'交易记录'!$Y$5:$Y$304,"已平仓")=0,"",SUMIFS('交易记录'!$AG$5:$AG$304,'交易记录'!$S$5:$S$304,A264,'交易记录'!$Y$5:$Y$304,"已平仓")))</f>
        <v/>
      </c>
      <c r="I264" s="41" t="str">
        <f>IF(NOT(ISNUMBER(H264)),"",IF(H264&lt;=-'参数'!$C$8,"触及停手线",""))</f>
        <v/>
      </c>
      <c r="J264" s="31" t="n"/>
      <c r="K264" s="31" t="n"/>
    </row>
  </sheetData>
  <mergeCells count="6">
    <mergeCell ref="J3:K3"/>
    <mergeCell ref="C3:I3"/>
    <mergeCell ref="I1:K1"/>
    <mergeCell ref="A2:K2"/>
    <mergeCell ref="A1:H1"/>
    <mergeCell ref="A3:B3"/>
  </mergeCells>
  <conditionalFormatting sqref="H5:H26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I5:I264">
    <cfRule type="cellIs" priority="3" operator="equal" dxfId="6">
      <formula>"触及停手线"</formula>
    </cfRule>
  </conditionalFormatting>
  <dataValidations count="3">
    <dataValidation sqref="A5:A26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:C264" showDropDown="0" showInputMessage="0" showErrorMessage="1" allowBlank="1" errorTitle="不在选项里" error="请从下拉里选；要加新选项，先去参数页的下拉选项里加。" type="list" errorStyle="warning">
      <formula1>'参数'!$G$22:$G$33</formula1>
    </dataValidation>
    <dataValidation sqref="G5:G264" showDropDown="0" showInputMessage="0" showErrorMessage="1" allowBlank="1" errorTitle="格式不对" error="状态打分填 1 到 5：1 很差，5 很好。" type="custom" errorStyle="stop">
      <formula1>AND(G5&gt;=1,G5&lt;=5)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</worksheet>
</file>

<file path=xl/worksheets/sheet8.xml><?xml version="1.0" encoding="utf-8"?>
<worksheet xmlns="http://schemas.openxmlformats.org/spreadsheetml/2006/main">
  <sheetPr>
    <tabColor rgb="007C350E"/>
    <outlinePr summaryBelow="1" summaryRight="1"/>
    <pageSetUpPr fitToPage="1"/>
  </sheetPr>
  <dimension ref="A1:L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hidden="1" width="6" customWidth="1" min="12" max="12"/>
  </cols>
  <sheetData>
    <row r="1" ht="30" customHeight="1">
      <c r="A1" s="13" t="inlineStr">
        <is>
          <t>周复盘：先看过程，再看成绩</t>
        </is>
      </c>
      <c r="H1" s="14" t="inlineStr">
        <is>
          <t>TradeLearn · XtradingTime 交易内训</t>
        </is>
      </c>
    </row>
    <row r="2" ht="20" customHeight="1">
      <c r="A2" s="2" t="inlineStr">
        <is>
          <t>填统计区间的开始和结束日期（默认一周），下面的数都会跟着变。成绩按平仓日期算，计划和执行按计划日期算。少于 20 笔只看执行问题，别急着下结论。</t>
        </is>
      </c>
    </row>
    <row r="4">
      <c r="B4" s="50" t="inlineStr">
        <is>
          <t>统计区间：开始日期</t>
        </is>
      </c>
      <c r="C4" s="30" t="n"/>
      <c r="D4" s="57" t="inlineStr">
        <is>
          <t>结束日期</t>
        </is>
      </c>
      <c r="E4" s="30" t="n"/>
      <c r="F4" s="19" t="inlineStr">
        <is>
          <t>一周就填周一和周日；月复盘就填月初和月底。</t>
        </is>
      </c>
      <c r="G4" s="19" t="n"/>
      <c r="H4" s="19" t="n"/>
      <c r="I4" s="19" t="n"/>
      <c r="J4" s="19" t="n"/>
    </row>
    <row r="6">
      <c r="B6" s="15" t="inlineStr">
        <is>
          <t>1. 这几天的每日记录（区间里的前 7 天）</t>
        </is>
      </c>
    </row>
    <row r="7">
      <c r="B7" s="26" t="inlineStr">
        <is>
          <t>日期</t>
        </is>
      </c>
      <c r="C7" s="26" t="inlineStr">
        <is>
          <t>星期</t>
        </is>
      </c>
      <c r="D7" s="26" t="inlineStr">
        <is>
          <t>今天做了什么</t>
        </is>
      </c>
      <c r="E7" s="26" t="inlineStr">
        <is>
          <t>看到几次机会</t>
        </is>
      </c>
      <c r="F7" s="26" t="inlineStr">
        <is>
          <t>下了几笔</t>
        </is>
      </c>
      <c r="G7" s="26" t="inlineStr">
        <is>
          <t>状态</t>
        </is>
      </c>
      <c r="H7" s="26" t="inlineStr">
        <is>
          <t>当日平仓净R</t>
        </is>
      </c>
      <c r="I7" s="26" t="inlineStr">
        <is>
          <t>明天的条件</t>
        </is>
      </c>
      <c r="J7" s="26" t="n"/>
    </row>
    <row r="8">
      <c r="B8" s="51" t="str">
        <f>IF(ISNUMBER($C$4),IF($C$4+0&lt;=$E$4,$C$4+0,""),"")</f>
        <v/>
      </c>
      <c r="C8" s="41" t="str">
        <f>IF(ISNUMBER(B8),"周"&amp;CHOOSE(WEEKDAY(B8,2),"一","二","三","四","五","六","日"),"")</f>
        <v/>
      </c>
      <c r="D8" s="49" t="str">
        <f>IF(ISNUMBER($B8),IFERROR(T(VLOOKUP($B8,'每日记录'!$A$5:$K$264,3,FALSE)),"未记"),"")</f>
        <v/>
      </c>
      <c r="E8" s="55" t="str">
        <f>IF(ISNUMBER($B8),IFERROR(IF(ISNUMBER(VLOOKUP($B8,'每日记录'!$A$5:$K$264,4,FALSE)),VLOOKUP($B8,'每日记录'!$A$5:$K$264,4,FALSE),""),""),"")</f>
        <v/>
      </c>
      <c r="F8" s="55" t="str">
        <f>IF(ISNUMBER($B8),IFERROR(VLOOKUP($B8,'每日记录'!$A$5:$K$264,5,FALSE),""),"")</f>
        <v/>
      </c>
      <c r="G8" s="55" t="str">
        <f>IF(ISNUMBER($B8),IFERROR(IF(ISNUMBER(VLOOKUP($B8,'每日记录'!$A$5:$K$264,7,FALSE)),VLOOKUP($B8,'每日记录'!$A$5:$K$264,7,FALSE),""),""),"")</f>
        <v/>
      </c>
      <c r="H8" s="56" t="str">
        <f>IF(ISNUMBER($B8),IFERROR(VLOOKUP($B8,'每日记录'!$A$5:$K$264,8,FALSE),""),"")</f>
        <v/>
      </c>
      <c r="I8" s="58" t="str">
        <f>IF(ISNUMBER($B8),IFERROR(T(VLOOKUP($B8,'每日记录'!$A$5:$K$264,10,FALSE)),""),"")</f>
        <v/>
      </c>
      <c r="J8" s="58" t="n"/>
    </row>
    <row r="9">
      <c r="B9" s="51" t="str">
        <f>IF(ISNUMBER($C$4),IF($C$4+1&lt;=$E$4,$C$4+1,""),"")</f>
        <v/>
      </c>
      <c r="C9" s="41" t="str">
        <f>IF(ISNUMBER(B9),"周"&amp;CHOOSE(WEEKDAY(B9,2),"一","二","三","四","五","六","日"),"")</f>
        <v/>
      </c>
      <c r="D9" s="49" t="str">
        <f>IF(ISNUMBER($B9),IFERROR(T(VLOOKUP($B9,'每日记录'!$A$5:$K$264,3,FALSE)),"未记"),"")</f>
        <v/>
      </c>
      <c r="E9" s="55" t="str">
        <f>IF(ISNUMBER($B9),IFERROR(IF(ISNUMBER(VLOOKUP($B9,'每日记录'!$A$5:$K$264,4,FALSE)),VLOOKUP($B9,'每日记录'!$A$5:$K$264,4,FALSE),""),""),"")</f>
        <v/>
      </c>
      <c r="F9" s="55" t="str">
        <f>IF(ISNUMBER($B9),IFERROR(VLOOKUP($B9,'每日记录'!$A$5:$K$264,5,FALSE),""),"")</f>
        <v/>
      </c>
      <c r="G9" s="55" t="str">
        <f>IF(ISNUMBER($B9),IFERROR(IF(ISNUMBER(VLOOKUP($B9,'每日记录'!$A$5:$K$264,7,FALSE)),VLOOKUP($B9,'每日记录'!$A$5:$K$264,7,FALSE),""),""),"")</f>
        <v/>
      </c>
      <c r="H9" s="56" t="str">
        <f>IF(ISNUMBER($B9),IFERROR(VLOOKUP($B9,'每日记录'!$A$5:$K$264,8,FALSE),""),"")</f>
        <v/>
      </c>
      <c r="I9" s="58" t="str">
        <f>IF(ISNUMBER($B9),IFERROR(T(VLOOKUP($B9,'每日记录'!$A$5:$K$264,10,FALSE)),""),"")</f>
        <v/>
      </c>
      <c r="J9" s="58" t="n"/>
    </row>
    <row r="10">
      <c r="B10" s="51" t="str">
        <f>IF(ISNUMBER($C$4),IF($C$4+2&lt;=$E$4,$C$4+2,""),"")</f>
        <v/>
      </c>
      <c r="C10" s="41" t="str">
        <f>IF(ISNUMBER(B10),"周"&amp;CHOOSE(WEEKDAY(B10,2),"一","二","三","四","五","六","日"),"")</f>
        <v/>
      </c>
      <c r="D10" s="49" t="str">
        <f>IF(ISNUMBER($B10),IFERROR(T(VLOOKUP($B10,'每日记录'!$A$5:$K$264,3,FALSE)),"未记"),"")</f>
        <v/>
      </c>
      <c r="E10" s="55" t="str">
        <f>IF(ISNUMBER($B10),IFERROR(IF(ISNUMBER(VLOOKUP($B10,'每日记录'!$A$5:$K$264,4,FALSE)),VLOOKUP($B10,'每日记录'!$A$5:$K$264,4,FALSE),""),""),"")</f>
        <v/>
      </c>
      <c r="F10" s="55" t="str">
        <f>IF(ISNUMBER($B10),IFERROR(VLOOKUP($B10,'每日记录'!$A$5:$K$264,5,FALSE),""),"")</f>
        <v/>
      </c>
      <c r="G10" s="55" t="str">
        <f>IF(ISNUMBER($B10),IFERROR(IF(ISNUMBER(VLOOKUP($B10,'每日记录'!$A$5:$K$264,7,FALSE)),VLOOKUP($B10,'每日记录'!$A$5:$K$264,7,FALSE),""),""),"")</f>
        <v/>
      </c>
      <c r="H10" s="56" t="str">
        <f>IF(ISNUMBER($B10),IFERROR(VLOOKUP($B10,'每日记录'!$A$5:$K$264,8,FALSE),""),"")</f>
        <v/>
      </c>
      <c r="I10" s="58" t="str">
        <f>IF(ISNUMBER($B10),IFERROR(T(VLOOKUP($B10,'每日记录'!$A$5:$K$264,10,FALSE)),""),"")</f>
        <v/>
      </c>
      <c r="J10" s="58" t="n"/>
    </row>
    <row r="11">
      <c r="B11" s="51" t="str">
        <f>IF(ISNUMBER($C$4),IF($C$4+3&lt;=$E$4,$C$4+3,""),"")</f>
        <v/>
      </c>
      <c r="C11" s="41" t="str">
        <f>IF(ISNUMBER(B11),"周"&amp;CHOOSE(WEEKDAY(B11,2),"一","二","三","四","五","六","日"),"")</f>
        <v/>
      </c>
      <c r="D11" s="49" t="str">
        <f>IF(ISNUMBER($B11),IFERROR(T(VLOOKUP($B11,'每日记录'!$A$5:$K$264,3,FALSE)),"未记"),"")</f>
        <v/>
      </c>
      <c r="E11" s="55" t="str">
        <f>IF(ISNUMBER($B11),IFERROR(IF(ISNUMBER(VLOOKUP($B11,'每日记录'!$A$5:$K$264,4,FALSE)),VLOOKUP($B11,'每日记录'!$A$5:$K$264,4,FALSE),""),""),"")</f>
        <v/>
      </c>
      <c r="F11" s="55" t="str">
        <f>IF(ISNUMBER($B11),IFERROR(VLOOKUP($B11,'每日记录'!$A$5:$K$264,5,FALSE),""),"")</f>
        <v/>
      </c>
      <c r="G11" s="55" t="str">
        <f>IF(ISNUMBER($B11),IFERROR(IF(ISNUMBER(VLOOKUP($B11,'每日记录'!$A$5:$K$264,7,FALSE)),VLOOKUP($B11,'每日记录'!$A$5:$K$264,7,FALSE),""),""),"")</f>
        <v/>
      </c>
      <c r="H11" s="56" t="str">
        <f>IF(ISNUMBER($B11),IFERROR(VLOOKUP($B11,'每日记录'!$A$5:$K$264,8,FALSE),""),"")</f>
        <v/>
      </c>
      <c r="I11" s="58" t="str">
        <f>IF(ISNUMBER($B11),IFERROR(T(VLOOKUP($B11,'每日记录'!$A$5:$K$264,10,FALSE)),""),"")</f>
        <v/>
      </c>
      <c r="J11" s="58" t="n"/>
    </row>
    <row r="12">
      <c r="B12" s="51" t="str">
        <f>IF(ISNUMBER($C$4),IF($C$4+4&lt;=$E$4,$C$4+4,""),"")</f>
        <v/>
      </c>
      <c r="C12" s="41" t="str">
        <f>IF(ISNUMBER(B12),"周"&amp;CHOOSE(WEEKDAY(B12,2),"一","二","三","四","五","六","日"),"")</f>
        <v/>
      </c>
      <c r="D12" s="49" t="str">
        <f>IF(ISNUMBER($B12),IFERROR(T(VLOOKUP($B12,'每日记录'!$A$5:$K$264,3,FALSE)),"未记"),"")</f>
        <v/>
      </c>
      <c r="E12" s="55" t="str">
        <f>IF(ISNUMBER($B12),IFERROR(IF(ISNUMBER(VLOOKUP($B12,'每日记录'!$A$5:$K$264,4,FALSE)),VLOOKUP($B12,'每日记录'!$A$5:$K$264,4,FALSE),""),""),"")</f>
        <v/>
      </c>
      <c r="F12" s="55" t="str">
        <f>IF(ISNUMBER($B12),IFERROR(VLOOKUP($B12,'每日记录'!$A$5:$K$264,5,FALSE),""),"")</f>
        <v/>
      </c>
      <c r="G12" s="55" t="str">
        <f>IF(ISNUMBER($B12),IFERROR(IF(ISNUMBER(VLOOKUP($B12,'每日记录'!$A$5:$K$264,7,FALSE)),VLOOKUP($B12,'每日记录'!$A$5:$K$264,7,FALSE),""),""),"")</f>
        <v/>
      </c>
      <c r="H12" s="56" t="str">
        <f>IF(ISNUMBER($B12),IFERROR(VLOOKUP($B12,'每日记录'!$A$5:$K$264,8,FALSE),""),"")</f>
        <v/>
      </c>
      <c r="I12" s="58" t="str">
        <f>IF(ISNUMBER($B12),IFERROR(T(VLOOKUP($B12,'每日记录'!$A$5:$K$264,10,FALSE)),""),"")</f>
        <v/>
      </c>
      <c r="J12" s="58" t="n"/>
    </row>
    <row r="13">
      <c r="B13" s="51" t="str">
        <f>IF(ISNUMBER($C$4),IF($C$4+5&lt;=$E$4,$C$4+5,""),"")</f>
        <v/>
      </c>
      <c r="C13" s="41" t="str">
        <f>IF(ISNUMBER(B13),"周"&amp;CHOOSE(WEEKDAY(B13,2),"一","二","三","四","五","六","日"),"")</f>
        <v/>
      </c>
      <c r="D13" s="49" t="str">
        <f>IF(ISNUMBER($B13),IFERROR(T(VLOOKUP($B13,'每日记录'!$A$5:$K$264,3,FALSE)),"未记"),"")</f>
        <v/>
      </c>
      <c r="E13" s="55" t="str">
        <f>IF(ISNUMBER($B13),IFERROR(IF(ISNUMBER(VLOOKUP($B13,'每日记录'!$A$5:$K$264,4,FALSE)),VLOOKUP($B13,'每日记录'!$A$5:$K$264,4,FALSE),""),""),"")</f>
        <v/>
      </c>
      <c r="F13" s="55" t="str">
        <f>IF(ISNUMBER($B13),IFERROR(VLOOKUP($B13,'每日记录'!$A$5:$K$264,5,FALSE),""),"")</f>
        <v/>
      </c>
      <c r="G13" s="55" t="str">
        <f>IF(ISNUMBER($B13),IFERROR(IF(ISNUMBER(VLOOKUP($B13,'每日记录'!$A$5:$K$264,7,FALSE)),VLOOKUP($B13,'每日记录'!$A$5:$K$264,7,FALSE),""),""),"")</f>
        <v/>
      </c>
      <c r="H13" s="56" t="str">
        <f>IF(ISNUMBER($B13),IFERROR(VLOOKUP($B13,'每日记录'!$A$5:$K$264,8,FALSE),""),"")</f>
        <v/>
      </c>
      <c r="I13" s="58" t="str">
        <f>IF(ISNUMBER($B13),IFERROR(T(VLOOKUP($B13,'每日记录'!$A$5:$K$264,10,FALSE)),""),"")</f>
        <v/>
      </c>
      <c r="J13" s="58" t="n"/>
    </row>
    <row r="14">
      <c r="B14" s="51" t="str">
        <f>IF(ISNUMBER($C$4),IF($C$4+6&lt;=$E$4,$C$4+6,""),"")</f>
        <v/>
      </c>
      <c r="C14" s="41" t="str">
        <f>IF(ISNUMBER(B14),"周"&amp;CHOOSE(WEEKDAY(B14,2),"一","二","三","四","五","六","日"),"")</f>
        <v/>
      </c>
      <c r="D14" s="49" t="str">
        <f>IF(ISNUMBER($B14),IFERROR(T(VLOOKUP($B14,'每日记录'!$A$5:$K$264,3,FALSE)),"未记"),"")</f>
        <v/>
      </c>
      <c r="E14" s="55" t="str">
        <f>IF(ISNUMBER($B14),IFERROR(IF(ISNUMBER(VLOOKUP($B14,'每日记录'!$A$5:$K$264,4,FALSE)),VLOOKUP($B14,'每日记录'!$A$5:$K$264,4,FALSE),""),""),"")</f>
        <v/>
      </c>
      <c r="F14" s="55" t="str">
        <f>IF(ISNUMBER($B14),IFERROR(VLOOKUP($B14,'每日记录'!$A$5:$K$264,5,FALSE),""),"")</f>
        <v/>
      </c>
      <c r="G14" s="55" t="str">
        <f>IF(ISNUMBER($B14),IFERROR(IF(ISNUMBER(VLOOKUP($B14,'每日记录'!$A$5:$K$264,7,FALSE)),VLOOKUP($B14,'每日记录'!$A$5:$K$264,7,FALSE),""),""),"")</f>
        <v/>
      </c>
      <c r="H14" s="56" t="str">
        <f>IF(ISNUMBER($B14),IFERROR(VLOOKUP($B14,'每日记录'!$A$5:$K$264,8,FALSE),""),"")</f>
        <v/>
      </c>
      <c r="I14" s="58" t="str">
        <f>IF(ISNUMBER($B14),IFERROR(T(VLOOKUP($B14,'每日记录'!$A$5:$K$264,10,FALSE)),""),"")</f>
        <v/>
      </c>
      <c r="J14" s="58" t="n"/>
    </row>
    <row r="16">
      <c r="B16" s="15" t="inlineStr">
        <is>
          <t>2. 成绩与执行</t>
        </is>
      </c>
    </row>
    <row r="17">
      <c r="B17" s="26" t="inlineStr">
        <is>
          <t>指标</t>
        </is>
      </c>
      <c r="C17" s="26" t="inlineStr">
        <is>
          <t>本区间</t>
        </is>
      </c>
      <c r="D17" s="26" t="inlineStr">
        <is>
          <t>全部记录</t>
        </is>
      </c>
      <c r="E17" s="26" t="inlineStr">
        <is>
          <t>怎么看</t>
        </is>
      </c>
      <c r="F17" s="26" t="n"/>
      <c r="G17" s="26" t="n"/>
      <c r="H17" s="26" t="n"/>
      <c r="I17" s="26" t="n"/>
      <c r="J17" s="26" t="n"/>
    </row>
    <row r="18">
      <c r="B18" s="16" t="inlineStr">
        <is>
          <t>写了计划的笔数</t>
        </is>
      </c>
      <c r="C18" s="59" t="str">
        <f>IF(AND(ISNUMBER($C$4),ISNUMBER($E$4)),COUNTIFS('交易记录'!$B$5:$B$304,"&gt;="&amp;$C$4,'交易记录'!$B$5:$B$304,"&lt;="&amp;$E$4),"")</f>
        <v/>
      </c>
      <c r="D18" s="59">
        <f>COUNT('交易记录'!$B$5:$B$304)</f>
        <v>0</v>
      </c>
      <c r="E18" s="19" t="inlineStr">
        <is>
          <t>按计划日期算。计划少不一定是坏事，没机会就不做。</t>
        </is>
      </c>
      <c r="F18" s="19" t="n"/>
      <c r="G18" s="19" t="n"/>
      <c r="H18" s="19" t="n"/>
      <c r="I18" s="19" t="n"/>
      <c r="J18" s="19" t="n"/>
    </row>
    <row r="19">
      <c r="B19" s="16" t="inlineStr">
        <is>
          <t>其中已执行</t>
        </is>
      </c>
      <c r="C19" s="59" t="str">
        <f>IF(AND(ISNUMBER($C$4),ISNUMBER($E$4)),COUNTIFS('交易记录'!$B$5:$B$304,"&gt;="&amp;$C$4,'交易记录'!$B$5:$B$304,"&lt;="&amp;$E$4,'交易记录'!$Q$5:$Q$304,"已执行"),"")</f>
        <v/>
      </c>
      <c r="D19" s="59">
        <f>COUNTIF('交易记录'!$Q$5:$Q$304,"已执行")</f>
        <v>0</v>
      </c>
      <c r="E19" s="19" t="inlineStr"/>
      <c r="F19" s="19" t="n"/>
      <c r="G19" s="19" t="n"/>
      <c r="H19" s="19" t="n"/>
      <c r="I19" s="19" t="n"/>
      <c r="J19" s="19" t="n"/>
    </row>
    <row r="20">
      <c r="B20" s="16" t="inlineStr">
        <is>
          <t>未成交</t>
        </is>
      </c>
      <c r="C20" s="59" t="str">
        <f>IF(AND(ISNUMBER($C$4),ISNUMBER($E$4)),COUNTIFS('交易记录'!$B$5:$B$304,"&gt;="&amp;$C$4,'交易记录'!$B$5:$B$304,"&lt;="&amp;$E$4,'交易记录'!$Q$5:$Q$304,"未成交"),"")</f>
        <v/>
      </c>
      <c r="D20" s="59">
        <f>COUNTIF('交易记录'!$Q$5:$Q$304,"未成交")</f>
        <v>0</v>
      </c>
      <c r="E20" s="19" t="inlineStr">
        <is>
          <t>挂了没成交，不算胜率，也不算错。</t>
        </is>
      </c>
      <c r="F20" s="19" t="n"/>
      <c r="G20" s="19" t="n"/>
      <c r="H20" s="19" t="n"/>
      <c r="I20" s="19" t="n"/>
      <c r="J20" s="19" t="n"/>
    </row>
    <row r="21">
      <c r="B21" s="16" t="inlineStr">
        <is>
          <t>主动放弃</t>
        </is>
      </c>
      <c r="C21" s="59" t="str">
        <f>IF(AND(ISNUMBER($C$4),ISNUMBER($E$4)),COUNTIFS('交易记录'!$B$5:$B$304,"&gt;="&amp;$C$4,'交易记录'!$B$5:$B$304,"&lt;="&amp;$E$4,'交易记录'!$Q$5:$Q$304,"主动放弃"),"")</f>
        <v/>
      </c>
      <c r="D21" s="59">
        <f>COUNTIF('交易记录'!$Q$5:$Q$304,"主动放弃")</f>
        <v>0</v>
      </c>
      <c r="E21" s="19" t="inlineStr">
        <is>
          <t>按规则不做，也是执行。</t>
        </is>
      </c>
      <c r="F21" s="19" t="n"/>
      <c r="G21" s="19" t="n"/>
      <c r="H21" s="19" t="n"/>
      <c r="I21" s="19" t="n"/>
      <c r="J21" s="19" t="n"/>
    </row>
    <row r="22">
      <c r="B22" s="16" t="inlineStr">
        <is>
          <t>漏单</t>
        </is>
      </c>
      <c r="C22" s="59" t="str">
        <f>IF(AND(ISNUMBER($C$4),ISNUMBER($E$4)),COUNTIFS('交易记录'!$B$5:$B$304,"&gt;="&amp;$C$4,'交易记录'!$B$5:$B$304,"&lt;="&amp;$E$4,'交易记录'!$Q$5:$Q$304,"漏单"),"")</f>
        <v/>
      </c>
      <c r="D22" s="59">
        <f>COUNTIF('交易记录'!$Q$5:$Q$304,"漏单")</f>
        <v>0</v>
      </c>
      <c r="E22" s="19" t="inlineStr">
        <is>
          <t>该做没做。多了先修提醒和流程，别先改信号。</t>
        </is>
      </c>
      <c r="F22" s="19" t="n"/>
      <c r="G22" s="19" t="n"/>
      <c r="H22" s="19" t="n"/>
      <c r="I22" s="19" t="n"/>
      <c r="J22" s="19" t="n"/>
    </row>
    <row r="23">
      <c r="B23" s="16" t="inlineStr">
        <is>
          <t>已平仓笔数</t>
        </is>
      </c>
      <c r="C23" s="59" t="str">
        <f>IF(AND(ISNUMBER($C$4),ISNUMBER($E$4)),COUNTIFS('交易记录'!$S$5:$S$304,"&gt;="&amp;$C$4,'交易记录'!$S$5:$S$304,"&lt;="&amp;$E$4,'交易记录'!$Y$5:$Y$304,"已平仓"),"")</f>
        <v/>
      </c>
      <c r="D23" s="59">
        <f>COUNTIF('交易记录'!$Y$5:$Y$304,"已平仓")</f>
        <v>0</v>
      </c>
      <c r="E23" s="19" t="inlineStr">
        <is>
          <t>下面的成绩只算这些。持仓中的不算。</t>
        </is>
      </c>
      <c r="F23" s="19" t="n"/>
      <c r="G23" s="19" t="n"/>
      <c r="H23" s="19" t="n"/>
      <c r="I23" s="19" t="n"/>
      <c r="J23" s="19" t="n"/>
    </row>
    <row r="24">
      <c r="B24" s="16" t="inlineStr">
        <is>
          <t>盈利笔数</t>
        </is>
      </c>
      <c r="C24" s="59" t="str">
        <f>IF(AND(ISNUMBER($C$4),ISNUMBER($E$4)),COUNTIFS('交易记录'!$S$5:$S$304,"&gt;="&amp;$C$4,'交易记录'!$S$5:$S$304,"&lt;="&amp;$E$4,'交易记录'!$Y$5:$Y$304,"已平仓",'交易记录'!$AG$5:$AG$304,"&gt;0"),"")</f>
        <v/>
      </c>
      <c r="D24" s="59">
        <f>COUNTIFS('交易记录'!$Y$5:$Y$304,"已平仓",'交易记录'!$AG$5:$AG$304,"&gt;0")</f>
        <v>0</v>
      </c>
      <c r="E24" s="19" t="inlineStr">
        <is>
          <t>按净R算，扣完费用还赚才算盈利。</t>
        </is>
      </c>
      <c r="F24" s="19" t="n"/>
      <c r="G24" s="19" t="n"/>
      <c r="H24" s="19" t="n"/>
      <c r="I24" s="19" t="n"/>
      <c r="J24" s="19" t="n"/>
    </row>
    <row r="25">
      <c r="B25" s="16" t="inlineStr">
        <is>
          <t>亏损笔数</t>
        </is>
      </c>
      <c r="C25" s="59" t="str">
        <f>IF(AND(ISNUMBER($C$4),ISNUMBER($E$4)),COUNTIFS('交易记录'!$S$5:$S$304,"&gt;="&amp;$C$4,'交易记录'!$S$5:$S$304,"&lt;="&amp;$E$4,'交易记录'!$Y$5:$Y$304,"已平仓",'交易记录'!$AG$5:$AG$304,"&lt;0"),"")</f>
        <v/>
      </c>
      <c r="D25" s="59">
        <f>COUNTIFS('交易记录'!$Y$5:$Y$304,"已平仓",'交易记录'!$AG$5:$AG$304,"&lt;0")</f>
        <v>0</v>
      </c>
      <c r="E25" s="19" t="inlineStr"/>
      <c r="F25" s="19" t="n"/>
      <c r="G25" s="19" t="n"/>
      <c r="H25" s="19" t="n"/>
      <c r="I25" s="19" t="n"/>
      <c r="J25" s="19" t="n"/>
    </row>
    <row r="26">
      <c r="B26" s="16" t="inlineStr">
        <is>
          <t>胜率</t>
        </is>
      </c>
      <c r="C26" s="60" t="str">
        <f>IF(AND(ISNUMBER($C$4),ISNUMBER($E$4)),IF(N(C23)&gt;0,C24/C23,""),"")</f>
        <v/>
      </c>
      <c r="D26" s="60" t="str">
        <f>IF(N(D23)&gt;0,D24/D23,"")</f>
        <v/>
      </c>
      <c r="E26" s="19" t="inlineStr">
        <is>
          <t>只看胜率会被骗，要和下面两行一起看。</t>
        </is>
      </c>
      <c r="F26" s="19" t="n"/>
      <c r="G26" s="19" t="n"/>
      <c r="H26" s="19" t="n"/>
      <c r="I26" s="19" t="n"/>
      <c r="J26" s="19" t="n"/>
    </row>
    <row r="27">
      <c r="B27" s="16" t="inlineStr">
        <is>
          <t>平均盈利（R）</t>
        </is>
      </c>
      <c r="C27" s="56" t="str">
        <f>IF(AND(ISNUMBER($C$4),ISNUMBER($E$4)),IF(N(C24)&gt;0,SUMIFS('交易记录'!$AG$5:$AG$304,'交易记录'!$S$5:$S$304,"&gt;="&amp;$C$4,'交易记录'!$S$5:$S$304,"&lt;="&amp;$E$4,'交易记录'!$Y$5:$Y$304,"已平仓",'交易记录'!$AG$5:$AG$304,"&gt;0")/C24,""),"")</f>
        <v/>
      </c>
      <c r="D27" s="56" t="str">
        <f>IF(N(D24)&gt;0,SUMIFS('交易记录'!$AG$5:$AG$304,'交易记录'!$Y$5:$Y$304,"已平仓",'交易记录'!$AG$5:$AG$304,"&gt;0")/D24,"")</f>
        <v/>
      </c>
      <c r="E27" s="19" t="inlineStr"/>
      <c r="F27" s="19" t="n"/>
      <c r="G27" s="19" t="n"/>
      <c r="H27" s="19" t="n"/>
      <c r="I27" s="19" t="n"/>
      <c r="J27" s="19" t="n"/>
    </row>
    <row r="28">
      <c r="B28" s="16" t="inlineStr">
        <is>
          <t>平均亏损（R）</t>
        </is>
      </c>
      <c r="C28" s="56" t="str">
        <f>IF(AND(ISNUMBER($C$4),ISNUMBER($E$4)),IF(N(C25)&gt;0,SUMIFS('交易记录'!$AG$5:$AG$304,'交易记录'!$S$5:$S$304,"&gt;="&amp;$C$4,'交易记录'!$S$5:$S$304,"&lt;="&amp;$E$4,'交易记录'!$Y$5:$Y$304,"已平仓",'交易记录'!$AG$5:$AG$304,"&lt;0")/C25,""),"")</f>
        <v/>
      </c>
      <c r="D28" s="56" t="str">
        <f>IF(N(D25)&gt;0,SUMIFS('交易记录'!$AG$5:$AG$304,'交易记录'!$Y$5:$Y$304,"已平仓",'交易记录'!$AG$5:$AG$304,"&lt;0")/D25,"")</f>
        <v/>
      </c>
      <c r="E28" s="19" t="inlineStr">
        <is>
          <t>平均亏损超过 1R，说明止损常被跳空或扛单打穿。</t>
        </is>
      </c>
      <c r="F28" s="19" t="n"/>
      <c r="G28" s="19" t="n"/>
      <c r="H28" s="19" t="n"/>
      <c r="I28" s="19" t="n"/>
      <c r="J28" s="19" t="n"/>
    </row>
    <row r="29">
      <c r="B29" s="16" t="inlineStr">
        <is>
          <t>每笔平均净R（期望）</t>
        </is>
      </c>
      <c r="C29" s="56" t="str">
        <f>IF(AND(ISNUMBER($C$4),ISNUMBER($E$4)),IF(N(C23)&gt;0,SUMIFS('交易记录'!$AG$5:$AG$304,'交易记录'!$S$5:$S$304,"&gt;="&amp;$C$4,'交易记录'!$S$5:$S$304,"&lt;="&amp;$E$4,'交易记录'!$Y$5:$Y$304,"已平仓")/C23,""),"")</f>
        <v/>
      </c>
      <c r="D29" s="56" t="str">
        <f>IF(N(D23)&gt;0,SUMIFS('交易记录'!$AG$5:$AG$304,'交易记录'!$Y$5:$Y$304,"已平仓")/D23,"")</f>
        <v/>
      </c>
      <c r="E29" s="19" t="inlineStr">
        <is>
          <t>最重要的一个数。笔数少时只当参考。</t>
        </is>
      </c>
      <c r="F29" s="19" t="n"/>
      <c r="G29" s="19" t="n"/>
      <c r="H29" s="19" t="n"/>
      <c r="I29" s="19" t="n"/>
      <c r="J29" s="19" t="n"/>
    </row>
    <row r="30">
      <c r="B30" s="16" t="inlineStr">
        <is>
          <t>合计毛R（不扣费用）</t>
        </is>
      </c>
      <c r="C30" s="56" t="str">
        <f>IF(AND(ISNUMBER($C$4),ISNUMBER($E$4)),IF(N(C23)&gt;0,SUMIFS('交易记录'!$AF$5:$AF$304,'交易记录'!$S$5:$S$304,"&gt;="&amp;$C$4,'交易记录'!$S$5:$S$304,"&lt;="&amp;$E$4,'交易记录'!$Y$5:$Y$304,"已平仓"),""),"")</f>
        <v/>
      </c>
      <c r="D30" s="56" t="str">
        <f>IF(N(D23)&gt;0,SUMIFS('交易记录'!$AF$5:$AF$304,'交易记录'!$Y$5:$Y$304,"已平仓"),"")</f>
        <v/>
      </c>
      <c r="E30" s="19" t="inlineStr"/>
      <c r="F30" s="19" t="n"/>
      <c r="G30" s="19" t="n"/>
      <c r="H30" s="19" t="n"/>
      <c r="I30" s="19" t="n"/>
      <c r="J30" s="19" t="n"/>
    </row>
    <row r="31">
      <c r="B31" s="16" t="inlineStr">
        <is>
          <t>合计净R（扣完费用）</t>
        </is>
      </c>
      <c r="C31" s="56" t="str">
        <f>IF(AND(ISNUMBER($C$4),ISNUMBER($E$4)),IF(N(C23)&gt;0,SUMIFS('交易记录'!$AG$5:$AG$304,'交易记录'!$S$5:$S$304,"&gt;="&amp;$C$4,'交易记录'!$S$5:$S$304,"&lt;="&amp;$E$4,'交易记录'!$Y$5:$Y$304,"已平仓"),""),"")</f>
        <v/>
      </c>
      <c r="D31" s="56" t="str">
        <f>IF(N(D23)&gt;0,SUMIFS('交易记录'!$AG$5:$AG$304,'交易记录'!$Y$5:$Y$304,"已平仓"),"")</f>
        <v/>
      </c>
      <c r="E31" s="19" t="inlineStr"/>
      <c r="F31" s="19" t="n"/>
      <c r="G31" s="19" t="n"/>
      <c r="H31" s="19" t="n"/>
      <c r="I31" s="19" t="n"/>
      <c r="J31" s="19" t="n"/>
    </row>
    <row r="32">
      <c r="B32" s="16" t="inlineStr">
        <is>
          <t>费用吃掉的R</t>
        </is>
      </c>
      <c r="C32" s="61" t="str">
        <f>IF(AND(ISNUMBER($C$4),ISNUMBER($E$4)),IF(N(C23)&gt;0,C30-C31,""),"")</f>
        <v/>
      </c>
      <c r="D32" s="61" t="str">
        <f>IF(N(D23)&gt;0,D30-D31,"")</f>
        <v/>
      </c>
      <c r="E32" s="19" t="inlineStr">
        <is>
          <t>做得越勤，这一行越大。</t>
        </is>
      </c>
      <c r="F32" s="19" t="n"/>
      <c r="G32" s="19" t="n"/>
      <c r="H32" s="19" t="n"/>
      <c r="I32" s="19" t="n"/>
      <c r="J32" s="19" t="n"/>
    </row>
    <row r="33">
      <c r="B33" s="16" t="inlineStr">
        <is>
          <t>合计净盈亏（美元）</t>
        </is>
      </c>
      <c r="C33" s="44" t="str">
        <f>IF(AND(ISNUMBER($C$4),ISNUMBER($E$4)),IF(N(C23)&gt;0,SUMIFS('交易记录'!$AE$5:$AE$304,'交易记录'!$S$5:$S$304,"&gt;="&amp;$C$4,'交易记录'!$S$5:$S$304,"&lt;="&amp;$E$4,'交易记录'!$Y$5:$Y$304,"已平仓"),""),"")</f>
        <v/>
      </c>
      <c r="D33" s="44" t="str">
        <f>IF(N(D23)&gt;0,SUMIFS('交易记录'!$AE$5:$AE$304,'交易记录'!$Y$5:$Y$304,"已平仓"),"")</f>
        <v/>
      </c>
      <c r="E33" s="19" t="inlineStr"/>
      <c r="F33" s="19" t="n"/>
      <c r="G33" s="19" t="n"/>
      <c r="H33" s="19" t="n"/>
      <c r="I33" s="19" t="n"/>
      <c r="J33" s="19" t="n"/>
    </row>
    <row r="34">
      <c r="B34" s="16" t="inlineStr">
        <is>
          <t>合计费用（美元）</t>
        </is>
      </c>
      <c r="C34" s="43" t="str">
        <f>IF(AND(ISNUMBER($C$4),ISNUMBER($E$4)),IF(N(C23)&gt;0,SUMIFS('交易记录'!$AD$5:$AD$304,'交易记录'!$S$5:$S$304,"&gt;="&amp;$C$4,'交易记录'!$S$5:$S$304,"&lt;="&amp;$E$4,'交易记录'!$Y$5:$Y$304,"已平仓"),""),"")</f>
        <v/>
      </c>
      <c r="D34" s="43" t="str">
        <f>IF(N(D23)&gt;0,SUMIFS('交易记录'!$AD$5:$AD$304,'交易记录'!$Y$5:$Y$304,"已平仓"),"")</f>
        <v/>
      </c>
      <c r="E34" s="19" t="inlineStr"/>
      <c r="F34" s="19" t="n"/>
      <c r="G34" s="19" t="n"/>
      <c r="H34" s="19" t="n"/>
      <c r="I34" s="19" t="n"/>
      <c r="J34" s="19" t="n"/>
    </row>
    <row r="35">
      <c r="B35" s="16" t="inlineStr">
        <is>
          <t>过程 A（完全照计划）</t>
        </is>
      </c>
      <c r="C35" s="59" t="str">
        <f>IF(AND(ISNUMBER($C$4),ISNUMBER($E$4)),COUNTIFS('交易记录'!$S$5:$S$304,"&gt;="&amp;$C$4,'交易记录'!$S$5:$S$304,"&lt;="&amp;$E$4,'交易记录'!$Y$5:$Y$304,"已平仓",'交易记录'!$AJ$5:$AJ$304,"A"),"")</f>
        <v/>
      </c>
      <c r="D35" s="59">
        <f>COUNTIFS('交易记录'!$Y$5:$Y$304,"已平仓",'交易记录'!$AJ$5:$AJ$304,"A")</f>
        <v>0</v>
      </c>
      <c r="E35" s="19" t="inlineStr"/>
      <c r="F35" s="19" t="n"/>
      <c r="G35" s="19" t="n"/>
      <c r="H35" s="19" t="n"/>
      <c r="I35" s="19" t="n"/>
      <c r="J35" s="19" t="n"/>
    </row>
    <row r="36">
      <c r="B36" s="16" t="inlineStr">
        <is>
          <t>过程 B（小偏差）</t>
        </is>
      </c>
      <c r="C36" s="59" t="str">
        <f>IF(AND(ISNUMBER($C$4),ISNUMBER($E$4)),COUNTIFS('交易记录'!$S$5:$S$304,"&gt;="&amp;$C$4,'交易记录'!$S$5:$S$304,"&lt;="&amp;$E$4,'交易记录'!$Y$5:$Y$304,"已平仓",'交易记录'!$AJ$5:$AJ$304,"B"),"")</f>
        <v/>
      </c>
      <c r="D36" s="59">
        <f>COUNTIFS('交易记录'!$Y$5:$Y$304,"已平仓",'交易记录'!$AJ$5:$AJ$304,"B")</f>
        <v>0</v>
      </c>
      <c r="E36" s="19" t="inlineStr"/>
      <c r="F36" s="19" t="n"/>
      <c r="G36" s="19" t="n"/>
      <c r="H36" s="19" t="n"/>
      <c r="I36" s="19" t="n"/>
      <c r="J36" s="19" t="n"/>
    </row>
    <row r="37">
      <c r="B37" s="16" t="inlineStr">
        <is>
          <t>过程 C（违反一条规则）</t>
        </is>
      </c>
      <c r="C37" s="59" t="str">
        <f>IF(AND(ISNUMBER($C$4),ISNUMBER($E$4)),COUNTIFS('交易记录'!$S$5:$S$304,"&gt;="&amp;$C$4,'交易记录'!$S$5:$S$304,"&lt;="&amp;$E$4,'交易记录'!$Y$5:$Y$304,"已平仓",'交易记录'!$AJ$5:$AJ$304,"C"),"")</f>
        <v/>
      </c>
      <c r="D37" s="59">
        <f>COUNTIFS('交易记录'!$Y$5:$Y$304,"已平仓",'交易记录'!$AJ$5:$AJ$304,"C")</f>
        <v>0</v>
      </c>
      <c r="E37" s="19" t="inlineStr"/>
      <c r="F37" s="19" t="n"/>
      <c r="G37" s="19" t="n"/>
      <c r="H37" s="19" t="n"/>
      <c r="I37" s="19" t="n"/>
      <c r="J37" s="19" t="n"/>
    </row>
    <row r="38">
      <c r="B38" s="16" t="inlineStr">
        <is>
          <t>过程 D（没计划就下单）</t>
        </is>
      </c>
      <c r="C38" s="59" t="str">
        <f>IF(AND(ISNUMBER($C$4),ISNUMBER($E$4)),COUNTIFS('交易记录'!$S$5:$S$304,"&gt;="&amp;$C$4,'交易记录'!$S$5:$S$304,"&lt;="&amp;$E$4,'交易记录'!$Y$5:$Y$304,"已平仓",'交易记录'!$AJ$5:$AJ$304,"D"),"")</f>
        <v/>
      </c>
      <c r="D38" s="59">
        <f>COUNTIFS('交易记录'!$Y$5:$Y$304,"已平仓",'交易记录'!$AJ$5:$AJ$304,"D")</f>
        <v>0</v>
      </c>
      <c r="E38" s="19" t="inlineStr"/>
      <c r="F38" s="19" t="n"/>
      <c r="G38" s="19" t="n"/>
      <c r="H38" s="19" t="n"/>
      <c r="I38" s="19" t="n"/>
      <c r="J38" s="19" t="n"/>
    </row>
    <row r="39">
      <c r="B39" s="16" t="inlineStr">
        <is>
          <t>A 档占比</t>
        </is>
      </c>
      <c r="C39" s="60" t="str">
        <f>IF(AND(ISNUMBER($C$4),ISNUMBER($E$4)),IF(N(C23)&gt;0,C35/C23,""),"")</f>
        <v/>
      </c>
      <c r="D39" s="60" t="str">
        <f>IF(N(D23)&gt;0,D35/D23,"")</f>
        <v/>
      </c>
      <c r="E39" s="19" t="inlineStr">
        <is>
          <t>这个比例在涨，说明执行在变好，哪怕这周亏了钱。</t>
        </is>
      </c>
      <c r="F39" s="19" t="n"/>
      <c r="G39" s="19" t="n"/>
      <c r="H39" s="19" t="n"/>
      <c r="I39" s="19" t="n"/>
      <c r="J39" s="19" t="n"/>
    </row>
    <row r="40">
      <c r="B40" s="16" t="inlineStr">
        <is>
          <t>赚了钱的坏交易（C/D 档却赚了）</t>
        </is>
      </c>
      <c r="C40" s="59" t="str">
        <f>IF(AND(ISNUMBER($C$4),ISNUMBER($E$4)),COUNTIFS('交易记录'!$S$5:$S$304,"&gt;="&amp;$C$4,'交易记录'!$S$5:$S$304,"&lt;="&amp;$E$4,'交易记录'!$Y$5:$Y$304,"已平仓",'交易记录'!$AJ$5:$AJ$304,"C",'交易记录'!$AG$5:$AG$304,"&gt;0")+COUNTIFS('交易记录'!$S$5:$S$304,"&gt;="&amp;$C$4,'交易记录'!$S$5:$S$304,"&lt;="&amp;$E$4,'交易记录'!$Y$5:$Y$304,"已平仓",'交易记录'!$AJ$5:$AJ$304,"D",'交易记录'!$AG$5:$AG$304,"&gt;0"),"")</f>
        <v/>
      </c>
      <c r="D40" s="59">
        <f>COUNTIFS('交易记录'!$Y$5:$Y$304,"已平仓",'交易记录'!$AJ$5:$AJ$304,"C",'交易记录'!$AG$5:$AG$304,"&gt;0")+COUNTIFS('交易记录'!$Y$5:$Y$304,"已平仓",'交易记录'!$AJ$5:$AJ$304,"D",'交易记录'!$AG$5:$AG$304,"&gt;0")</f>
        <v>0</v>
      </c>
      <c r="E40" s="19" t="inlineStr">
        <is>
          <t>最需要复盘的一类：它会让你下次继续违规。</t>
        </is>
      </c>
      <c r="F40" s="19" t="n"/>
      <c r="G40" s="19" t="n"/>
      <c r="H40" s="19" t="n"/>
      <c r="I40" s="19" t="n"/>
      <c r="J40" s="19" t="n"/>
    </row>
    <row r="41">
      <c r="B41" s="16" t="inlineStr">
        <is>
          <t>照计划做的（A/B）每笔平均净R</t>
        </is>
      </c>
      <c r="C41" s="56" t="str">
        <f>IF(AND(ISNUMBER($C$4),ISNUMBER($E$4)),IF(N(C35)+N(C36)&gt;0,(SUMIFS('交易记录'!$AG$5:$AG$304,'交易记录'!$S$5:$S$304,"&gt;="&amp;$C$4,'交易记录'!$S$5:$S$304,"&lt;="&amp;$E$4,'交易记录'!$Y$5:$Y$304,"已平仓",'交易记录'!$AJ$5:$AJ$304,"A")+SUMIFS('交易记录'!$AG$5:$AG$304,'交易记录'!$S$5:$S$304,"&gt;="&amp;$C$4,'交易记录'!$S$5:$S$304,"&lt;="&amp;$E$4,'交易记录'!$Y$5:$Y$304,"已平仓",'交易记录'!$AJ$5:$AJ$304,"B"))/(C35+C36),""),"")</f>
        <v/>
      </c>
      <c r="D41" s="56" t="str">
        <f>IF(N(D35)+N(D36)&gt;0,(SUMIFS('交易记录'!$AG$5:$AG$304,'交易记录'!$Y$5:$Y$304,"已平仓",'交易记录'!$AJ$5:$AJ$304,"A")+SUMIFS('交易记录'!$AG$5:$AG$304,'交易记录'!$Y$5:$Y$304,"已平仓",'交易记录'!$AJ$5:$AJ$304,"B"))/(D35+D36),"")</f>
        <v/>
      </c>
      <c r="E41" s="19" t="inlineStr">
        <is>
          <t>和下一行比：规则本身赚不赚钱，先看照做的这些。</t>
        </is>
      </c>
      <c r="F41" s="19" t="n"/>
      <c r="G41" s="19" t="n"/>
      <c r="H41" s="19" t="n"/>
      <c r="I41" s="19" t="n"/>
      <c r="J41" s="19" t="n"/>
    </row>
    <row r="42">
      <c r="B42" s="16" t="inlineStr">
        <is>
          <t>违规的（C/D）每笔平均净R</t>
        </is>
      </c>
      <c r="C42" s="56" t="str">
        <f>IF(AND(ISNUMBER($C$4),ISNUMBER($E$4)),IF(N(C37)+N(C38)&gt;0,(SUMIFS('交易记录'!$AG$5:$AG$304,'交易记录'!$S$5:$S$304,"&gt;="&amp;$C$4,'交易记录'!$S$5:$S$304,"&lt;="&amp;$E$4,'交易记录'!$Y$5:$Y$304,"已平仓",'交易记录'!$AJ$5:$AJ$304,"C")+SUMIFS('交易记录'!$AG$5:$AG$304,'交易记录'!$S$5:$S$304,"&gt;="&amp;$C$4,'交易记录'!$S$5:$S$304,"&lt;="&amp;$E$4,'交易记录'!$Y$5:$Y$304,"已平仓",'交易记录'!$AJ$5:$AJ$304,"D"))/(C37+C38),""),"")</f>
        <v/>
      </c>
      <c r="D42" s="56" t="str">
        <f>IF(N(D37)+N(D38)&gt;0,(SUMIFS('交易记录'!$AG$5:$AG$304,'交易记录'!$Y$5:$Y$304,"已平仓",'交易记录'!$AJ$5:$AJ$304,"C")+SUMIFS('交易记录'!$AG$5:$AG$304,'交易记录'!$Y$5:$Y$304,"已平仓",'交易记录'!$AJ$5:$AJ$304,"D"))/(D37+D38),"")</f>
        <v/>
      </c>
      <c r="E42" s="19" t="inlineStr"/>
      <c r="F42" s="19" t="n"/>
      <c r="G42" s="19" t="n"/>
      <c r="H42" s="19" t="n"/>
      <c r="I42" s="19" t="n"/>
      <c r="J42" s="19" t="n"/>
    </row>
    <row r="43">
      <c r="B43" s="16" t="inlineStr">
        <is>
          <t>持仓中（现在）</t>
        </is>
      </c>
      <c r="C43" s="59" t="str">
        <f>IF(AND(ISNUMBER($C$4),ISNUMBER($E$4)),COUNTIF('交易记录'!$Y$5:$Y$304,"持仓中"),"")</f>
        <v/>
      </c>
      <c r="D43" s="59">
        <f>COUNTIF('交易记录'!$Y$5:$Y$304,"持仓中")</f>
        <v>0</v>
      </c>
      <c r="E43" s="19" t="inlineStr">
        <is>
          <t>没平仓的不进成绩。</t>
        </is>
      </c>
      <c r="F43" s="19" t="n"/>
      <c r="G43" s="19" t="n"/>
      <c r="H43" s="19" t="n"/>
      <c r="I43" s="19" t="n"/>
      <c r="J43" s="19" t="n"/>
    </row>
    <row r="44">
      <c r="B44" s="16" t="inlineStr">
        <is>
          <t>最大回撤（R，全部记录）</t>
        </is>
      </c>
      <c r="C44" s="61" t="str">
        <f>""</f>
        <v/>
      </c>
      <c r="D44" s="61" t="str">
        <f>IF(COUNT('交易记录'!$AN$5:$AN$304)=0,"",MAX('交易记录'!$AN$5:$AN$304))</f>
        <v/>
      </c>
      <c r="E44" s="19" t="inlineStr">
        <is>
          <t>按交易记录的先后顺序累计净R，从最高点往下最多回了几 R。</t>
        </is>
      </c>
      <c r="F44" s="19" t="n"/>
      <c r="G44" s="19" t="n"/>
      <c r="H44" s="19" t="n"/>
      <c r="I44" s="19" t="n"/>
      <c r="J44" s="19" t="n"/>
    </row>
    <row r="45">
      <c r="B45" s="16" t="inlineStr">
        <is>
          <t>最大单笔亏损（R，全部记录）</t>
        </is>
      </c>
      <c r="C45" s="56" t="str">
        <f>""</f>
        <v/>
      </c>
      <c r="D45" s="56" t="str">
        <f>IF(COUNT('交易记录'!$AG$5:$AG$304)=0,"",MIN('交易记录'!$AG$5:$AG$304))</f>
        <v/>
      </c>
      <c r="E45" s="19" t="inlineStr">
        <is>
          <t>超过 -2R 的单，逐笔回去看是跳空、滑点还是扛单。</t>
        </is>
      </c>
      <c r="F45" s="19" t="n"/>
      <c r="G45" s="19" t="n"/>
      <c r="H45" s="19" t="n"/>
      <c r="I45" s="19" t="n"/>
      <c r="J45" s="19" t="n"/>
    </row>
    <row r="47">
      <c r="B47" s="15" t="inlineStr">
        <is>
          <t>3. 偏差标签：最常犯的是哪一个</t>
        </is>
      </c>
    </row>
    <row r="48">
      <c r="B48" s="26" t="inlineStr">
        <is>
          <t>标签</t>
        </is>
      </c>
      <c r="C48" s="26" t="inlineStr">
        <is>
          <t>本区间笔数</t>
        </is>
      </c>
      <c r="D48" s="26" t="inlineStr">
        <is>
          <t>全部笔数</t>
        </is>
      </c>
      <c r="E48" s="26" t="inlineStr">
        <is>
          <t>全部合计净R</t>
        </is>
      </c>
      <c r="F48" s="26" t="inlineStr">
        <is>
          <t>提示</t>
        </is>
      </c>
    </row>
    <row r="49">
      <c r="B49" s="62" t="str">
        <f>T('参数'!$F$22)</f>
        <v>无</v>
      </c>
      <c r="C49" s="59" t="str">
        <f>IF(OR(B49="",NOT(AND(ISNUMBER($C$4),ISNUMBER($E$4)))),"",COUNTIFS('交易记录'!$S$5:$S$304,"&gt;="&amp;$C$4,'交易记录'!$S$5:$S$304,"&lt;="&amp;$E$4,'交易记录'!$Y$5:$Y$304,"已平仓",'交易记录'!$AK$5:$AK$304,B49))</f>
        <v/>
      </c>
      <c r="D49" s="59">
        <f>IF(B49="","",COUNTIFS('交易记录'!$Y$5:$Y$304,"已平仓",'交易记录'!$AK$5:$AK$304,B49))</f>
        <v>0</v>
      </c>
      <c r="E49" s="56">
        <f>IF(B49="","",SUMIFS('交易记录'!$AG$5:$AG$304,'交易记录'!$Y$5:$Y$304,"已平仓",'交易记录'!$AK$5:$AK$304,B49))</f>
        <v>0</v>
      </c>
      <c r="F49" s="41" t="str">
        <f>IF(AND(B49&lt;&gt;"",B49&lt;&gt;"无",N(C49)&gt;0,N(C49)=MAX($L$49:$L$58)),"本区间最多","")</f>
        <v/>
      </c>
      <c r="L49" s="42">
        <f>IF(OR(B49="",B49="无"),0,N(C49))</f>
        <v>0</v>
      </c>
    </row>
    <row r="50">
      <c r="B50" s="62" t="str">
        <f>T('参数'!$F$23)</f>
        <v>追单</v>
      </c>
      <c r="C50" s="59" t="str">
        <f>IF(OR(B50="",NOT(AND(ISNUMBER($C$4),ISNUMBER($E$4)))),"",COUNTIFS('交易记录'!$S$5:$S$304,"&gt;="&amp;$C$4,'交易记录'!$S$5:$S$304,"&lt;="&amp;$E$4,'交易记录'!$Y$5:$Y$304,"已平仓",'交易记录'!$AK$5:$AK$304,B50))</f>
        <v/>
      </c>
      <c r="D50" s="59">
        <f>IF(B50="","",COUNTIFS('交易记录'!$Y$5:$Y$304,"已平仓",'交易记录'!$AK$5:$AK$304,B50))</f>
        <v>0</v>
      </c>
      <c r="E50" s="56">
        <f>IF(B50="","",SUMIFS('交易记录'!$AG$5:$AG$304,'交易记录'!$Y$5:$Y$304,"已平仓",'交易记录'!$AK$5:$AK$304,B50))</f>
        <v>0</v>
      </c>
      <c r="F50" s="41" t="str">
        <f>IF(AND(B50&lt;&gt;"",B50&lt;&gt;"无",N(C50)&gt;0,N(C50)=MAX($L$49:$L$58)),"本区间最多","")</f>
        <v/>
      </c>
      <c r="L50" s="42">
        <f>IF(OR(B50="",B50="无"),0,N(C50))</f>
        <v>0</v>
      </c>
    </row>
    <row r="51">
      <c r="B51" s="62" t="str">
        <f>T('参数'!$F$24)</f>
        <v>扛单</v>
      </c>
      <c r="C51" s="59" t="str">
        <f>IF(OR(B51="",NOT(AND(ISNUMBER($C$4),ISNUMBER($E$4)))),"",COUNTIFS('交易记录'!$S$5:$S$304,"&gt;="&amp;$C$4,'交易记录'!$S$5:$S$304,"&lt;="&amp;$E$4,'交易记录'!$Y$5:$Y$304,"已平仓",'交易记录'!$AK$5:$AK$304,B51))</f>
        <v/>
      </c>
      <c r="D51" s="59">
        <f>IF(B51="","",COUNTIFS('交易记录'!$Y$5:$Y$304,"已平仓",'交易记录'!$AK$5:$AK$304,B51))</f>
        <v>0</v>
      </c>
      <c r="E51" s="56">
        <f>IF(B51="","",SUMIFS('交易记录'!$AG$5:$AG$304,'交易记录'!$Y$5:$Y$304,"已平仓",'交易记录'!$AK$5:$AK$304,B51))</f>
        <v>0</v>
      </c>
      <c r="F51" s="41" t="str">
        <f>IF(AND(B51&lt;&gt;"",B51&lt;&gt;"无",N(C51)&gt;0,N(C51)=MAX($L$49:$L$58)),"本区间最多","")</f>
        <v/>
      </c>
      <c r="L51" s="42">
        <f>IF(OR(B51="",B51="无"),0,N(C51))</f>
        <v>0</v>
      </c>
    </row>
    <row r="52">
      <c r="B52" s="62" t="str">
        <f>T('参数'!$F$25)</f>
        <v>提前跑</v>
      </c>
      <c r="C52" s="59" t="str">
        <f>IF(OR(B52="",NOT(AND(ISNUMBER($C$4),ISNUMBER($E$4)))),"",COUNTIFS('交易记录'!$S$5:$S$304,"&gt;="&amp;$C$4,'交易记录'!$S$5:$S$304,"&lt;="&amp;$E$4,'交易记录'!$Y$5:$Y$304,"已平仓",'交易记录'!$AK$5:$AK$304,B52))</f>
        <v/>
      </c>
      <c r="D52" s="59">
        <f>IF(B52="","",COUNTIFS('交易记录'!$Y$5:$Y$304,"已平仓",'交易记录'!$AK$5:$AK$304,B52))</f>
        <v>0</v>
      </c>
      <c r="E52" s="56">
        <f>IF(B52="","",SUMIFS('交易记录'!$AG$5:$AG$304,'交易记录'!$Y$5:$Y$304,"已平仓",'交易记录'!$AK$5:$AK$304,B52))</f>
        <v>0</v>
      </c>
      <c r="F52" s="41" t="str">
        <f>IF(AND(B52&lt;&gt;"",B52&lt;&gt;"无",N(C52)&gt;0,N(C52)=MAX($L$49:$L$58)),"本区间最多","")</f>
        <v/>
      </c>
      <c r="L52" s="42">
        <f>IF(OR(B52="",B52="无"),0,N(C52))</f>
        <v>0</v>
      </c>
    </row>
    <row r="53">
      <c r="B53" s="62" t="str">
        <f>T('参数'!$F$26)</f>
        <v>加仓回本</v>
      </c>
      <c r="C53" s="59" t="str">
        <f>IF(OR(B53="",NOT(AND(ISNUMBER($C$4),ISNUMBER($E$4)))),"",COUNTIFS('交易记录'!$S$5:$S$304,"&gt;="&amp;$C$4,'交易记录'!$S$5:$S$304,"&lt;="&amp;$E$4,'交易记录'!$Y$5:$Y$304,"已平仓",'交易记录'!$AK$5:$AK$304,B53))</f>
        <v/>
      </c>
      <c r="D53" s="59">
        <f>IF(B53="","",COUNTIFS('交易记录'!$Y$5:$Y$304,"已平仓",'交易记录'!$AK$5:$AK$304,B53))</f>
        <v>0</v>
      </c>
      <c r="E53" s="56">
        <f>IF(B53="","",SUMIFS('交易记录'!$AG$5:$AG$304,'交易记录'!$Y$5:$Y$304,"已平仓",'交易记录'!$AK$5:$AK$304,B53))</f>
        <v>0</v>
      </c>
      <c r="F53" s="41" t="str">
        <f>IF(AND(B53&lt;&gt;"",B53&lt;&gt;"无",N(C53)&gt;0,N(C53)=MAX($L$49:$L$58)),"本区间最多","")</f>
        <v/>
      </c>
      <c r="L53" s="42">
        <f>IF(OR(B53="",B53="无"),0,N(C53))</f>
        <v>0</v>
      </c>
    </row>
    <row r="54">
      <c r="B54" s="62" t="str">
        <f>T('参数'!$F$27)</f>
        <v>没计划</v>
      </c>
      <c r="C54" s="59" t="str">
        <f>IF(OR(B54="",NOT(AND(ISNUMBER($C$4),ISNUMBER($E$4)))),"",COUNTIFS('交易记录'!$S$5:$S$304,"&gt;="&amp;$C$4,'交易记录'!$S$5:$S$304,"&lt;="&amp;$E$4,'交易记录'!$Y$5:$Y$304,"已平仓",'交易记录'!$AK$5:$AK$304,B54))</f>
        <v/>
      </c>
      <c r="D54" s="59">
        <f>IF(B54="","",COUNTIFS('交易记录'!$Y$5:$Y$304,"已平仓",'交易记录'!$AK$5:$AK$304,B54))</f>
        <v>0</v>
      </c>
      <c r="E54" s="56">
        <f>IF(B54="","",SUMIFS('交易记录'!$AG$5:$AG$304,'交易记录'!$Y$5:$Y$304,"已平仓",'交易记录'!$AK$5:$AK$304,B54))</f>
        <v>0</v>
      </c>
      <c r="F54" s="41" t="str">
        <f>IF(AND(B54&lt;&gt;"",B54&lt;&gt;"无",N(C54)&gt;0,N(C54)=MAX($L$49:$L$58)),"本区间最多","")</f>
        <v/>
      </c>
      <c r="L54" s="42">
        <f>IF(OR(B54="",B54="无"),0,N(C54))</f>
        <v>0</v>
      </c>
    </row>
    <row r="55">
      <c r="B55" s="62" t="str">
        <f>T('参数'!$F$28)</f>
        <v>超仓位</v>
      </c>
      <c r="C55" s="59" t="str">
        <f>IF(OR(B55="",NOT(AND(ISNUMBER($C$4),ISNUMBER($E$4)))),"",COUNTIFS('交易记录'!$S$5:$S$304,"&gt;="&amp;$C$4,'交易记录'!$S$5:$S$304,"&lt;="&amp;$E$4,'交易记录'!$Y$5:$Y$304,"已平仓",'交易记录'!$AK$5:$AK$304,B55))</f>
        <v/>
      </c>
      <c r="D55" s="59">
        <f>IF(B55="","",COUNTIFS('交易记录'!$Y$5:$Y$304,"已平仓",'交易记录'!$AK$5:$AK$304,B55))</f>
        <v>0</v>
      </c>
      <c r="E55" s="56">
        <f>IF(B55="","",SUMIFS('交易记录'!$AG$5:$AG$304,'交易记录'!$Y$5:$Y$304,"已平仓",'交易记录'!$AK$5:$AK$304,B55))</f>
        <v>0</v>
      </c>
      <c r="F55" s="41" t="str">
        <f>IF(AND(B55&lt;&gt;"",B55&lt;&gt;"无",N(C55)&gt;0,N(C55)=MAX($L$49:$L$58)),"本区间最多","")</f>
        <v/>
      </c>
      <c r="L55" s="42">
        <f>IF(OR(B55="",B55="无"),0,N(C55))</f>
        <v>0</v>
      </c>
    </row>
    <row r="56">
      <c r="B56" s="62" t="str">
        <f>T('参数'!$F$29)</f>
        <v>止损挪远</v>
      </c>
      <c r="C56" s="59" t="str">
        <f>IF(OR(B56="",NOT(AND(ISNUMBER($C$4),ISNUMBER($E$4)))),"",COUNTIFS('交易记录'!$S$5:$S$304,"&gt;="&amp;$C$4,'交易记录'!$S$5:$S$304,"&lt;="&amp;$E$4,'交易记录'!$Y$5:$Y$304,"已平仓",'交易记录'!$AK$5:$AK$304,B56))</f>
        <v/>
      </c>
      <c r="D56" s="59">
        <f>IF(B56="","",COUNTIFS('交易记录'!$Y$5:$Y$304,"已平仓",'交易记录'!$AK$5:$AK$304,B56))</f>
        <v>0</v>
      </c>
      <c r="E56" s="56">
        <f>IF(B56="","",SUMIFS('交易记录'!$AG$5:$AG$304,'交易记录'!$Y$5:$Y$304,"已平仓",'交易记录'!$AK$5:$AK$304,B56))</f>
        <v>0</v>
      </c>
      <c r="F56" s="41" t="str">
        <f>IF(AND(B56&lt;&gt;"",B56&lt;&gt;"无",N(C56)&gt;0,N(C56)=MAX($L$49:$L$58)),"本区间最多","")</f>
        <v/>
      </c>
      <c r="L56" s="42">
        <f>IF(OR(B56="",B56="无"),0,N(C56))</f>
        <v>0</v>
      </c>
    </row>
    <row r="57">
      <c r="B57" s="62" t="str">
        <f>T('参数'!$F$30)</f>
        <v>盘中改计划</v>
      </c>
      <c r="C57" s="59" t="str">
        <f>IF(OR(B57="",NOT(AND(ISNUMBER($C$4),ISNUMBER($E$4)))),"",COUNTIFS('交易记录'!$S$5:$S$304,"&gt;="&amp;$C$4,'交易记录'!$S$5:$S$304,"&lt;="&amp;$E$4,'交易记录'!$Y$5:$Y$304,"已平仓",'交易记录'!$AK$5:$AK$304,B57))</f>
        <v/>
      </c>
      <c r="D57" s="59">
        <f>IF(B57="","",COUNTIFS('交易记录'!$Y$5:$Y$304,"已平仓",'交易记录'!$AK$5:$AK$304,B57))</f>
        <v>0</v>
      </c>
      <c r="E57" s="56">
        <f>IF(B57="","",SUMIFS('交易记录'!$AG$5:$AG$304,'交易记录'!$Y$5:$Y$304,"已平仓",'交易记录'!$AK$5:$AK$304,B57))</f>
        <v>0</v>
      </c>
      <c r="F57" s="41" t="str">
        <f>IF(AND(B57&lt;&gt;"",B57&lt;&gt;"无",N(C57)&gt;0,N(C57)=MAX($L$49:$L$58)),"本区间最多","")</f>
        <v/>
      </c>
      <c r="L57" s="42">
        <f>IF(OR(B57="",B57="无"),0,N(C57))</f>
        <v>0</v>
      </c>
    </row>
    <row r="58">
      <c r="B58" s="62" t="str">
        <f>T('参数'!$F$31)</f>
        <v>其他</v>
      </c>
      <c r="C58" s="59" t="str">
        <f>IF(OR(B58="",NOT(AND(ISNUMBER($C$4),ISNUMBER($E$4)))),"",COUNTIFS('交易记录'!$S$5:$S$304,"&gt;="&amp;$C$4,'交易记录'!$S$5:$S$304,"&lt;="&amp;$E$4,'交易记录'!$Y$5:$Y$304,"已平仓",'交易记录'!$AK$5:$AK$304,B58))</f>
        <v/>
      </c>
      <c r="D58" s="59">
        <f>IF(B58="","",COUNTIFS('交易记录'!$Y$5:$Y$304,"已平仓",'交易记录'!$AK$5:$AK$304,B58))</f>
        <v>0</v>
      </c>
      <c r="E58" s="56">
        <f>IF(B58="","",SUMIFS('交易记录'!$AG$5:$AG$304,'交易记录'!$Y$5:$Y$304,"已平仓",'交易记录'!$AK$5:$AK$304,B58))</f>
        <v>0</v>
      </c>
      <c r="F58" s="41" t="str">
        <f>IF(AND(B58&lt;&gt;"",B58&lt;&gt;"无",N(C58)&gt;0,N(C58)=MAX($L$49:$L$58)),"本区间最多","")</f>
        <v/>
      </c>
      <c r="L58" s="42">
        <f>IF(OR(B58="",B58="无"),0,N(C58))</f>
        <v>0</v>
      </c>
    </row>
    <row r="60">
      <c r="B60" s="15" t="inlineStr">
        <is>
          <t>4. 分组看（全部已平仓记录；少于 10 笔只看不下结论）</t>
        </is>
      </c>
    </row>
    <row r="61">
      <c r="B61" s="26" t="inlineStr">
        <is>
          <t>策略</t>
        </is>
      </c>
      <c r="C61" s="26" t="inlineStr">
        <is>
          <t>笔数</t>
        </is>
      </c>
      <c r="D61" s="26" t="inlineStr">
        <is>
          <t>胜率</t>
        </is>
      </c>
      <c r="E61" s="26" t="inlineStr">
        <is>
          <t>每笔平均净R</t>
        </is>
      </c>
      <c r="F61" s="26" t="inlineStr">
        <is>
          <t>合计净R</t>
        </is>
      </c>
      <c r="G61" s="26" t="inlineStr">
        <is>
          <t>样本</t>
        </is>
      </c>
    </row>
    <row r="62">
      <c r="B62" s="62" t="str">
        <f>T('参数'!$B$22)</f>
        <v>突破</v>
      </c>
      <c r="C62" s="59">
        <f>IF(B62="","",COUNTIFS('交易记录'!$Y$5:$Y$304,"已平仓",'交易记录'!$D$5:$D$304,B62))</f>
        <v>0</v>
      </c>
      <c r="D62" s="60" t="str">
        <f>IF(N(C62)&gt;0,COUNTIFS('交易记录'!$Y$5:$Y$304,"已平仓",'交易记录'!$D$5:$D$304,B62,'交易记录'!$AG$5:$AG$304,"&gt;0")/C62,"")</f>
        <v/>
      </c>
      <c r="E62" s="56" t="str">
        <f>IF(N(C62)&gt;0,SUMIFS('交易记录'!$AG$5:$AG$304,'交易记录'!$Y$5:$Y$304,"已平仓",'交易记录'!$D$5:$D$304,B62)/C62,"")</f>
        <v/>
      </c>
      <c r="F62" s="56" t="str">
        <f>IF(N(C62)&gt;0,SUMIFS('交易记录'!$AG$5:$AG$304,'交易记录'!$Y$5:$Y$304,"已平仓",'交易记录'!$D$5:$D$304,B62),"")</f>
        <v/>
      </c>
      <c r="G62" s="41" t="str">
        <f>IF(N(C62)=0,"",IF(C62&lt;10,"样本太少",""))</f>
        <v/>
      </c>
    </row>
    <row r="63">
      <c r="B63" s="62" t="str">
        <f>T('参数'!$B$23)</f>
        <v>回踩</v>
      </c>
      <c r="C63" s="59">
        <f>IF(B63="","",COUNTIFS('交易记录'!$Y$5:$Y$304,"已平仓",'交易记录'!$D$5:$D$304,B63))</f>
        <v>0</v>
      </c>
      <c r="D63" s="60" t="str">
        <f>IF(N(C63)&gt;0,COUNTIFS('交易记录'!$Y$5:$Y$304,"已平仓",'交易记录'!$D$5:$D$304,B63,'交易记录'!$AG$5:$AG$304,"&gt;0")/C63,"")</f>
        <v/>
      </c>
      <c r="E63" s="56" t="str">
        <f>IF(N(C63)&gt;0,SUMIFS('交易记录'!$AG$5:$AG$304,'交易记录'!$Y$5:$Y$304,"已平仓",'交易记录'!$D$5:$D$304,B63)/C63,"")</f>
        <v/>
      </c>
      <c r="F63" s="56" t="str">
        <f>IF(N(C63)&gt;0,SUMIFS('交易记录'!$AG$5:$AG$304,'交易记录'!$Y$5:$Y$304,"已平仓",'交易记录'!$D$5:$D$304,B63),"")</f>
        <v/>
      </c>
      <c r="G63" s="41" t="str">
        <f>IF(N(C63)=0,"",IF(C63&lt;10,"样本太少",""))</f>
        <v/>
      </c>
    </row>
    <row r="64">
      <c r="B64" s="62" t="str">
        <f>T('参数'!$B$24)</f>
        <v>区间反转</v>
      </c>
      <c r="C64" s="59">
        <f>IF(B64="","",COUNTIFS('交易记录'!$Y$5:$Y$304,"已平仓",'交易记录'!$D$5:$D$304,B64))</f>
        <v>0</v>
      </c>
      <c r="D64" s="60" t="str">
        <f>IF(N(C64)&gt;0,COUNTIFS('交易记录'!$Y$5:$Y$304,"已平仓",'交易记录'!$D$5:$D$304,B64,'交易记录'!$AG$5:$AG$304,"&gt;0")/C64,"")</f>
        <v/>
      </c>
      <c r="E64" s="56" t="str">
        <f>IF(N(C64)&gt;0,SUMIFS('交易记录'!$AG$5:$AG$304,'交易记录'!$Y$5:$Y$304,"已平仓",'交易记录'!$D$5:$D$304,B64)/C64,"")</f>
        <v/>
      </c>
      <c r="F64" s="56" t="str">
        <f>IF(N(C64)&gt;0,SUMIFS('交易记录'!$AG$5:$AG$304,'交易记录'!$Y$5:$Y$304,"已平仓",'交易记录'!$D$5:$D$304,B64),"")</f>
        <v/>
      </c>
      <c r="G64" s="41" t="str">
        <f>IF(N(C64)=0,"",IF(C64&lt;10,"样本太少",""))</f>
        <v/>
      </c>
    </row>
    <row r="65">
      <c r="B65" s="62" t="str">
        <f>T('参数'!$B$25)</f>
        <v>趋势跟随</v>
      </c>
      <c r="C65" s="59">
        <f>IF(B65="","",COUNTIFS('交易记录'!$Y$5:$Y$304,"已平仓",'交易记录'!$D$5:$D$304,B65))</f>
        <v>0</v>
      </c>
      <c r="D65" s="60" t="str">
        <f>IF(N(C65)&gt;0,COUNTIFS('交易记录'!$Y$5:$Y$304,"已平仓",'交易记录'!$D$5:$D$304,B65,'交易记录'!$AG$5:$AG$304,"&gt;0")/C65,"")</f>
        <v/>
      </c>
      <c r="E65" s="56" t="str">
        <f>IF(N(C65)&gt;0,SUMIFS('交易记录'!$AG$5:$AG$304,'交易记录'!$Y$5:$Y$304,"已平仓",'交易记录'!$D$5:$D$304,B65)/C65,"")</f>
        <v/>
      </c>
      <c r="F65" s="56" t="str">
        <f>IF(N(C65)&gt;0,SUMIFS('交易记录'!$AG$5:$AG$304,'交易记录'!$Y$5:$Y$304,"已平仓",'交易记录'!$D$5:$D$304,B65),"")</f>
        <v/>
      </c>
      <c r="G65" s="41" t="str">
        <f>IF(N(C65)=0,"",IF(C65&lt;10,"样本太少",""))</f>
        <v/>
      </c>
    </row>
    <row r="66">
      <c r="B66" s="62" t="str">
        <f>T('参数'!$B$26)</f>
        <v>其他</v>
      </c>
      <c r="C66" s="59">
        <f>IF(B66="","",COUNTIFS('交易记录'!$Y$5:$Y$304,"已平仓",'交易记录'!$D$5:$D$304,B66))</f>
        <v>0</v>
      </c>
      <c r="D66" s="60" t="str">
        <f>IF(N(C66)&gt;0,COUNTIFS('交易记录'!$Y$5:$Y$304,"已平仓",'交易记录'!$D$5:$D$304,B66,'交易记录'!$AG$5:$AG$304,"&gt;0")/C66,"")</f>
        <v/>
      </c>
      <c r="E66" s="56" t="str">
        <f>IF(N(C66)&gt;0,SUMIFS('交易记录'!$AG$5:$AG$304,'交易记录'!$Y$5:$Y$304,"已平仓",'交易记录'!$D$5:$D$304,B66)/C66,"")</f>
        <v/>
      </c>
      <c r="F66" s="56" t="str">
        <f>IF(N(C66)&gt;0,SUMIFS('交易记录'!$AG$5:$AG$304,'交易记录'!$Y$5:$Y$304,"已平仓",'交易记录'!$D$5:$D$304,B66),"")</f>
        <v/>
      </c>
      <c r="G66" s="41" t="str">
        <f>IF(N(C66)=0,"",IF(C66&lt;10,"样本太少",""))</f>
        <v/>
      </c>
    </row>
    <row r="67">
      <c r="B67" s="62" t="str">
        <f>T('参数'!$B$27)</f>
        <v/>
      </c>
      <c r="C67" s="59" t="str">
        <f>IF(B67="","",COUNTIFS('交易记录'!$Y$5:$Y$304,"已平仓",'交易记录'!$D$5:$D$304,B67))</f>
        <v/>
      </c>
      <c r="D67" s="60" t="str">
        <f>IF(N(C67)&gt;0,COUNTIFS('交易记录'!$Y$5:$Y$304,"已平仓",'交易记录'!$D$5:$D$304,B67,'交易记录'!$AG$5:$AG$304,"&gt;0")/C67,"")</f>
        <v/>
      </c>
      <c r="E67" s="56" t="str">
        <f>IF(N(C67)&gt;0,SUMIFS('交易记录'!$AG$5:$AG$304,'交易记录'!$Y$5:$Y$304,"已平仓",'交易记录'!$D$5:$D$304,B67)/C67,"")</f>
        <v/>
      </c>
      <c r="F67" s="56" t="str">
        <f>IF(N(C67)&gt;0,SUMIFS('交易记录'!$AG$5:$AG$304,'交易记录'!$Y$5:$Y$304,"已平仓",'交易记录'!$D$5:$D$304,B67),"")</f>
        <v/>
      </c>
      <c r="G67" s="41" t="str">
        <f>IF(N(C67)=0,"",IF(C67&lt;10,"样本太少",""))</f>
        <v/>
      </c>
    </row>
    <row r="68">
      <c r="B68" s="62" t="str">
        <f>T('参数'!$B$28)</f>
        <v/>
      </c>
      <c r="C68" s="59" t="str">
        <f>IF(B68="","",COUNTIFS('交易记录'!$Y$5:$Y$304,"已平仓",'交易记录'!$D$5:$D$304,B68))</f>
        <v/>
      </c>
      <c r="D68" s="60" t="str">
        <f>IF(N(C68)&gt;0,COUNTIFS('交易记录'!$Y$5:$Y$304,"已平仓",'交易记录'!$D$5:$D$304,B68,'交易记录'!$AG$5:$AG$304,"&gt;0")/C68,"")</f>
        <v/>
      </c>
      <c r="E68" s="56" t="str">
        <f>IF(N(C68)&gt;0,SUMIFS('交易记录'!$AG$5:$AG$304,'交易记录'!$Y$5:$Y$304,"已平仓",'交易记录'!$D$5:$D$304,B68)/C68,"")</f>
        <v/>
      </c>
      <c r="F68" s="56" t="str">
        <f>IF(N(C68)&gt;0,SUMIFS('交易记录'!$AG$5:$AG$304,'交易记录'!$Y$5:$Y$304,"已平仓",'交易记录'!$D$5:$D$304,B68),"")</f>
        <v/>
      </c>
      <c r="G68" s="41" t="str">
        <f>IF(N(C68)=0,"",IF(C68&lt;10,"样本太少",""))</f>
        <v/>
      </c>
    </row>
    <row r="69">
      <c r="B69" s="62" t="str">
        <f>T('参数'!$B$29)</f>
        <v/>
      </c>
      <c r="C69" s="59" t="str">
        <f>IF(B69="","",COUNTIFS('交易记录'!$Y$5:$Y$304,"已平仓",'交易记录'!$D$5:$D$304,B69))</f>
        <v/>
      </c>
      <c r="D69" s="60" t="str">
        <f>IF(N(C69)&gt;0,COUNTIFS('交易记录'!$Y$5:$Y$304,"已平仓",'交易记录'!$D$5:$D$304,B69,'交易记录'!$AG$5:$AG$304,"&gt;0")/C69,"")</f>
        <v/>
      </c>
      <c r="E69" s="56" t="str">
        <f>IF(N(C69)&gt;0,SUMIFS('交易记录'!$AG$5:$AG$304,'交易记录'!$Y$5:$Y$304,"已平仓",'交易记录'!$D$5:$D$304,B69)/C69,"")</f>
        <v/>
      </c>
      <c r="F69" s="56" t="str">
        <f>IF(N(C69)&gt;0,SUMIFS('交易记录'!$AG$5:$AG$304,'交易记录'!$Y$5:$Y$304,"已平仓",'交易记录'!$D$5:$D$304,B69),"")</f>
        <v/>
      </c>
      <c r="G69" s="41" t="str">
        <f>IF(N(C69)=0,"",IF(C69&lt;10,"样本太少",""))</f>
        <v/>
      </c>
    </row>
    <row r="71">
      <c r="B71" s="26" t="inlineStr">
        <is>
          <t>开仓时段</t>
        </is>
      </c>
      <c r="C71" s="26" t="inlineStr">
        <is>
          <t>笔数</t>
        </is>
      </c>
      <c r="D71" s="26" t="inlineStr">
        <is>
          <t>胜率</t>
        </is>
      </c>
      <c r="E71" s="26" t="inlineStr">
        <is>
          <t>每笔平均净R</t>
        </is>
      </c>
      <c r="F71" s="26" t="inlineStr">
        <is>
          <t>合计净R</t>
        </is>
      </c>
      <c r="G71" s="26" t="inlineStr">
        <is>
          <t>样本</t>
        </is>
      </c>
    </row>
    <row r="72">
      <c r="B72" s="62" t="str">
        <f>T('参数'!$I$22)</f>
        <v>盘前</v>
      </c>
      <c r="C72" s="59">
        <f>IF(B72="","",COUNTIFS('交易记录'!$Y$5:$Y$304,"已平仓",'交易记录'!$T$5:$T$304,B72))</f>
        <v>0</v>
      </c>
      <c r="D72" s="60" t="str">
        <f>IF(N(C72)&gt;0,COUNTIFS('交易记录'!$Y$5:$Y$304,"已平仓",'交易记录'!$T$5:$T$304,B72,'交易记录'!$AG$5:$AG$304,"&gt;0")/C72,"")</f>
        <v/>
      </c>
      <c r="E72" s="56" t="str">
        <f>IF(N(C72)&gt;0,SUMIFS('交易记录'!$AG$5:$AG$304,'交易记录'!$Y$5:$Y$304,"已平仓",'交易记录'!$T$5:$T$304,B72)/C72,"")</f>
        <v/>
      </c>
      <c r="F72" s="56" t="str">
        <f>IF(N(C72)&gt;0,SUMIFS('交易记录'!$AG$5:$AG$304,'交易记录'!$Y$5:$Y$304,"已平仓",'交易记录'!$T$5:$T$304,B72),"")</f>
        <v/>
      </c>
      <c r="G72" s="41" t="str">
        <f>IF(N(C72)=0,"",IF(C72&lt;10,"样本太少",""))</f>
        <v/>
      </c>
    </row>
    <row r="73">
      <c r="B73" s="62" t="str">
        <f>T('参数'!$I$23)</f>
        <v>常规</v>
      </c>
      <c r="C73" s="59">
        <f>IF(B73="","",COUNTIFS('交易记录'!$Y$5:$Y$304,"已平仓",'交易记录'!$T$5:$T$304,B73))</f>
        <v>0</v>
      </c>
      <c r="D73" s="60" t="str">
        <f>IF(N(C73)&gt;0,COUNTIFS('交易记录'!$Y$5:$Y$304,"已平仓",'交易记录'!$T$5:$T$304,B73,'交易记录'!$AG$5:$AG$304,"&gt;0")/C73,"")</f>
        <v/>
      </c>
      <c r="E73" s="56" t="str">
        <f>IF(N(C73)&gt;0,SUMIFS('交易记录'!$AG$5:$AG$304,'交易记录'!$Y$5:$Y$304,"已平仓",'交易记录'!$T$5:$T$304,B73)/C73,"")</f>
        <v/>
      </c>
      <c r="F73" s="56" t="str">
        <f>IF(N(C73)&gt;0,SUMIFS('交易记录'!$AG$5:$AG$304,'交易记录'!$Y$5:$Y$304,"已平仓",'交易记录'!$T$5:$T$304,B73),"")</f>
        <v/>
      </c>
      <c r="G73" s="41" t="str">
        <f>IF(N(C73)=0,"",IF(C73&lt;10,"样本太少",""))</f>
        <v/>
      </c>
    </row>
    <row r="74">
      <c r="B74" s="62" t="str">
        <f>T('参数'!$I$24)</f>
        <v>盘后</v>
      </c>
      <c r="C74" s="59">
        <f>IF(B74="","",COUNTIFS('交易记录'!$Y$5:$Y$304,"已平仓",'交易记录'!$T$5:$T$304,B74))</f>
        <v>0</v>
      </c>
      <c r="D74" s="60" t="str">
        <f>IF(N(C74)&gt;0,COUNTIFS('交易记录'!$Y$5:$Y$304,"已平仓",'交易记录'!$T$5:$T$304,B74,'交易记录'!$AG$5:$AG$304,"&gt;0")/C74,"")</f>
        <v/>
      </c>
      <c r="E74" s="56" t="str">
        <f>IF(N(C74)&gt;0,SUMIFS('交易记录'!$AG$5:$AG$304,'交易记录'!$Y$5:$Y$304,"已平仓",'交易记录'!$T$5:$T$304,B74)/C74,"")</f>
        <v/>
      </c>
      <c r="F74" s="56" t="str">
        <f>IF(N(C74)&gt;0,SUMIFS('交易记录'!$AG$5:$AG$304,'交易记录'!$Y$5:$Y$304,"已平仓",'交易记录'!$T$5:$T$304,B74),"")</f>
        <v/>
      </c>
      <c r="G74" s="41" t="str">
        <f>IF(N(C74)=0,"",IF(C74&lt;10,"样本太少",""))</f>
        <v/>
      </c>
    </row>
    <row r="76">
      <c r="B76" s="15" t="inlineStr">
        <is>
          <t>5. 下周只改一处</t>
        </is>
      </c>
    </row>
    <row r="77" ht="34" customHeight="1">
      <c r="B77" s="50" t="inlineStr">
        <is>
          <t>本区间最多的偏差是什么，发生在什么情况下</t>
        </is>
      </c>
      <c r="C77" s="31" t="n"/>
      <c r="D77" s="31" t="n"/>
      <c r="E77" s="31" t="n"/>
      <c r="F77" s="31" t="n"/>
      <c r="G77" s="31" t="n"/>
      <c r="H77" s="31" t="n"/>
      <c r="I77" s="31" t="n"/>
      <c r="J77" s="31" t="n"/>
    </row>
    <row r="78" ht="34" customHeight="1">
      <c r="B78" s="50" t="inlineStr">
        <is>
          <t>下周只练的一个动作（写成能检查的规则）</t>
        </is>
      </c>
      <c r="C78" s="31" t="n"/>
      <c r="D78" s="31" t="n"/>
      <c r="E78" s="31" t="n"/>
      <c r="F78" s="31" t="n"/>
      <c r="G78" s="31" t="n"/>
      <c r="H78" s="31" t="n"/>
      <c r="I78" s="31" t="n"/>
      <c r="J78" s="31" t="n"/>
    </row>
    <row r="79" ht="34" customHeight="1">
      <c r="B79" s="50" t="inlineStr">
        <is>
          <t>下周不做的情况</t>
        </is>
      </c>
      <c r="C79" s="31" t="n"/>
      <c r="D79" s="31" t="n"/>
      <c r="E79" s="31" t="n"/>
      <c r="F79" s="31" t="n"/>
      <c r="G79" s="31" t="n"/>
      <c r="H79" s="31" t="n"/>
      <c r="I79" s="31" t="n"/>
      <c r="J79" s="31" t="n"/>
    </row>
    <row r="80" ht="34" customHeight="1">
      <c r="B80" s="50" t="inlineStr">
        <is>
          <t>上一次定的那一处，这次做到了吗</t>
        </is>
      </c>
      <c r="C80" s="31" t="n"/>
      <c r="D80" s="31" t="n"/>
      <c r="E80" s="31" t="n"/>
      <c r="F80" s="31" t="n"/>
      <c r="G80" s="31" t="n"/>
      <c r="H80" s="31" t="n"/>
      <c r="I80" s="31" t="n"/>
      <c r="J80" s="31" t="n"/>
    </row>
  </sheetData>
  <mergeCells count="45">
    <mergeCell ref="C78:J78"/>
    <mergeCell ref="E19:J19"/>
    <mergeCell ref="E28:J28"/>
    <mergeCell ref="C77:J77"/>
    <mergeCell ref="E40:J40"/>
    <mergeCell ref="I11:J11"/>
    <mergeCell ref="E31:J31"/>
    <mergeCell ref="E34:J34"/>
    <mergeCell ref="E30:J30"/>
    <mergeCell ref="C79:J79"/>
    <mergeCell ref="E36:J36"/>
    <mergeCell ref="I7:J7"/>
    <mergeCell ref="E27:J27"/>
    <mergeCell ref="E45:J45"/>
    <mergeCell ref="E26:J26"/>
    <mergeCell ref="E44:J44"/>
    <mergeCell ref="C80:J80"/>
    <mergeCell ref="E25:J25"/>
    <mergeCell ref="E29:J29"/>
    <mergeCell ref="I12:J12"/>
    <mergeCell ref="E35:J35"/>
    <mergeCell ref="A1:G1"/>
    <mergeCell ref="E32:J32"/>
    <mergeCell ref="E41:J41"/>
    <mergeCell ref="E22:J22"/>
    <mergeCell ref="E37:J37"/>
    <mergeCell ref="E18:J18"/>
    <mergeCell ref="E43:J43"/>
    <mergeCell ref="I14:J14"/>
    <mergeCell ref="I8:J8"/>
    <mergeCell ref="E21:J21"/>
    <mergeCell ref="H1:J1"/>
    <mergeCell ref="E33:J33"/>
    <mergeCell ref="E24:J24"/>
    <mergeCell ref="E42:J42"/>
    <mergeCell ref="I10:J10"/>
    <mergeCell ref="E17:J17"/>
    <mergeCell ref="E23:J23"/>
    <mergeCell ref="E39:J39"/>
    <mergeCell ref="I13:J13"/>
    <mergeCell ref="A2:J2"/>
    <mergeCell ref="E20:J20"/>
    <mergeCell ref="E38:J38"/>
    <mergeCell ref="I9:J9"/>
    <mergeCell ref="F4:J4"/>
  </mergeCells>
  <conditionalFormatting sqref="H8:H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7:D27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C28:D28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C29:D29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C30:D30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C31:D31">
    <cfRule type="cellIs" priority="11" operator="greaterThan" dxfId="0">
      <formula>0</formula>
    </cfRule>
    <cfRule type="cellIs" priority="12" operator="lessThan" dxfId="1">
      <formula>0</formula>
    </cfRule>
  </conditionalFormatting>
  <conditionalFormatting sqref="C33:D33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C41:D41">
    <cfRule type="cellIs" priority="15" operator="greaterThan" dxfId="0">
      <formula>0</formula>
    </cfRule>
    <cfRule type="cellIs" priority="16" operator="lessThan" dxfId="1">
      <formula>0</formula>
    </cfRule>
  </conditionalFormatting>
  <conditionalFormatting sqref="C42:D42">
    <cfRule type="cellIs" priority="17" operator="greaterThan" dxfId="0">
      <formula>0</formula>
    </cfRule>
    <cfRule type="cellIs" priority="18" operator="lessThan" dxfId="1">
      <formula>0</formula>
    </cfRule>
  </conditionalFormatting>
  <conditionalFormatting sqref="C45:D45">
    <cfRule type="cellIs" priority="19" operator="greaterThan" dxfId="0">
      <formula>0</formula>
    </cfRule>
    <cfRule type="cellIs" priority="20" operator="lessThan" dxfId="1">
      <formula>0</formula>
    </cfRule>
  </conditionalFormatting>
  <conditionalFormatting sqref="C40:D40">
    <cfRule type="cellIs" priority="21" operator="greaterThan" dxfId="5">
      <formula>0</formula>
    </cfRule>
  </conditionalFormatting>
  <conditionalFormatting sqref="F49:F58">
    <cfRule type="cellIs" priority="22" operator="equal" dxfId="5">
      <formula>"本区间最多"</formula>
    </cfRule>
  </conditionalFormatting>
  <conditionalFormatting sqref="E49:E58">
    <cfRule type="cellIs" priority="23" operator="greaterThan" dxfId="0">
      <formula>0</formula>
    </cfRule>
    <cfRule type="cellIs" priority="24" operator="lessThan" dxfId="1">
      <formula>0</formula>
    </cfRule>
  </conditionalFormatting>
  <conditionalFormatting sqref="E62:F69">
    <cfRule type="cellIs" priority="25" operator="greaterThan" dxfId="0">
      <formula>0</formula>
    </cfRule>
    <cfRule type="cellIs" priority="26" operator="lessThan" dxfId="1">
      <formula>0</formula>
    </cfRule>
  </conditionalFormatting>
  <conditionalFormatting sqref="E72:F74">
    <cfRule type="cellIs" priority="27" operator="greaterThan" dxfId="0">
      <formula>0</formula>
    </cfRule>
    <cfRule type="cellIs" priority="28" operator="lessThan" dxfId="1">
      <formula>0</formula>
    </cfRule>
  </conditionalFormatting>
  <dataValidations count="2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4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  <rowBreaks count="1" manualBreakCount="1">
    <brk id="59" min="0" max="16383" man="1"/>
  </rowBreaks>
</worksheet>
</file>

<file path=xl/worksheets/sheet9.xml><?xml version="1.0" encoding="utf-8"?>
<worksheet xmlns="http://schemas.openxmlformats.org/spreadsheetml/2006/main">
  <sheetPr>
    <tabColor rgb="00F0A35E"/>
    <outlinePr summaryBelow="1" summaryRight="1"/>
    <pageSetUpPr fitToPage="0"/>
  </sheetPr>
  <dimension ref="A1:AN2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.5" customWidth="1" min="2" max="2"/>
    <col width="9" customWidth="1" min="3" max="3"/>
    <col width="8" customWidth="1" min="4" max="4"/>
    <col width="5" customWidth="1" min="5" max="5"/>
    <col width="8" customWidth="1" min="6" max="6"/>
    <col width="8" customWidth="1" min="7" max="7"/>
    <col width="8" customWidth="1" min="8" max="8"/>
    <col width="6.5" customWidth="1" min="9" max="9"/>
    <col width="8.5" customWidth="1" min="10" max="10"/>
    <col width="8" customWidth="1" min="11" max="11"/>
    <col width="8.5" customWidth="1" min="12" max="12"/>
    <col width="10" customWidth="1" min="13" max="13"/>
    <col width="7.5" customWidth="1" min="14" max="14"/>
    <col width="7.5" customWidth="1" min="15" max="15"/>
    <col width="18" customWidth="1" min="16" max="16"/>
    <col width="7.5" customWidth="1" min="17" max="17"/>
    <col width="10.5" customWidth="1" min="18" max="18"/>
    <col width="10.5" customWidth="1" min="19" max="19"/>
    <col width="6.5" customWidth="1" min="20" max="20"/>
    <col width="7.5" customWidth="1" min="21" max="21"/>
    <col width="8" customWidth="1" min="22" max="22"/>
    <col width="7.5" customWidth="1" min="23" max="23"/>
    <col width="8" customWidth="1" min="24" max="24"/>
    <col width="7.5" customWidth="1" min="25" max="25"/>
    <col width="6" customWidth="1" min="26" max="26"/>
    <col width="8" customWidth="1" min="27" max="27"/>
    <col width="8" customWidth="1" min="28" max="28"/>
    <col width="7.5" customWidth="1" min="29" max="29"/>
    <col width="8" customWidth="1" min="30" max="30"/>
    <col width="9.5" customWidth="1" min="31" max="31"/>
    <col width="6.5" customWidth="1" min="32" max="32"/>
    <col width="6.5" customWidth="1" min="33" max="33"/>
    <col width="7.5" customWidth="1" min="34" max="34"/>
    <col width="9" customWidth="1" min="35" max="35"/>
    <col width="6" customWidth="1" min="36" max="36"/>
    <col width="8" customWidth="1" min="37" max="37"/>
    <col width="30" customWidth="1" min="38" max="38"/>
    <col width="7" customWidth="1" min="39" max="39"/>
    <col width="7" customWidth="1" min="40" max="40"/>
  </cols>
  <sheetData>
    <row r="1" ht="30" customHeight="1">
      <c r="A1" s="13" t="inlineStr">
        <is>
          <t>示例 · 美股交易日志：交易记录</t>
        </is>
      </c>
      <c r="AL1" s="14" t="inlineStr">
        <is>
          <t>TradeLearn · XtradingTime 交易内训</t>
        </is>
      </c>
    </row>
    <row r="2" ht="20" customHeight="1">
      <c r="A2" s="63" t="inlineStr">
        <is>
          <t>虚构示例，仅演示填法：品种、日期、价格和成交全部虚构，不是真实行情，也不构成任何买卖建议。</t>
        </is>
      </c>
    </row>
    <row r="3" ht="18" customHeight="1">
      <c r="A3" s="28" t="inlineStr">
        <is>
          <t>计划（下单前写，平仓后不改）</t>
        </is>
      </c>
      <c r="B3" s="28" t="n"/>
      <c r="C3" s="28" t="n"/>
      <c r="D3" s="28" t="n"/>
      <c r="E3" s="28" t="n"/>
      <c r="F3" s="28" t="n"/>
      <c r="G3" s="28" t="n"/>
      <c r="H3" s="28" t="n"/>
      <c r="I3" s="28" t="n"/>
      <c r="J3" s="28" t="n"/>
      <c r="K3" s="28" t="n"/>
      <c r="L3" s="28" t="n"/>
      <c r="M3" s="28" t="inlineStr">
        <is>
          <t>财报与做空</t>
        </is>
      </c>
      <c r="N3" s="28" t="n"/>
      <c r="O3" s="28" t="n"/>
      <c r="P3" s="28" t="inlineStr">
        <is>
          <t>失效条件</t>
        </is>
      </c>
      <c r="Q3" s="28" t="inlineStr">
        <is>
          <t>实际成交（从成交明细自动汇总）</t>
        </is>
      </c>
      <c r="R3" s="28" t="n"/>
      <c r="S3" s="28" t="n"/>
      <c r="T3" s="28" t="n"/>
      <c r="U3" s="28" t="n"/>
      <c r="V3" s="28" t="n"/>
      <c r="W3" s="28" t="n"/>
      <c r="X3" s="28" t="n"/>
      <c r="Y3" s="28" t="n"/>
      <c r="Z3" s="28" t="n"/>
      <c r="AA3" s="28" t="n"/>
      <c r="AB3" s="28" t="n"/>
      <c r="AC3" s="28" t="inlineStr">
        <is>
          <t>结果（费后）</t>
        </is>
      </c>
      <c r="AD3" s="28" t="n"/>
      <c r="AE3" s="28" t="n"/>
      <c r="AF3" s="28" t="n"/>
      <c r="AG3" s="28" t="n"/>
      <c r="AH3" s="28" t="n"/>
      <c r="AI3" s="28" t="n"/>
      <c r="AJ3" s="28" t="inlineStr">
        <is>
          <t>过程</t>
        </is>
      </c>
      <c r="AK3" s="28" t="n"/>
      <c r="AL3" s="28" t="n"/>
      <c r="AM3" s="28" t="inlineStr">
        <is>
          <t>曲线</t>
        </is>
      </c>
      <c r="AN3" s="28" t="n"/>
    </row>
    <row r="4" ht="79.59999999999999" customHeight="1">
      <c r="A4" s="26" t="inlineStr">
        <is>
          <t>编号</t>
        </is>
      </c>
      <c r="B4" s="26" t="inlineStr">
        <is>
          <t>计划日期</t>
        </is>
      </c>
      <c r="C4" s="26" t="inlineStr">
        <is>
          <t>股票</t>
        </is>
      </c>
      <c r="D4" s="26" t="inlineStr">
        <is>
          <t>策略</t>
        </is>
      </c>
      <c r="E4" s="26" t="inlineStr">
        <is>
          <t>方向</t>
        </is>
      </c>
      <c r="F4" s="26" t="inlineStr">
        <is>
          <t>计划入场价</t>
        </is>
      </c>
      <c r="G4" s="26" t="inlineStr">
        <is>
          <t>止损价</t>
        </is>
      </c>
      <c r="H4" s="26" t="inlineStr">
        <is>
          <t>目标价</t>
        </is>
      </c>
      <c r="I4" s="26" t="inlineStr">
        <is>
          <t>计划风报比</t>
        </is>
      </c>
      <c r="J4" s="26" t="inlineStr">
        <is>
          <t>建议股数</t>
        </is>
      </c>
      <c r="K4" s="26" t="inlineStr">
        <is>
          <t>计划股数</t>
        </is>
      </c>
      <c r="L4" s="26" t="inlineStr">
        <is>
          <t>1R（美元）</t>
        </is>
      </c>
      <c r="M4" s="26" t="inlineStr">
        <is>
          <t>持仓期间的财报日</t>
        </is>
      </c>
      <c r="N4" s="26" t="inlineStr">
        <is>
          <t>财报跳空情景亏（R）</t>
        </is>
      </c>
      <c r="O4" s="26" t="inlineStr">
        <is>
          <t>借券年化费率（做空才填）</t>
        </is>
      </c>
      <c r="P4" s="26" t="inlineStr">
        <is>
          <t>失效条件 / 不做的情况</t>
        </is>
      </c>
      <c r="Q4" s="26" t="inlineStr">
        <is>
          <t>执行情况</t>
        </is>
      </c>
      <c r="R4" s="26" t="inlineStr">
        <is>
          <t>开仓日</t>
        </is>
      </c>
      <c r="S4" s="26" t="inlineStr">
        <is>
          <t>平仓日</t>
        </is>
      </c>
      <c r="T4" s="26" t="inlineStr">
        <is>
          <t>开仓时段</t>
        </is>
      </c>
      <c r="U4" s="26" t="inlineStr">
        <is>
          <t>开仓数量</t>
        </is>
      </c>
      <c r="V4" s="26" t="inlineStr">
        <is>
          <t>开仓均价</t>
        </is>
      </c>
      <c r="W4" s="26" t="inlineStr">
        <is>
          <t>平仓数量</t>
        </is>
      </c>
      <c r="X4" s="26" t="inlineStr">
        <is>
          <t>平仓均价</t>
        </is>
      </c>
      <c r="Y4" s="26" t="inlineStr">
        <is>
          <t>状态</t>
        </is>
      </c>
      <c r="Z4" s="26" t="inlineStr">
        <is>
          <t>日内交易</t>
        </is>
      </c>
      <c r="AA4" s="26" t="inlineStr">
        <is>
          <t>滚动 5 个交易日的日内交易次数</t>
        </is>
      </c>
      <c r="AB4" s="26" t="inlineStr">
        <is>
          <t>财报提醒</t>
        </is>
      </c>
      <c r="AC4" s="26" t="inlineStr">
        <is>
          <t>借券费</t>
        </is>
      </c>
      <c r="AD4" s="26" t="inlineStr">
        <is>
          <t>费用</t>
        </is>
      </c>
      <c r="AE4" s="26" t="inlineStr">
        <is>
          <t>净盈亏</t>
        </is>
      </c>
      <c r="AF4" s="26" t="inlineStr">
        <is>
          <t>毛R（不扣费用）</t>
        </is>
      </c>
      <c r="AG4" s="26" t="inlineStr">
        <is>
          <t>净R</t>
        </is>
      </c>
      <c r="AH4" s="26" t="inlineStr">
        <is>
          <t>进场偏差（不利为正）</t>
        </is>
      </c>
      <c r="AI4" s="26" t="inlineStr">
        <is>
          <t>出场偏差（亏单比止损、赚单比目标，不利为正）</t>
        </is>
      </c>
      <c r="AJ4" s="26" t="inlineStr">
        <is>
          <t>过程打分</t>
        </is>
      </c>
      <c r="AK4" s="26" t="inlineStr">
        <is>
          <t>偏差标签</t>
        </is>
      </c>
      <c r="AL4" s="26" t="inlineStr">
        <is>
          <t>备注（截图编号、下一步只改一处）</t>
        </is>
      </c>
      <c r="AM4" s="26" t="inlineStr">
        <is>
          <t>累计净R</t>
        </is>
      </c>
      <c r="AN4" s="26" t="inlineStr">
        <is>
          <t>离高点回撤</t>
        </is>
      </c>
    </row>
    <row r="5" ht="32" customHeight="1">
      <c r="A5" s="29" t="n">
        <v>1</v>
      </c>
      <c r="B5" s="30" t="n">
        <v>47609</v>
      </c>
      <c r="C5" s="31" t="inlineStr">
        <is>
          <t>示例股甲</t>
        </is>
      </c>
      <c r="D5" s="32" t="inlineStr">
        <is>
          <t>突破</t>
        </is>
      </c>
      <c r="E5" s="32" t="inlineStr">
        <is>
          <t>多</t>
        </is>
      </c>
      <c r="F5" s="33" t="n">
        <v>50</v>
      </c>
      <c r="G5" s="33" t="n">
        <v>48.5</v>
      </c>
      <c r="H5" s="33" t="n">
        <v>54.5</v>
      </c>
      <c r="I5" s="34">
        <f>IF(AND(ISNUMBER(F5),ISNUMBER(G5),ISNUMBER(H5)),IF(OR(AND(E5="多",F5&gt;G5),AND(E5="空",F5&lt;G5)),ABS(H5-F5)/ABS(F5-G5),"止损方向不对"),"")</f>
        <v>3</v>
      </c>
      <c r="J5" s="35">
        <f>IF(AND(ISNUMBER(F5),ISNUMBER(G5)),IF(F5=G5,"",IF(INT(ROUND('参数'!$C$7/(ABS(F5-G5)*1+2*'参数'!$C$11+N('参数'!$C$14)*F5+N('参数'!$C$15))/1,6))*1&gt;0,INT(ROUND('参数'!$C$7/(ABS(F5-G5)*1+2*'参数'!$C$11+N('参数'!$C$14)*F5+N('参数'!$C$15))/1,6))*1,"预算不足，这笔不做")),"")</f>
        <v>132</v>
      </c>
      <c r="K5" s="36" t="n">
        <v>130</v>
      </c>
      <c r="L5" s="20">
        <f>IF(AND(ISNUMBER(F5),ISNUMBER(G5),ISNUMBER(K5)),IF(AND(F5&lt;&gt;G5,K5&gt;0),ABS(F5-G5)*K5*1,""),"")</f>
        <v>195</v>
      </c>
      <c r="M5" s="30" t="n"/>
      <c r="N5" s="37" t="str">
        <f>IF(AND(ISNUMBER(L5),ISNUMBER(M5)),IF(E5="空",(G5*(1+'参数'!$C$17)-F5),(F5-G5*(1-'参数'!$C$17)))*K5/L5,"")</f>
        <v/>
      </c>
      <c r="O5" s="38" t="n"/>
      <c r="P5" s="31" t="inlineStr">
        <is>
          <t>收盘跌回 49 下方就走</t>
        </is>
      </c>
      <c r="Q5" s="32" t="inlineStr">
        <is>
          <t>已执行</t>
        </is>
      </c>
      <c r="R5" s="39">
        <f>IF(N(U5)&gt;0,SUMPRODUCT(LARGE(('例-成交明细'!$A$5:$A$804=A5)*('例-成交明细'!$D$5:$D$804=IF(E5="空","卖","买"))*'例-成交明细'!$B$5:$B$804,COUNTIFS('例-成交明细'!$A$5:$A$804,A5,'例-成交明细'!$D$5:$D$804,IF(E5="空","卖","买")))),"")</f>
        <v>47609.0</v>
      </c>
      <c r="S5" s="39">
        <f>IF(AND(N(U5)&gt;0,N(W5)&gt;=N(U5)),SUMPRODUCT(MAX(('例-成交明细'!$A$5:$A$804=A5)*('例-成交明细'!$D$5:$D$804=IF(E5="空","买","卖"))*'例-成交明细'!$B$5:$B$804)),"")</f>
        <v>47612.0</v>
      </c>
      <c r="T5" s="32" t="inlineStr">
        <is>
          <t>常规</t>
        </is>
      </c>
      <c r="U5" s="35">
        <f>IF(A5="","",SUMIFS('例-成交明细'!$F$5:$F$804,'例-成交明细'!$A$5:$A$804,A5,'例-成交明细'!$D$5:$D$804,IF(E5="空","卖","买")))</f>
        <v>130</v>
      </c>
      <c r="V5" s="40">
        <f>IF(N(U5)&gt;0,SUMIFS('例-成交明细'!$H$5:$H$804,'例-成交明细'!$A$5:$A$804,A5,'例-成交明细'!$D$5:$D$804,IF(E5="空","卖","买"))/U5,"")</f>
        <v>50.05</v>
      </c>
      <c r="W5" s="35">
        <f>IF(A5="","",SUMIFS('例-成交明细'!$F$5:$F$804,'例-成交明细'!$A$5:$A$804,A5,'例-成交明细'!$D$5:$D$804,IF(E5="空","买","卖")))</f>
        <v>130</v>
      </c>
      <c r="X5" s="40">
        <f>IF(N(W5)&gt;0,SUMIFS('例-成交明细'!$H$5:$H$804,'例-成交明细'!$A$5:$A$804,A5,'例-成交明细'!$D$5:$D$804,IF(E5="空","买","卖"))/W5,"")</f>
        <v>54.4</v>
      </c>
      <c r="Y5" s="41" t="str">
        <f>IF(A5="","",IF(Q5&lt;&gt;"已执行",IF(Q5="","未填执行情况",Q5),IF(N(U5)=0,"待录成交",IF(N(W5)&gt;N(U5),"平仓多于开仓",IF(N(W5)&lt;N(U5),"持仓中","已平仓")))))</f>
        <v>已平仓</v>
      </c>
      <c r="Z5" s="41" t="str">
        <f>IF(AND(ISNUMBER(R5),ISNUMBER(S5)),IF(R5=S5,"日内",""),"")</f>
        <v/>
      </c>
      <c r="AA5" s="42" t="str">
        <f>IF(Z5&lt;&gt;"日内","",COUNTIFS($Z$5:$Z$304,"日内",$S$5:$S$304,"&gt;"&amp;WORKDAY(S5,-5),$S$5:$S$304,"&lt;="&amp;S5))</f>
        <v/>
      </c>
      <c r="AB5" s="41" t="str">
        <f>IF(OR(NOT(ISNUMBER(M5)),NOT(ISNUMBER(R5))),"",IF(AND(M5&gt;=R5,OR(NOT(ISNUMBER(S5)),M5&lt;=S5)),"持仓跨财报",""))</f>
        <v/>
      </c>
      <c r="AC5" s="20">
        <f>IF(AND(E5="空",ISNUMBER(O5),ISNUMBER(S5)),ROUND(O5*(S5-R5)/360*V5*U5,2),0)</f>
        <v>0</v>
      </c>
      <c r="AD5" s="43">
        <f>IF(N(U5)=0,"",SUMIFS('例-成交明细'!$L$5:$L$804,'例-成交明细'!$A$5:$A$804,A5)+AC5)</f>
        <v>2</v>
      </c>
      <c r="AE5" s="44">
        <f>IF(Y5&lt;&gt;"已平仓","",(SUMIFS('例-成交明细'!$H$5:$H$804,'例-成交明细'!$A$5:$A$804,A5,'例-成交明细'!$D$5:$D$804,"卖")-SUMIFS('例-成交明细'!$H$5:$H$804,'例-成交明细'!$A$5:$A$804,A5,'例-成交明细'!$D$5:$D$804,"买"))*1-AD5)</f>
        <v>563.5</v>
      </c>
      <c r="AF5" s="45">
        <f>IF(AND(Y5="已平仓",ISNUMBER(L5)),(SUMIFS('例-成交明细'!$H$5:$H$804,'例-成交明细'!$A$5:$A$804,A5,'例-成交明细'!$D$5:$D$804,"卖")-SUMIFS('例-成交明细'!$H$5:$H$804,'例-成交明细'!$A$5:$A$804,A5,'例-成交明细'!$D$5:$D$804,"买"))*1/L5,"")</f>
        <v>2.9</v>
      </c>
      <c r="AG5" s="45">
        <f>IF(AND(Y5="已平仓",ISNUMBER(L5)),AE5/L5,"")</f>
        <v>2.88974358974359</v>
      </c>
      <c r="AH5" s="46">
        <f>IF(AND(ISNUMBER(V5),ISNUMBER(F5)),IF(E5="空",F5-V5,V5-F5),"")</f>
        <v>0.0499999999999972</v>
      </c>
      <c r="AI5" s="46">
        <f>IF(OR(NOT(ISNUMBER(AE5)),NOT(ISNUMBER(X5))),"",IF(AE5&lt;0,IF(E5="空",X5-G5,G5-X5),IF(NOT(ISNUMBER(H5)),"",IF(E5="空",X5-H5,H5-X5))))</f>
        <v>0.100000000000001</v>
      </c>
      <c r="AJ5" s="32" t="inlineStr">
        <is>
          <t>A</t>
        </is>
      </c>
      <c r="AK5" s="32" t="inlineStr">
        <is>
          <t>无</t>
        </is>
      </c>
      <c r="AL5" s="31" t="inlineStr">
        <is>
          <t>到目标附近走完</t>
        </is>
      </c>
      <c r="AM5" s="45">
        <f>IF(A5="","",SUM(AG$5:AG5))</f>
        <v>2.88974358974359</v>
      </c>
      <c r="AN5" s="37">
        <f>IF(A5="","",MAX(0,MAX(AM$5:AM5))-AM5)</f>
        <v>0</v>
      </c>
    </row>
    <row r="6" ht="32" customHeight="1">
      <c r="A6" s="29" t="n">
        <v>2</v>
      </c>
      <c r="B6" s="30" t="n">
        <v>47610</v>
      </c>
      <c r="C6" s="31" t="inlineStr">
        <is>
          <t>示例股乙</t>
        </is>
      </c>
      <c r="D6" s="32" t="inlineStr">
        <is>
          <t>区间反转</t>
        </is>
      </c>
      <c r="E6" s="32" t="inlineStr">
        <is>
          <t>空</t>
        </is>
      </c>
      <c r="F6" s="33" t="n">
        <v>120</v>
      </c>
      <c r="G6" s="33" t="n">
        <v>123</v>
      </c>
      <c r="H6" s="33" t="n">
        <v>111</v>
      </c>
      <c r="I6" s="34">
        <f>IF(AND(ISNUMBER(F6),ISNUMBER(G6),ISNUMBER(H6)),IF(OR(AND(E6="多",F6&gt;G6),AND(E6="空",F6&lt;G6)),ABS(H6-F6)/ABS(F6-G6),"止损方向不对"),"")</f>
        <v>3</v>
      </c>
      <c r="J6" s="35">
        <f>IF(AND(ISNUMBER(F6),ISNUMBER(G6)),IF(F6=G6,"",IF(INT(ROUND('参数'!$C$7/(ABS(F6-G6)*1+2*'参数'!$C$11+N('参数'!$C$14)*F6+N('参数'!$C$15))/1,6))*1&gt;0,INT(ROUND('参数'!$C$7/(ABS(F6-G6)*1+2*'参数'!$C$11+N('参数'!$C$14)*F6+N('参数'!$C$15))/1,6))*1,"预算不足，这笔不做")),"")</f>
        <v>66</v>
      </c>
      <c r="K6" s="36" t="n">
        <v>60</v>
      </c>
      <c r="L6" s="20">
        <f>IF(AND(ISNUMBER(F6),ISNUMBER(G6),ISNUMBER(K6)),IF(AND(F6&lt;&gt;G6,K6&gt;0),ABS(F6-G6)*K6*1,""),"")</f>
        <v>180</v>
      </c>
      <c r="M6" s="30" t="n"/>
      <c r="N6" s="37" t="str">
        <f>IF(AND(ISNUMBER(L6),ISNUMBER(M6)),IF(E6="空",(G6*(1+'参数'!$C$17)-F6),(F6-G6*(1-'参数'!$C$17)))*K6/L6,"")</f>
        <v/>
      </c>
      <c r="O6" s="38" t="n">
        <v>0.02</v>
      </c>
      <c r="P6" s="31" t="inlineStr">
        <is>
          <t>放量站上 123 就认错</t>
        </is>
      </c>
      <c r="Q6" s="32" t="inlineStr">
        <is>
          <t>已执行</t>
        </is>
      </c>
      <c r="R6" s="39">
        <f>IF(N(U6)&gt;0,SUMPRODUCT(LARGE(('例-成交明细'!$A$5:$A$804=A6)*('例-成交明细'!$D$5:$D$804=IF(E6="空","卖","买"))*'例-成交明细'!$B$5:$B$804,COUNTIFS('例-成交明细'!$A$5:$A$804,A6,'例-成交明细'!$D$5:$D$804,IF(E6="空","卖","买")))),"")</f>
        <v>47610.0</v>
      </c>
      <c r="S6" s="39">
        <f>IF(AND(N(U6)&gt;0,N(W6)&gt;=N(U6)),SUMPRODUCT(MAX(('例-成交明细'!$A$5:$A$804=A6)*('例-成交明细'!$D$5:$D$804=IF(E6="空","买","卖"))*'例-成交明细'!$B$5:$B$804)),"")</f>
        <v>47617.0</v>
      </c>
      <c r="T6" s="32" t="inlineStr">
        <is>
          <t>常规</t>
        </is>
      </c>
      <c r="U6" s="35">
        <f>IF(A6="","",SUMIFS('例-成交明细'!$F$5:$F$804,'例-成交明细'!$A$5:$A$804,A6,'例-成交明细'!$D$5:$D$804,IF(E6="空","卖","买")))</f>
        <v>60</v>
      </c>
      <c r="V6" s="40">
        <f>IF(N(U6)&gt;0,SUMIFS('例-成交明细'!$H$5:$H$804,'例-成交明细'!$A$5:$A$804,A6,'例-成交明细'!$D$5:$D$804,IF(E6="空","卖","买"))/U6,"")</f>
        <v>119.9</v>
      </c>
      <c r="W6" s="35">
        <f>IF(A6="","",SUMIFS('例-成交明细'!$F$5:$F$804,'例-成交明细'!$A$5:$A$804,A6,'例-成交明细'!$D$5:$D$804,IF(E6="空","买","卖")))</f>
        <v>60</v>
      </c>
      <c r="X6" s="40">
        <f>IF(N(W6)&gt;0,SUMIFS('例-成交明细'!$H$5:$H$804,'例-成交明细'!$A$5:$A$804,A6,'例-成交明细'!$D$5:$D$804,IF(E6="空","买","卖"))/W6,"")</f>
        <v>112</v>
      </c>
      <c r="Y6" s="41" t="str">
        <f>IF(A6="","",IF(Q6&lt;&gt;"已执行",IF(Q6="","未填执行情况",Q6),IF(N(U6)=0,"待录成交",IF(N(W6)&gt;N(U6),"平仓多于开仓",IF(N(W6)&lt;N(U6),"持仓中","已平仓")))))</f>
        <v>已平仓</v>
      </c>
      <c r="Z6" s="41" t="str">
        <f>IF(AND(ISNUMBER(R6),ISNUMBER(S6)),IF(R6=S6,"日内",""),"")</f>
        <v/>
      </c>
      <c r="AA6" s="42" t="str">
        <f>IF(Z6&lt;&gt;"日内","",COUNTIFS($Z$5:$Z$304,"日内",$S$5:$S$304,"&gt;"&amp;WORKDAY(S6,-5),$S$5:$S$304,"&lt;="&amp;S6))</f>
        <v/>
      </c>
      <c r="AB6" s="41" t="str">
        <f>IF(OR(NOT(ISNUMBER(M6)),NOT(ISNUMBER(R6))),"",IF(AND(M6&gt;=R6,OR(NOT(ISNUMBER(S6)),M6&lt;=S6)),"持仓跨财报",""))</f>
        <v/>
      </c>
      <c r="AC6" s="20">
        <f>IF(AND(E6="空",ISNUMBER(O6),ISNUMBER(S6)),ROUND(O6*(S6-R6)/360*V6*U6,2),0)</f>
        <v>2.8</v>
      </c>
      <c r="AD6" s="43">
        <f>IF(N(U6)=0,"",SUMIFS('例-成交明细'!$L$5:$L$804,'例-成交明细'!$A$5:$A$804,A6)+AC6)</f>
        <v>4.8</v>
      </c>
      <c r="AE6" s="44">
        <f>IF(Y6&lt;&gt;"已平仓","",(SUMIFS('例-成交明细'!$H$5:$H$804,'例-成交明细'!$A$5:$A$804,A6,'例-成交明细'!$D$5:$D$804,"卖")-SUMIFS('例-成交明细'!$H$5:$H$804,'例-成交明细'!$A$5:$A$804,A6,'例-成交明细'!$D$5:$D$804,"买"))*1-AD6)</f>
        <v>469.2</v>
      </c>
      <c r="AF6" s="45">
        <f>IF(AND(Y6="已平仓",ISNUMBER(L6)),(SUMIFS('例-成交明细'!$H$5:$H$804,'例-成交明细'!$A$5:$A$804,A6,'例-成交明细'!$D$5:$D$804,"卖")-SUMIFS('例-成交明细'!$H$5:$H$804,'例-成交明细'!$A$5:$A$804,A6,'例-成交明细'!$D$5:$D$804,"买"))*1/L6,"")</f>
        <v>2.63333333333333</v>
      </c>
      <c r="AG6" s="45">
        <f>IF(AND(Y6="已平仓",ISNUMBER(L6)),AE6/L6,"")</f>
        <v>2.60666666666667</v>
      </c>
      <c r="AH6" s="46">
        <f>IF(AND(ISNUMBER(V6),ISNUMBER(F6)),IF(E6="空",F6-V6,V6-F6),"")</f>
        <v>0.0999999999999943</v>
      </c>
      <c r="AI6" s="46">
        <f>IF(OR(NOT(ISNUMBER(AE6)),NOT(ISNUMBER(X6))),"",IF(AE6&lt;0,IF(E6="空",X6-G6,G6-X6),IF(NOT(ISNUMBER(H6)),"",IF(E6="空",X6-H6,H6-X6))))</f>
        <v>1</v>
      </c>
      <c r="AJ6" s="32" t="inlineStr">
        <is>
          <t>A</t>
        </is>
      </c>
      <c r="AK6" s="32" t="inlineStr">
        <is>
          <t>无</t>
        </is>
      </c>
      <c r="AL6" s="31" t="inlineStr">
        <is>
          <t>做空借券年化 2%，持有 7 天</t>
        </is>
      </c>
      <c r="AM6" s="45">
        <f>IF(A6="","",SUM(AG$5:AG6))</f>
        <v>5.49641025641026</v>
      </c>
      <c r="AN6" s="37">
        <f>IF(A6="","",MAX(0,MAX(AM$5:AM6))-AM6)</f>
        <v>0</v>
      </c>
    </row>
    <row r="7" ht="32" customHeight="1">
      <c r="A7" s="29" t="n">
        <v>3</v>
      </c>
      <c r="B7" s="30" t="n">
        <v>47611</v>
      </c>
      <c r="C7" s="31" t="inlineStr">
        <is>
          <t>示例股丙</t>
        </is>
      </c>
      <c r="D7" s="32" t="inlineStr">
        <is>
          <t>突破</t>
        </is>
      </c>
      <c r="E7" s="32" t="inlineStr">
        <is>
          <t>多</t>
        </is>
      </c>
      <c r="F7" s="33" t="n">
        <v>30</v>
      </c>
      <c r="G7" s="33" t="n">
        <v>29.6</v>
      </c>
      <c r="H7" s="33" t="n">
        <v>31</v>
      </c>
      <c r="I7" s="34">
        <f>IF(AND(ISNUMBER(F7),ISNUMBER(G7),ISNUMBER(H7)),IF(OR(AND(E7="多",F7&gt;G7),AND(E7="空",F7&lt;G7)),ABS(H7-F7)/ABS(F7-G7),"止损方向不对"),"")</f>
        <v>2.50000000000001</v>
      </c>
      <c r="J7" s="35">
        <f>IF(AND(ISNUMBER(F7),ISNUMBER(G7)),IF(F7=G7,"",IF(INT(ROUND('参数'!$C$7/(ABS(F7-G7)*1+2*'参数'!$C$11+N('参数'!$C$14)*F7+N('参数'!$C$15))/1,6))*1&gt;0,INT(ROUND('参数'!$C$7/(ABS(F7-G7)*1+2*'参数'!$C$11+N('参数'!$C$14)*F7+N('参数'!$C$15))/1,6))*1,"预算不足，这笔不做")),"")</f>
        <v>487</v>
      </c>
      <c r="K7" s="36" t="n">
        <v>450</v>
      </c>
      <c r="L7" s="20">
        <f>IF(AND(ISNUMBER(F7),ISNUMBER(G7),ISNUMBER(K7)),IF(AND(F7&lt;&gt;G7,K7&gt;0),ABS(F7-G7)*K7*1,""),"")</f>
        <v>179.999999999999</v>
      </c>
      <c r="M7" s="30" t="n"/>
      <c r="N7" s="37" t="str">
        <f>IF(AND(ISNUMBER(L7),ISNUMBER(M7)),IF(E7="空",(G7*(1+'参数'!$C$17)-F7),(F7-G7*(1-'参数'!$C$17)))*K7/L7,"")</f>
        <v/>
      </c>
      <c r="O7" s="38" t="n"/>
      <c r="P7" s="31" t="inlineStr">
        <is>
          <t>跌回 29.60 下方就走，不过夜</t>
        </is>
      </c>
      <c r="Q7" s="32" t="inlineStr">
        <is>
          <t>已执行</t>
        </is>
      </c>
      <c r="R7" s="39">
        <f>IF(N(U7)&gt;0,SUMPRODUCT(LARGE(('例-成交明细'!$A$5:$A$804=A7)*('例-成交明细'!$D$5:$D$804=IF(E7="空","卖","买"))*'例-成交明细'!$B$5:$B$804,COUNTIFS('例-成交明细'!$A$5:$A$804,A7,'例-成交明细'!$D$5:$D$804,IF(E7="空","卖","买")))),"")</f>
        <v>47611.0</v>
      </c>
      <c r="S7" s="39">
        <f>IF(AND(N(U7)&gt;0,N(W7)&gt;=N(U7)),SUMPRODUCT(MAX(('例-成交明细'!$A$5:$A$804=A7)*('例-成交明细'!$D$5:$D$804=IF(E7="空","买","卖"))*'例-成交明细'!$B$5:$B$804)),"")</f>
        <v>47611.0</v>
      </c>
      <c r="T7" s="32" t="inlineStr">
        <is>
          <t>常规</t>
        </is>
      </c>
      <c r="U7" s="35">
        <f>IF(A7="","",SUMIFS('例-成交明细'!$F$5:$F$804,'例-成交明细'!$A$5:$A$804,A7,'例-成交明细'!$D$5:$D$804,IF(E7="空","卖","买")))</f>
        <v>450</v>
      </c>
      <c r="V7" s="40">
        <f>IF(N(U7)&gt;0,SUMIFS('例-成交明细'!$H$5:$H$804,'例-成交明细'!$A$5:$A$804,A7,'例-成交明细'!$D$5:$D$804,IF(E7="空","卖","买"))/U7,"")</f>
        <v>30.02</v>
      </c>
      <c r="W7" s="35">
        <f>IF(A7="","",SUMIFS('例-成交明细'!$F$5:$F$804,'例-成交明细'!$A$5:$A$804,A7,'例-成交明细'!$D$5:$D$804,IF(E7="空","买","卖")))</f>
        <v>450</v>
      </c>
      <c r="X7" s="40">
        <f>IF(N(W7)&gt;0,SUMIFS('例-成交明细'!$H$5:$H$804,'例-成交明细'!$A$5:$A$804,A7,'例-成交明细'!$D$5:$D$804,IF(E7="空","买","卖"))/W7,"")</f>
        <v>29.58</v>
      </c>
      <c r="Y7" s="41" t="str">
        <f>IF(A7="","",IF(Q7&lt;&gt;"已执行",IF(Q7="","未填执行情况",Q7),IF(N(U7)=0,"待录成交",IF(N(W7)&gt;N(U7),"平仓多于开仓",IF(N(W7)&lt;N(U7),"持仓中","已平仓")))))</f>
        <v>已平仓</v>
      </c>
      <c r="Z7" s="41" t="str">
        <f>IF(AND(ISNUMBER(R7),ISNUMBER(S7)),IF(R7=S7,"日内",""),"")</f>
        <v>日内</v>
      </c>
      <c r="AA7" s="42">
        <f>IF(Z7&lt;&gt;"日内","",COUNTIFS($Z$5:$Z$304,"日内",$S$5:$S$304,"&gt;"&amp;WORKDAY(S7,-5),$S$5:$S$304,"&lt;="&amp;S7))</f>
        <v>1</v>
      </c>
      <c r="AB7" s="41" t="str">
        <f>IF(OR(NOT(ISNUMBER(M7)),NOT(ISNUMBER(R7))),"",IF(AND(M7&gt;=R7,OR(NOT(ISNUMBER(S7)),M7&lt;=S7)),"持仓跨财报",""))</f>
        <v/>
      </c>
      <c r="AC7" s="20">
        <f>IF(AND(E7="空",ISNUMBER(O7),ISNUMBER(S7)),ROUND(O7*(S7-R7)/360*V7*U7,2),0)</f>
        <v>0</v>
      </c>
      <c r="AD7" s="43">
        <f>IF(N(U7)=0,"",SUMIFS('例-成交明细'!$L$5:$L$804,'例-成交明细'!$A$5:$A$804,A7)+AC7)</f>
        <v>4.5</v>
      </c>
      <c r="AE7" s="44">
        <f>IF(Y7&lt;&gt;"已平仓","",(SUMIFS('例-成交明细'!$H$5:$H$804,'例-成交明细'!$A$5:$A$804,A7,'例-成交明细'!$D$5:$D$804,"卖")-SUMIFS('例-成交明细'!$H$5:$H$804,'例-成交明细'!$A$5:$A$804,A7,'例-成交明细'!$D$5:$D$804,"买"))*1-AD7)</f>
        <v>-202.5</v>
      </c>
      <c r="AF7" s="45">
        <f>IF(AND(Y7="已平仓",ISNUMBER(L7)),(SUMIFS('例-成交明细'!$H$5:$H$804,'例-成交明细'!$A$5:$A$804,A7,'例-成交明细'!$D$5:$D$804,"卖")-SUMIFS('例-成交明细'!$H$5:$H$804,'例-成交明细'!$A$5:$A$804,A7,'例-成交明细'!$D$5:$D$804,"买"))*1/L7,"")</f>
        <v>-1.1</v>
      </c>
      <c r="AG7" s="45">
        <f>IF(AND(Y7="已平仓",ISNUMBER(L7)),AE7/L7,"")</f>
        <v>-1.125</v>
      </c>
      <c r="AH7" s="46">
        <f>IF(AND(ISNUMBER(V7),ISNUMBER(F7)),IF(E7="空",F7-V7,V7-F7),"")</f>
        <v>0.0199999999999996</v>
      </c>
      <c r="AI7" s="46">
        <f>IF(OR(NOT(ISNUMBER(AE7)),NOT(ISNUMBER(X7))),"",IF(AE7&lt;0,IF(E7="空",X7-G7,G7-X7),IF(NOT(ISNUMBER(H7)),"",IF(E7="空",X7-H7,H7-X7))))</f>
        <v>0.0200000000000031</v>
      </c>
      <c r="AJ7" s="32" t="inlineStr">
        <is>
          <t>A</t>
        </is>
      </c>
      <c r="AK7" s="32" t="inlineStr">
        <is>
          <t>无</t>
        </is>
      </c>
      <c r="AL7" s="31" t="inlineStr">
        <is>
          <t>日内，止损成交</t>
        </is>
      </c>
      <c r="AM7" s="45">
        <f>IF(A7="","",SUM(AG$5:AG7))</f>
        <v>4.37141025641025</v>
      </c>
      <c r="AN7" s="37">
        <f>IF(A7="","",MAX(0,MAX(AM$5:AM7))-AM7)</f>
        <v>1.125</v>
      </c>
    </row>
    <row r="8" ht="32" customHeight="1">
      <c r="A8" s="29" t="n">
        <v>4</v>
      </c>
      <c r="B8" s="30" t="n">
        <v>47612</v>
      </c>
      <c r="C8" s="31" t="inlineStr">
        <is>
          <t>示例股丙</t>
        </is>
      </c>
      <c r="D8" s="32" t="inlineStr">
        <is>
          <t>回踩</t>
        </is>
      </c>
      <c r="E8" s="32" t="inlineStr">
        <is>
          <t>多</t>
        </is>
      </c>
      <c r="F8" s="33" t="n">
        <v>30.4</v>
      </c>
      <c r="G8" s="33" t="n">
        <v>30</v>
      </c>
      <c r="H8" s="33" t="n">
        <v>31.2</v>
      </c>
      <c r="I8" s="34">
        <f>IF(AND(ISNUMBER(F8),ISNUMBER(G8),ISNUMBER(H8)),IF(OR(AND(E8="多",F8&gt;G8),AND(E8="空",F8&lt;G8)),ABS(H8-F8)/ABS(F8-G8),"止损方向不对"),"")</f>
        <v>2.00000000000001</v>
      </c>
      <c r="J8" s="35">
        <f>IF(AND(ISNUMBER(F8),ISNUMBER(G8)),IF(F8=G8,"",IF(INT(ROUND('参数'!$C$7/(ABS(F8-G8)*1+2*'参数'!$C$11+N('参数'!$C$14)*F8+N('参数'!$C$15))/1,6))*1&gt;0,INT(ROUND('参数'!$C$7/(ABS(F8-G8)*1+2*'参数'!$C$11+N('参数'!$C$14)*F8+N('参数'!$C$15))/1,6))*1,"预算不足，这笔不做")),"")</f>
        <v>487</v>
      </c>
      <c r="K8" s="36" t="n">
        <v>450</v>
      </c>
      <c r="L8" s="20">
        <f>IF(AND(ISNUMBER(F8),ISNUMBER(G8),ISNUMBER(K8)),IF(AND(F8&lt;&gt;G8,K8&gt;0),ABS(F8-G8)*K8*1,""),"")</f>
        <v>179.999999999999</v>
      </c>
      <c r="M8" s="30" t="n"/>
      <c r="N8" s="37" t="str">
        <f>IF(AND(ISNUMBER(L8),ISNUMBER(M8)),IF(E8="空",(G8*(1+'参数'!$C$17)-F8),(F8-G8*(1-'参数'!$C$17)))*K8/L8,"")</f>
        <v/>
      </c>
      <c r="O8" s="38" t="n"/>
      <c r="P8" s="31" t="inlineStr">
        <is>
          <t>不过夜</t>
        </is>
      </c>
      <c r="Q8" s="32" t="inlineStr">
        <is>
          <t>已执行</t>
        </is>
      </c>
      <c r="R8" s="39">
        <f>IF(N(U8)&gt;0,SUMPRODUCT(LARGE(('例-成交明细'!$A$5:$A$804=A8)*('例-成交明细'!$D$5:$D$804=IF(E8="空","卖","买"))*'例-成交明细'!$B$5:$B$804,COUNTIFS('例-成交明细'!$A$5:$A$804,A8,'例-成交明细'!$D$5:$D$804,IF(E8="空","卖","买")))),"")</f>
        <v>47612.0</v>
      </c>
      <c r="S8" s="39">
        <f>IF(AND(N(U8)&gt;0,N(W8)&gt;=N(U8)),SUMPRODUCT(MAX(('例-成交明细'!$A$5:$A$804=A8)*('例-成交明细'!$D$5:$D$804=IF(E8="空","买","卖"))*'例-成交明细'!$B$5:$B$804)),"")</f>
        <v>47612.0</v>
      </c>
      <c r="T8" s="32" t="inlineStr">
        <is>
          <t>常规</t>
        </is>
      </c>
      <c r="U8" s="35">
        <f>IF(A8="","",SUMIFS('例-成交明细'!$F$5:$F$804,'例-成交明细'!$A$5:$A$804,A8,'例-成交明细'!$D$5:$D$804,IF(E8="空","卖","买")))</f>
        <v>450</v>
      </c>
      <c r="V8" s="40">
        <f>IF(N(U8)&gt;0,SUMIFS('例-成交明细'!$H$5:$H$804,'例-成交明细'!$A$5:$A$804,A8,'例-成交明细'!$D$5:$D$804,IF(E8="空","卖","买"))/U8,"")</f>
        <v>30.4</v>
      </c>
      <c r="W8" s="35">
        <f>IF(A8="","",SUMIFS('例-成交明细'!$F$5:$F$804,'例-成交明细'!$A$5:$A$804,A8,'例-成交明细'!$D$5:$D$804,IF(E8="空","买","卖")))</f>
        <v>450</v>
      </c>
      <c r="X8" s="40">
        <f>IF(N(W8)&gt;0,SUMIFS('例-成交明细'!$H$5:$H$804,'例-成交明细'!$A$5:$A$804,A8,'例-成交明细'!$D$5:$D$804,IF(E8="空","买","卖"))/W8,"")</f>
        <v>30.95</v>
      </c>
      <c r="Y8" s="41" t="str">
        <f>IF(A8="","",IF(Q8&lt;&gt;"已执行",IF(Q8="","未填执行情况",Q8),IF(N(U8)=0,"待录成交",IF(N(W8)&gt;N(U8),"平仓多于开仓",IF(N(W8)&lt;N(U8),"持仓中","已平仓")))))</f>
        <v>已平仓</v>
      </c>
      <c r="Z8" s="41" t="str">
        <f>IF(AND(ISNUMBER(R8),ISNUMBER(S8)),IF(R8=S8,"日内",""),"")</f>
        <v>日内</v>
      </c>
      <c r="AA8" s="42">
        <f>IF(Z8&lt;&gt;"日内","",COUNTIFS($Z$5:$Z$304,"日内",$S$5:$S$304,"&gt;"&amp;WORKDAY(S8,-5),$S$5:$S$304,"&lt;="&amp;S8))</f>
        <v>2</v>
      </c>
      <c r="AB8" s="41" t="str">
        <f>IF(OR(NOT(ISNUMBER(M8)),NOT(ISNUMBER(R8))),"",IF(AND(M8&gt;=R8,OR(NOT(ISNUMBER(S8)),M8&lt;=S8)),"持仓跨财报",""))</f>
        <v/>
      </c>
      <c r="AC8" s="20">
        <f>IF(AND(E8="空",ISNUMBER(O8),ISNUMBER(S8)),ROUND(O8*(S8-R8)/360*V8*U8,2),0)</f>
        <v>0</v>
      </c>
      <c r="AD8" s="43">
        <f>IF(N(U8)=0,"",SUMIFS('例-成交明细'!$L$5:$L$804,'例-成交明细'!$A$5:$A$804,A8)+AC8)</f>
        <v>4.5</v>
      </c>
      <c r="AE8" s="44">
        <f>IF(Y8&lt;&gt;"已平仓","",(SUMIFS('例-成交明细'!$H$5:$H$804,'例-成交明细'!$A$5:$A$804,A8,'例-成交明细'!$D$5:$D$804,"卖")-SUMIFS('例-成交明细'!$H$5:$H$804,'例-成交明细'!$A$5:$A$804,A8,'例-成交明细'!$D$5:$D$804,"买"))*1-AD8)</f>
        <v>243</v>
      </c>
      <c r="AF8" s="45">
        <f>IF(AND(Y8="已平仓",ISNUMBER(L8)),(SUMIFS('例-成交明细'!$H$5:$H$804,'例-成交明细'!$A$5:$A$804,A8,'例-成交明细'!$D$5:$D$804,"卖")-SUMIFS('例-成交明细'!$H$5:$H$804,'例-成交明细'!$A$5:$A$804,A8,'例-成交明细'!$D$5:$D$804,"买"))*1/L8,"")</f>
        <v>1.375</v>
      </c>
      <c r="AG8" s="45">
        <f>IF(AND(Y8="已平仓",ISNUMBER(L8)),AE8/L8,"")</f>
        <v>1.35</v>
      </c>
      <c r="AH8" s="46">
        <f>IF(AND(ISNUMBER(V8),ISNUMBER(F8)),IF(E8="空",F8-V8,V8-F8),"")</f>
        <v>0</v>
      </c>
      <c r="AI8" s="46">
        <f>IF(OR(NOT(ISNUMBER(AE8)),NOT(ISNUMBER(X8))),"",IF(AE8&lt;0,IF(E8="空",X8-G8,G8-X8),IF(NOT(ISNUMBER(H8)),"",IF(E8="空",X8-H8,H8-X8))))</f>
        <v>0.25</v>
      </c>
      <c r="AJ8" s="32" t="inlineStr">
        <is>
          <t>B</t>
        </is>
      </c>
      <c r="AK8" s="32" t="inlineStr">
        <is>
          <t>提前跑</t>
        </is>
      </c>
      <c r="AL8" s="31" t="inlineStr">
        <is>
          <t>日内，离目标还差一点就走了</t>
        </is>
      </c>
      <c r="AM8" s="45">
        <f>IF(A8="","",SUM(AG$5:AG8))</f>
        <v>5.72141025641026</v>
      </c>
      <c r="AN8" s="37">
        <f>IF(A8="","",MAX(0,MAX(AM$5:AM8))-AM8)</f>
        <v>0</v>
      </c>
    </row>
    <row r="9" ht="46" customHeight="1">
      <c r="A9" s="29" t="n">
        <v>5</v>
      </c>
      <c r="B9" s="30" t="n">
        <v>47613</v>
      </c>
      <c r="C9" s="31" t="inlineStr">
        <is>
          <t>示例股甲</t>
        </is>
      </c>
      <c r="D9" s="32" t="inlineStr">
        <is>
          <t>趋势跟随</t>
        </is>
      </c>
      <c r="E9" s="32" t="inlineStr">
        <is>
          <t>多</t>
        </is>
      </c>
      <c r="F9" s="33" t="n">
        <v>55</v>
      </c>
      <c r="G9" s="33" t="n">
        <v>53</v>
      </c>
      <c r="H9" s="33" t="n">
        <v>60</v>
      </c>
      <c r="I9" s="34">
        <f>IF(AND(ISNUMBER(F9),ISNUMBER(G9),ISNUMBER(H9)),IF(OR(AND(E9="多",F9&gt;G9),AND(E9="空",F9&lt;G9)),ABS(H9-F9)/ABS(F9-G9),"止损方向不对"),"")</f>
        <v>2.5</v>
      </c>
      <c r="J9" s="35">
        <f>IF(AND(ISNUMBER(F9),ISNUMBER(G9)),IF(F9=G9,"",IF(INT(ROUND('参数'!$C$7/(ABS(F9-G9)*1+2*'参数'!$C$11+N('参数'!$C$14)*F9+N('参数'!$C$15))/1,6))*1&gt;0,INT(ROUND('参数'!$C$7/(ABS(F9-G9)*1+2*'参数'!$C$11+N('参数'!$C$14)*F9+N('参数'!$C$15))/1,6))*1,"预算不足，这笔不做")),"")</f>
        <v>99</v>
      </c>
      <c r="K9" s="36" t="n">
        <v>100</v>
      </c>
      <c r="L9" s="20">
        <f>IF(AND(ISNUMBER(F9),ISNUMBER(G9),ISNUMBER(K9)),IF(AND(F9&lt;&gt;G9,K9&gt;0),ABS(F9-G9)*K9*1,""),"")</f>
        <v>200</v>
      </c>
      <c r="M9" s="30" t="n">
        <v>47617</v>
      </c>
      <c r="N9" s="37">
        <f>IF(AND(ISNUMBER(L9),ISNUMBER(M9)),IF(E9="空",(G9*(1+'参数'!$C$17)-F9),(F9-G9*(1-'参数'!$C$17)))*K9/L9,"")</f>
        <v>3.65</v>
      </c>
      <c r="O9" s="38" t="n"/>
      <c r="P9" s="31" t="inlineStr">
        <is>
          <t>财报前不减仓就别开这笔</t>
        </is>
      </c>
      <c r="Q9" s="32" t="inlineStr">
        <is>
          <t>已执行</t>
        </is>
      </c>
      <c r="R9" s="39">
        <f>IF(N(U9)&gt;0,SUMPRODUCT(LARGE(('例-成交明细'!$A$5:$A$804=A9)*('例-成交明细'!$D$5:$D$804=IF(E9="空","卖","买"))*'例-成交明细'!$B$5:$B$804,COUNTIFS('例-成交明细'!$A$5:$A$804,A9,'例-成交明细'!$D$5:$D$804,IF(E9="空","卖","买")))),"")</f>
        <v>47613.0</v>
      </c>
      <c r="S9" s="39">
        <f>IF(AND(N(U9)&gt;0,N(W9)&gt;=N(U9)),SUMPRODUCT(MAX(('例-成交明细'!$A$5:$A$804=A9)*('例-成交明细'!$D$5:$D$804=IF(E9="空","买","卖"))*'例-成交明细'!$B$5:$B$804)),"")</f>
        <v>47618.0</v>
      </c>
      <c r="T9" s="32" t="inlineStr">
        <is>
          <t>常规</t>
        </is>
      </c>
      <c r="U9" s="35">
        <f>IF(A9="","",SUMIFS('例-成交明细'!$F$5:$F$804,'例-成交明细'!$A$5:$A$804,A9,'例-成交明细'!$D$5:$D$804,IF(E9="空","卖","买")))</f>
        <v>100</v>
      </c>
      <c r="V9" s="40">
        <f>IF(N(U9)&gt;0,SUMIFS('例-成交明细'!$H$5:$H$804,'例-成交明细'!$A$5:$A$804,A9,'例-成交明细'!$D$5:$D$804,IF(E9="空","卖","买"))/U9,"")</f>
        <v>55.05</v>
      </c>
      <c r="W9" s="35">
        <f>IF(A9="","",SUMIFS('例-成交明细'!$F$5:$F$804,'例-成交明细'!$A$5:$A$804,A9,'例-成交明细'!$D$5:$D$804,IF(E9="空","买","卖")))</f>
        <v>100</v>
      </c>
      <c r="X9" s="40">
        <f>IF(N(W9)&gt;0,SUMIFS('例-成交明细'!$H$5:$H$804,'例-成交明细'!$A$5:$A$804,A9,'例-成交明细'!$D$5:$D$804,IF(E9="空","买","卖"))/W9,"")</f>
        <v>50.8</v>
      </c>
      <c r="Y9" s="41" t="str">
        <f>IF(A9="","",IF(Q9&lt;&gt;"已执行",IF(Q9="","未填执行情况",Q9),IF(N(U9)=0,"待录成交",IF(N(W9)&gt;N(U9),"平仓多于开仓",IF(N(W9)&lt;N(U9),"持仓中","已平仓")))))</f>
        <v>已平仓</v>
      </c>
      <c r="Z9" s="41" t="str">
        <f>IF(AND(ISNUMBER(R9),ISNUMBER(S9)),IF(R9=S9,"日内",""),"")</f>
        <v/>
      </c>
      <c r="AA9" s="42" t="str">
        <f>IF(Z9&lt;&gt;"日内","",COUNTIFS($Z$5:$Z$304,"日内",$S$5:$S$304,"&gt;"&amp;WORKDAY(S9,-5),$S$5:$S$304,"&lt;="&amp;S9))</f>
        <v/>
      </c>
      <c r="AB9" s="41" t="str">
        <f>IF(OR(NOT(ISNUMBER(M9)),NOT(ISNUMBER(R9))),"",IF(AND(M9&gt;=R9,OR(NOT(ISNUMBER(S9)),M9&lt;=S9)),"持仓跨财报",""))</f>
        <v>持仓跨财报</v>
      </c>
      <c r="AC9" s="20">
        <f>IF(AND(E9="空",ISNUMBER(O9),ISNUMBER(S9)),ROUND(O9*(S9-R9)/360*V9*U9,2),0)</f>
        <v>0</v>
      </c>
      <c r="AD9" s="43">
        <f>IF(N(U9)=0,"",SUMIFS('例-成交明细'!$L$5:$L$804,'例-成交明细'!$A$5:$A$804,A9)+AC9)</f>
        <v>2</v>
      </c>
      <c r="AE9" s="44">
        <f>IF(Y9&lt;&gt;"已平仓","",(SUMIFS('例-成交明细'!$H$5:$H$804,'例-成交明细'!$A$5:$A$804,A9,'例-成交明细'!$D$5:$D$804,"卖")-SUMIFS('例-成交明细'!$H$5:$H$804,'例-成交明细'!$A$5:$A$804,A9,'例-成交明细'!$D$5:$D$804,"买"))*1-AD9)</f>
        <v>-427</v>
      </c>
      <c r="AF9" s="45">
        <f>IF(AND(Y9="已平仓",ISNUMBER(L9)),(SUMIFS('例-成交明细'!$H$5:$H$804,'例-成交明细'!$A$5:$A$804,A9,'例-成交明细'!$D$5:$D$804,"卖")-SUMIFS('例-成交明细'!$H$5:$H$804,'例-成交明细'!$A$5:$A$804,A9,'例-成交明细'!$D$5:$D$804,"买"))*1/L9,"")</f>
        <v>-2.125</v>
      </c>
      <c r="AG9" s="45">
        <f>IF(AND(Y9="已平仓",ISNUMBER(L9)),AE9/L9,"")</f>
        <v>-2.135</v>
      </c>
      <c r="AH9" s="46">
        <f>IF(AND(ISNUMBER(V9),ISNUMBER(F9)),IF(E9="空",F9-V9,V9-F9),"")</f>
        <v>0.0499999999999972</v>
      </c>
      <c r="AI9" s="46">
        <f>IF(OR(NOT(ISNUMBER(AE9)),NOT(ISNUMBER(X9))),"",IF(AE9&lt;0,IF(E9="空",X9-G9,G9-X9),IF(NOT(ISNUMBER(H9)),"",IF(E9="空",X9-H9,H9-X9))))</f>
        <v>2.2</v>
      </c>
      <c r="AJ9" s="32" t="inlineStr">
        <is>
          <t>C</t>
        </is>
      </c>
      <c r="AK9" s="32" t="inlineStr">
        <is>
          <t>没计划</t>
        </is>
      </c>
      <c r="AL9" s="31" t="inlineStr">
        <is>
          <t>没按计划在财报前减仓，财报后低开在止损下方。下一步：财报日前一天收盘前减半</t>
        </is>
      </c>
      <c r="AM9" s="45">
        <f>IF(A9="","",SUM(AG$5:AG9))</f>
        <v>3.58641025641026</v>
      </c>
      <c r="AN9" s="37">
        <f>IF(A9="","",MAX(0,MAX(AM$5:AM9))-AM9)</f>
        <v>2.135</v>
      </c>
    </row>
    <row r="10" ht="32" customHeight="1">
      <c r="A10" s="29" t="n">
        <v>6</v>
      </c>
      <c r="B10" s="30" t="n">
        <v>47616</v>
      </c>
      <c r="C10" s="31" t="inlineStr">
        <is>
          <t>示例股乙</t>
        </is>
      </c>
      <c r="D10" s="32" t="inlineStr">
        <is>
          <t>突破</t>
        </is>
      </c>
      <c r="E10" s="32" t="inlineStr">
        <is>
          <t>多</t>
        </is>
      </c>
      <c r="F10" s="33" t="n">
        <v>118</v>
      </c>
      <c r="G10" s="33" t="n">
        <v>116</v>
      </c>
      <c r="H10" s="33" t="n">
        <v>124</v>
      </c>
      <c r="I10" s="34">
        <f>IF(AND(ISNUMBER(F10),ISNUMBER(G10),ISNUMBER(H10)),IF(OR(AND(E10="多",F10&gt;G10),AND(E10="空",F10&lt;G10)),ABS(H10-F10)/ABS(F10-G10),"止损方向不对"),"")</f>
        <v>3</v>
      </c>
      <c r="J10" s="35">
        <f>IF(AND(ISNUMBER(F10),ISNUMBER(G10)),IF(F10=G10,"",IF(INT(ROUND('参数'!$C$7/(ABS(F10-G10)*1+2*'参数'!$C$11+N('参数'!$C$14)*F10+N('参数'!$C$15))/1,6))*1&gt;0,INT(ROUND('参数'!$C$7/(ABS(F10-G10)*1+2*'参数'!$C$11+N('参数'!$C$14)*F10+N('参数'!$C$15))/1,6))*1,"预算不足，这笔不做")),"")</f>
        <v>99</v>
      </c>
      <c r="K10" s="36" t="n">
        <v>95</v>
      </c>
      <c r="L10" s="20">
        <f>IF(AND(ISNUMBER(F10),ISNUMBER(G10),ISNUMBER(K10)),IF(AND(F10&lt;&gt;G10,K10&gt;0),ABS(F10-G10)*K10*1,""),"")</f>
        <v>190</v>
      </c>
      <c r="M10" s="30" t="n"/>
      <c r="N10" s="37" t="str">
        <f>IF(AND(ISNUMBER(L10),ISNUMBER(M10)),IF(E10="空",(G10*(1+'参数'!$C$17)-F10),(F10-G10*(1-'参数'!$C$17)))*K10/L10,"")</f>
        <v/>
      </c>
      <c r="O10" s="38" t="n"/>
      <c r="P10" s="31" t="inlineStr">
        <is>
          <t>盘前成交量太小不追</t>
        </is>
      </c>
      <c r="Q10" s="32" t="inlineStr">
        <is>
          <t>未成交</t>
        </is>
      </c>
      <c r="R10" s="39" t="str">
        <f>IF(N(U10)&gt;0,SUMPRODUCT(LARGE(('例-成交明细'!$A$5:$A$804=A10)*('例-成交明细'!$D$5:$D$804=IF(E10="空","卖","买"))*'例-成交明细'!$B$5:$B$804,COUNTIFS('例-成交明细'!$A$5:$A$804,A10,'例-成交明细'!$D$5:$D$804,IF(E10="空","卖","买")))),"")</f>
        <v/>
      </c>
      <c r="S10" s="39" t="str">
        <f>IF(AND(N(U10)&gt;0,N(W10)&gt;=N(U10)),SUMPRODUCT(MAX(('例-成交明细'!$A$5:$A$804=A10)*('例-成交明细'!$D$5:$D$804=IF(E10="空","买","卖"))*'例-成交明细'!$B$5:$B$804)),"")</f>
        <v/>
      </c>
      <c r="T10" s="32" t="inlineStr">
        <is>
          <t>盘前</t>
        </is>
      </c>
      <c r="U10" s="35">
        <f>IF(A10="","",SUMIFS('例-成交明细'!$F$5:$F$804,'例-成交明细'!$A$5:$A$804,A10,'例-成交明细'!$D$5:$D$804,IF(E10="空","卖","买")))</f>
        <v>0</v>
      </c>
      <c r="V10" s="40" t="str">
        <f>IF(N(U10)&gt;0,SUMIFS('例-成交明细'!$H$5:$H$804,'例-成交明细'!$A$5:$A$804,A10,'例-成交明细'!$D$5:$D$804,IF(E10="空","卖","买"))/U10,"")</f>
        <v/>
      </c>
      <c r="W10" s="35">
        <f>IF(A10="","",SUMIFS('例-成交明细'!$F$5:$F$804,'例-成交明细'!$A$5:$A$804,A10,'例-成交明细'!$D$5:$D$804,IF(E10="空","买","卖")))</f>
        <v>0</v>
      </c>
      <c r="X10" s="40" t="str">
        <f>IF(N(W10)&gt;0,SUMIFS('例-成交明细'!$H$5:$H$804,'例-成交明细'!$A$5:$A$804,A10,'例-成交明细'!$D$5:$D$804,IF(E10="空","买","卖"))/W10,"")</f>
        <v/>
      </c>
      <c r="Y10" s="41" t="str">
        <f>IF(A10="","",IF(Q10&lt;&gt;"已执行",IF(Q10="","未填执行情况",Q10),IF(N(U10)=0,"待录成交",IF(N(W10)&gt;N(U10),"平仓多于开仓",IF(N(W10)&lt;N(U10),"持仓中","已平仓")))))</f>
        <v>未成交</v>
      </c>
      <c r="Z10" s="41" t="str">
        <f>IF(AND(ISNUMBER(R10),ISNUMBER(S10)),IF(R10=S10,"日内",""),"")</f>
        <v/>
      </c>
      <c r="AA10" s="42" t="str">
        <f>IF(Z10&lt;&gt;"日内","",COUNTIFS($Z$5:$Z$304,"日内",$S$5:$S$304,"&gt;"&amp;WORKDAY(S10,-5),$S$5:$S$304,"&lt;="&amp;S10))</f>
        <v/>
      </c>
      <c r="AB10" s="41" t="str">
        <f>IF(OR(NOT(ISNUMBER(M10)),NOT(ISNUMBER(R10))),"",IF(AND(M10&gt;=R10,OR(NOT(ISNUMBER(S10)),M10&lt;=S10)),"持仓跨财报",""))</f>
        <v/>
      </c>
      <c r="AC10" s="20">
        <f>IF(AND(E10="空",ISNUMBER(O10),ISNUMBER(S10)),ROUND(O10*(S10-R10)/360*V10*U10,2),0)</f>
        <v>0</v>
      </c>
      <c r="AD10" s="43" t="str">
        <f>IF(N(U10)=0,"",SUMIFS('例-成交明细'!$L$5:$L$804,'例-成交明细'!$A$5:$A$804,A10)+AC10)</f>
        <v/>
      </c>
      <c r="AE10" s="44" t="str">
        <f>IF(Y10&lt;&gt;"已平仓","",(SUMIFS('例-成交明细'!$H$5:$H$804,'例-成交明细'!$A$5:$A$804,A10,'例-成交明细'!$D$5:$D$804,"卖")-SUMIFS('例-成交明细'!$H$5:$H$804,'例-成交明细'!$A$5:$A$804,A10,'例-成交明细'!$D$5:$D$804,"买"))*1-AD10)</f>
        <v/>
      </c>
      <c r="AF10" s="45" t="str">
        <f>IF(AND(Y10="已平仓",ISNUMBER(L10)),(SUMIFS('例-成交明细'!$H$5:$H$804,'例-成交明细'!$A$5:$A$804,A10,'例-成交明细'!$D$5:$D$804,"卖")-SUMIFS('例-成交明细'!$H$5:$H$804,'例-成交明细'!$A$5:$A$804,A10,'例-成交明细'!$D$5:$D$804,"买"))*1/L10,"")</f>
        <v/>
      </c>
      <c r="AG10" s="45" t="str">
        <f>IF(AND(Y10="已平仓",ISNUMBER(L10)),AE10/L10,"")</f>
        <v/>
      </c>
      <c r="AH10" s="46" t="str">
        <f>IF(AND(ISNUMBER(V10),ISNUMBER(F10)),IF(E10="空",F10-V10,V10-F10),"")</f>
        <v/>
      </c>
      <c r="AI10" s="46" t="str">
        <f>IF(OR(NOT(ISNUMBER(AE10)),NOT(ISNUMBER(X10))),"",IF(AE10&lt;0,IF(E10="空",X10-G10,G10-X10),IF(NOT(ISNUMBER(H10)),"",IF(E10="空",X10-H10,H10-X10))))</f>
        <v/>
      </c>
      <c r="AJ10" s="32" t="n"/>
      <c r="AK10" s="32" t="n"/>
      <c r="AL10" s="31" t="inlineStr">
        <is>
          <t>盘前限价没成交，没去追</t>
        </is>
      </c>
      <c r="AM10" s="45">
        <f>IF(A10="","",SUM(AG$5:AG10))</f>
        <v>3.58641025641026</v>
      </c>
      <c r="AN10" s="37">
        <f>IF(A10="","",MAX(0,MAX(AM$5:AM10))-AM10)</f>
        <v>2.135</v>
      </c>
    </row>
    <row r="11" ht="32" customHeight="1">
      <c r="A11" s="29" t="n">
        <v>7</v>
      </c>
      <c r="B11" s="30" t="n">
        <v>47617</v>
      </c>
      <c r="C11" s="31" t="inlineStr">
        <is>
          <t>示例股丙</t>
        </is>
      </c>
      <c r="D11" s="32" t="inlineStr">
        <is>
          <t>回踩</t>
        </is>
      </c>
      <c r="E11" s="32" t="inlineStr">
        <is>
          <t>多</t>
        </is>
      </c>
      <c r="F11" s="33" t="n">
        <v>29.5</v>
      </c>
      <c r="G11" s="33" t="n">
        <v>29.1</v>
      </c>
      <c r="H11" s="33" t="n">
        <v>30.7</v>
      </c>
      <c r="I11" s="34">
        <f>IF(AND(ISNUMBER(F11),ISNUMBER(G11),ISNUMBER(H11)),IF(OR(AND(E11="多",F11&gt;G11),AND(E11="空",F11&lt;G11)),ABS(H11-F11)/ABS(F11-G11),"止损方向不对"),"")</f>
        <v>3.00000000000001</v>
      </c>
      <c r="J11" s="35">
        <f>IF(AND(ISNUMBER(F11),ISNUMBER(G11)),IF(F11=G11,"",IF(INT(ROUND('参数'!$C$7/(ABS(F11-G11)*1+2*'参数'!$C$11+N('参数'!$C$14)*F11+N('参数'!$C$15))/1,6))*1&gt;0,INT(ROUND('参数'!$C$7/(ABS(F11-G11)*1+2*'参数'!$C$11+N('参数'!$C$14)*F11+N('参数'!$C$15))/1,6))*1,"预算不足，这笔不做")),"")</f>
        <v>487</v>
      </c>
      <c r="K11" s="36" t="n">
        <v>450</v>
      </c>
      <c r="L11" s="20">
        <f>IF(AND(ISNUMBER(F11),ISNUMBER(G11),ISNUMBER(K11)),IF(AND(F11&lt;&gt;G11,K11&gt;0),ABS(F11-G11)*K11*1,""),"")</f>
        <v>179.999999999999</v>
      </c>
      <c r="M11" s="30" t="n"/>
      <c r="N11" s="37" t="str">
        <f>IF(AND(ISNUMBER(L11),ISNUMBER(M11)),IF(E11="空",(G11*(1+'参数'!$C$17)-F11),(F11-G11*(1-'参数'!$C$17)))*K11/L11,"")</f>
        <v/>
      </c>
      <c r="O11" s="38" t="n"/>
      <c r="P11" s="31" t="inlineStr"/>
      <c r="Q11" s="32" t="inlineStr">
        <is>
          <t>漏单</t>
        </is>
      </c>
      <c r="R11" s="39" t="str">
        <f>IF(N(U11)&gt;0,SUMPRODUCT(LARGE(('例-成交明细'!$A$5:$A$804=A11)*('例-成交明细'!$D$5:$D$804=IF(E11="空","卖","买"))*'例-成交明细'!$B$5:$B$804,COUNTIFS('例-成交明细'!$A$5:$A$804,A11,'例-成交明细'!$D$5:$D$804,IF(E11="空","卖","买")))),"")</f>
        <v/>
      </c>
      <c r="S11" s="39" t="str">
        <f>IF(AND(N(U11)&gt;0,N(W11)&gt;=N(U11)),SUMPRODUCT(MAX(('例-成交明细'!$A$5:$A$804=A11)*('例-成交明细'!$D$5:$D$804=IF(E11="空","买","卖"))*'例-成交明细'!$B$5:$B$804)),"")</f>
        <v/>
      </c>
      <c r="T11" s="32" t="n"/>
      <c r="U11" s="35">
        <f>IF(A11="","",SUMIFS('例-成交明细'!$F$5:$F$804,'例-成交明细'!$A$5:$A$804,A11,'例-成交明细'!$D$5:$D$804,IF(E11="空","卖","买")))</f>
        <v>0</v>
      </c>
      <c r="V11" s="40" t="str">
        <f>IF(N(U11)&gt;0,SUMIFS('例-成交明细'!$H$5:$H$804,'例-成交明细'!$A$5:$A$804,A11,'例-成交明细'!$D$5:$D$804,IF(E11="空","卖","买"))/U11,"")</f>
        <v/>
      </c>
      <c r="W11" s="35">
        <f>IF(A11="","",SUMIFS('例-成交明细'!$F$5:$F$804,'例-成交明细'!$A$5:$A$804,A11,'例-成交明细'!$D$5:$D$804,IF(E11="空","买","卖")))</f>
        <v>0</v>
      </c>
      <c r="X11" s="40" t="str">
        <f>IF(N(W11)&gt;0,SUMIFS('例-成交明细'!$H$5:$H$804,'例-成交明细'!$A$5:$A$804,A11,'例-成交明细'!$D$5:$D$804,IF(E11="空","买","卖"))/W11,"")</f>
        <v/>
      </c>
      <c r="Y11" s="41" t="str">
        <f>IF(A11="","",IF(Q11&lt;&gt;"已执行",IF(Q11="","未填执行情况",Q11),IF(N(U11)=0,"待录成交",IF(N(W11)&gt;N(U11),"平仓多于开仓",IF(N(W11)&lt;N(U11),"持仓中","已平仓")))))</f>
        <v>漏单</v>
      </c>
      <c r="Z11" s="41" t="str">
        <f>IF(AND(ISNUMBER(R11),ISNUMBER(S11)),IF(R11=S11,"日内",""),"")</f>
        <v/>
      </c>
      <c r="AA11" s="42" t="str">
        <f>IF(Z11&lt;&gt;"日内","",COUNTIFS($Z$5:$Z$304,"日内",$S$5:$S$304,"&gt;"&amp;WORKDAY(S11,-5),$S$5:$S$304,"&lt;="&amp;S11))</f>
        <v/>
      </c>
      <c r="AB11" s="41" t="str">
        <f>IF(OR(NOT(ISNUMBER(M11)),NOT(ISNUMBER(R11))),"",IF(AND(M11&gt;=R11,OR(NOT(ISNUMBER(S11)),M11&lt;=S11)),"持仓跨财报",""))</f>
        <v/>
      </c>
      <c r="AC11" s="20">
        <f>IF(AND(E11="空",ISNUMBER(O11),ISNUMBER(S11)),ROUND(O11*(S11-R11)/360*V11*U11,2),0)</f>
        <v>0</v>
      </c>
      <c r="AD11" s="43" t="str">
        <f>IF(N(U11)=0,"",SUMIFS('例-成交明细'!$L$5:$L$804,'例-成交明细'!$A$5:$A$804,A11)+AC11)</f>
        <v/>
      </c>
      <c r="AE11" s="44" t="str">
        <f>IF(Y11&lt;&gt;"已平仓","",(SUMIFS('例-成交明细'!$H$5:$H$804,'例-成交明细'!$A$5:$A$804,A11,'例-成交明细'!$D$5:$D$804,"卖")-SUMIFS('例-成交明细'!$H$5:$H$804,'例-成交明细'!$A$5:$A$804,A11,'例-成交明细'!$D$5:$D$804,"买"))*1-AD11)</f>
        <v/>
      </c>
      <c r="AF11" s="45" t="str">
        <f>IF(AND(Y11="已平仓",ISNUMBER(L11)),(SUMIFS('例-成交明细'!$H$5:$H$804,'例-成交明细'!$A$5:$A$804,A11,'例-成交明细'!$D$5:$D$804,"卖")-SUMIFS('例-成交明细'!$H$5:$H$804,'例-成交明细'!$A$5:$A$804,A11,'例-成交明细'!$D$5:$D$804,"买"))*1/L11,"")</f>
        <v/>
      </c>
      <c r="AG11" s="45" t="str">
        <f>IF(AND(Y11="已平仓",ISNUMBER(L11)),AE11/L11,"")</f>
        <v/>
      </c>
      <c r="AH11" s="46" t="str">
        <f>IF(AND(ISNUMBER(V11),ISNUMBER(F11)),IF(E11="空",F11-V11,V11-F11),"")</f>
        <v/>
      </c>
      <c r="AI11" s="46" t="str">
        <f>IF(OR(NOT(ISNUMBER(AE11)),NOT(ISNUMBER(X11))),"",IF(AE11&lt;0,IF(E11="空",X11-G11,G11-X11),IF(NOT(ISNUMBER(H11)),"",IF(E11="空",X11-H11,H11-X11))))</f>
        <v/>
      </c>
      <c r="AJ11" s="32" t="n"/>
      <c r="AK11" s="32" t="n"/>
      <c r="AL11" s="31" t="inlineStr">
        <is>
          <t>开会错过</t>
        </is>
      </c>
      <c r="AM11" s="45">
        <f>IF(A11="","",SUM(AG$5:AG11))</f>
        <v>3.58641025641026</v>
      </c>
      <c r="AN11" s="37">
        <f>IF(A11="","",MAX(0,MAX(AM$5:AM11))-AM11)</f>
        <v>2.135</v>
      </c>
    </row>
    <row r="12" ht="32" customHeight="1">
      <c r="A12" s="29" t="n">
        <v>8</v>
      </c>
      <c r="B12" s="30" t="n">
        <v>47619</v>
      </c>
      <c r="C12" s="31" t="inlineStr">
        <is>
          <t>示例股甲</t>
        </is>
      </c>
      <c r="D12" s="32" t="inlineStr">
        <is>
          <t>回踩</t>
        </is>
      </c>
      <c r="E12" s="32" t="inlineStr">
        <is>
          <t>多</t>
        </is>
      </c>
      <c r="F12" s="33" t="n">
        <v>51</v>
      </c>
      <c r="G12" s="33" t="n">
        <v>49.5</v>
      </c>
      <c r="H12" s="33" t="n">
        <v>55.5</v>
      </c>
      <c r="I12" s="34">
        <f>IF(AND(ISNUMBER(F12),ISNUMBER(G12),ISNUMBER(H12)),IF(OR(AND(E12="多",F12&gt;G12),AND(E12="空",F12&lt;G12)),ABS(H12-F12)/ABS(F12-G12),"止损方向不对"),"")</f>
        <v>3</v>
      </c>
      <c r="J12" s="35">
        <f>IF(AND(ISNUMBER(F12),ISNUMBER(G12)),IF(F12=G12,"",IF(INT(ROUND('参数'!$C$7/(ABS(F12-G12)*1+2*'参数'!$C$11+N('参数'!$C$14)*F12+N('参数'!$C$15))/1,6))*1&gt;0,INT(ROUND('参数'!$C$7/(ABS(F12-G12)*1+2*'参数'!$C$11+N('参数'!$C$14)*F12+N('参数'!$C$15))/1,6))*1,"预算不足，这笔不做")),"")</f>
        <v>132</v>
      </c>
      <c r="K12" s="36" t="n">
        <v>130</v>
      </c>
      <c r="L12" s="20">
        <f>IF(AND(ISNUMBER(F12),ISNUMBER(G12),ISNUMBER(K12)),IF(AND(F12&lt;&gt;G12,K12&gt;0),ABS(F12-G12)*K12*1,""),"")</f>
        <v>195</v>
      </c>
      <c r="M12" s="30" t="n">
        <v>47631</v>
      </c>
      <c r="N12" s="37">
        <f>IF(AND(ISNUMBER(L12),ISNUMBER(M12)),IF(E12="空",(G12*(1+'参数'!$C$17)-F12),(F12-G12*(1-'参数'!$C$17)))*K12/L12,"")</f>
        <v>4.3</v>
      </c>
      <c r="O12" s="38" t="n"/>
      <c r="P12" s="31" t="inlineStr">
        <is>
          <t>收盘跌破 49.50 就走</t>
        </is>
      </c>
      <c r="Q12" s="32" t="inlineStr">
        <is>
          <t>已执行</t>
        </is>
      </c>
      <c r="R12" s="39">
        <f>IF(N(U12)&gt;0,SUMPRODUCT(LARGE(('例-成交明细'!$A$5:$A$804=A12)*('例-成交明细'!$D$5:$D$804=IF(E12="空","卖","买"))*'例-成交明细'!$B$5:$B$804,COUNTIFS('例-成交明细'!$A$5:$A$804,A12,'例-成交明细'!$D$5:$D$804,IF(E12="空","卖","买")))),"")</f>
        <v>47619.0</v>
      </c>
      <c r="S12" s="39" t="str">
        <f>IF(AND(N(U12)&gt;0,N(W12)&gt;=N(U12)),SUMPRODUCT(MAX(('例-成交明细'!$A$5:$A$804=A12)*('例-成交明细'!$D$5:$D$804=IF(E12="空","买","卖"))*'例-成交明细'!$B$5:$B$804)),"")</f>
        <v/>
      </c>
      <c r="T12" s="32" t="inlineStr">
        <is>
          <t>常规</t>
        </is>
      </c>
      <c r="U12" s="35">
        <f>IF(A12="","",SUMIFS('例-成交明细'!$F$5:$F$804,'例-成交明细'!$A$5:$A$804,A12,'例-成交明细'!$D$5:$D$804,IF(E12="空","卖","买")))</f>
        <v>130</v>
      </c>
      <c r="V12" s="40">
        <f>IF(N(U12)&gt;0,SUMIFS('例-成交明细'!$H$5:$H$804,'例-成交明细'!$A$5:$A$804,A12,'例-成交明细'!$D$5:$D$804,IF(E12="空","卖","买"))/U12,"")</f>
        <v>51.02</v>
      </c>
      <c r="W12" s="35">
        <f>IF(A12="","",SUMIFS('例-成交明细'!$F$5:$F$804,'例-成交明细'!$A$5:$A$804,A12,'例-成交明细'!$D$5:$D$804,IF(E12="空","买","卖")))</f>
        <v>0</v>
      </c>
      <c r="X12" s="40" t="str">
        <f>IF(N(W12)&gt;0,SUMIFS('例-成交明细'!$H$5:$H$804,'例-成交明细'!$A$5:$A$804,A12,'例-成交明细'!$D$5:$D$804,IF(E12="空","买","卖"))/W12,"")</f>
        <v/>
      </c>
      <c r="Y12" s="41" t="str">
        <f>IF(A12="","",IF(Q12&lt;&gt;"已执行",IF(Q12="","未填执行情况",Q12),IF(N(U12)=0,"待录成交",IF(N(W12)&gt;N(U12),"平仓多于开仓",IF(N(W12)&lt;N(U12),"持仓中","已平仓")))))</f>
        <v>持仓中</v>
      </c>
      <c r="Z12" s="41" t="str">
        <f>IF(AND(ISNUMBER(R12),ISNUMBER(S12)),IF(R12=S12,"日内",""),"")</f>
        <v/>
      </c>
      <c r="AA12" s="42" t="str">
        <f>IF(Z12&lt;&gt;"日内","",COUNTIFS($Z$5:$Z$304,"日内",$S$5:$S$304,"&gt;"&amp;WORKDAY(S12,-5),$S$5:$S$304,"&lt;="&amp;S12))</f>
        <v/>
      </c>
      <c r="AB12" s="41" t="str">
        <f>IF(OR(NOT(ISNUMBER(M12)),NOT(ISNUMBER(R12))),"",IF(AND(M12&gt;=R12,OR(NOT(ISNUMBER(S12)),M12&lt;=S12)),"持仓跨财报",""))</f>
        <v>持仓跨财报</v>
      </c>
      <c r="AC12" s="20">
        <f>IF(AND(E12="空",ISNUMBER(O12),ISNUMBER(S12)),ROUND(O12*(S12-R12)/360*V12*U12,2),0)</f>
        <v>0</v>
      </c>
      <c r="AD12" s="43">
        <f>IF(N(U12)=0,"",SUMIFS('例-成交明细'!$L$5:$L$804,'例-成交明细'!$A$5:$A$804,A12)+AC12)</f>
        <v>1</v>
      </c>
      <c r="AE12" s="44" t="str">
        <f>IF(Y12&lt;&gt;"已平仓","",(SUMIFS('例-成交明细'!$H$5:$H$804,'例-成交明细'!$A$5:$A$804,A12,'例-成交明细'!$D$5:$D$804,"卖")-SUMIFS('例-成交明细'!$H$5:$H$804,'例-成交明细'!$A$5:$A$804,A12,'例-成交明细'!$D$5:$D$804,"买"))*1-AD12)</f>
        <v/>
      </c>
      <c r="AF12" s="45" t="str">
        <f>IF(AND(Y12="已平仓",ISNUMBER(L12)),(SUMIFS('例-成交明细'!$H$5:$H$804,'例-成交明细'!$A$5:$A$804,A12,'例-成交明细'!$D$5:$D$804,"卖")-SUMIFS('例-成交明细'!$H$5:$H$804,'例-成交明细'!$A$5:$A$804,A12,'例-成交明细'!$D$5:$D$804,"买"))*1/L12,"")</f>
        <v/>
      </c>
      <c r="AG12" s="45" t="str">
        <f>IF(AND(Y12="已平仓",ISNUMBER(L12)),AE12/L12,"")</f>
        <v/>
      </c>
      <c r="AH12" s="46">
        <f>IF(AND(ISNUMBER(V12),ISNUMBER(F12)),IF(E12="空",F12-V12,V12-F12),"")</f>
        <v>0.0200000000000031</v>
      </c>
      <c r="AI12" s="46" t="str">
        <f>IF(OR(NOT(ISNUMBER(AE12)),NOT(ISNUMBER(X12))),"",IF(AE12&lt;0,IF(E12="空",X12-G12,G12-X12),IF(NOT(ISNUMBER(H12)),"",IF(E12="空",X12-H12,H12-X12))))</f>
        <v/>
      </c>
      <c r="AJ12" s="32" t="n"/>
      <c r="AK12" s="32" t="n"/>
      <c r="AL12" s="31" t="inlineStr">
        <is>
          <t>持有中，月底有财报，提前想好怎么处理</t>
        </is>
      </c>
      <c r="AM12" s="45">
        <f>IF(A12="","",SUM(AG$5:AG12))</f>
        <v>3.58641025641026</v>
      </c>
      <c r="AN12" s="37">
        <f>IF(A12="","",MAX(0,MAX(AM$5:AM12))-AM12)</f>
        <v>2.135</v>
      </c>
    </row>
    <row r="13">
      <c r="A13" s="29" t="n"/>
      <c r="B13" s="30" t="n"/>
      <c r="C13" s="31" t="n"/>
      <c r="D13" s="32" t="n"/>
      <c r="E13" s="32" t="n"/>
      <c r="F13" s="33" t="n"/>
      <c r="G13" s="33" t="n"/>
      <c r="H13" s="33" t="n"/>
      <c r="I13" s="34" t="str">
        <f>IF(AND(ISNUMBER(F13),ISNUMBER(G13),ISNUMBER(H13)),IF(OR(AND(E13="多",F13&gt;G13),AND(E13="空",F13&lt;G13)),ABS(H13-F13)/ABS(F13-G13),"止损方向不对"),"")</f>
        <v/>
      </c>
      <c r="J13" s="35" t="str">
        <f>IF(AND(ISNUMBER(F13),ISNUMBER(G13)),IF(F13=G13,"",IF(INT(ROUND('参数'!$C$7/(ABS(F13-G13)*1+2*'参数'!$C$11+N('参数'!$C$14)*F13+N('参数'!$C$15))/1,6))*1&gt;0,INT(ROUND('参数'!$C$7/(ABS(F13-G13)*1+2*'参数'!$C$11+N('参数'!$C$14)*F13+N('参数'!$C$15))/1,6))*1,"预算不足，这笔不做")),"")</f>
        <v/>
      </c>
      <c r="K13" s="36" t="n"/>
      <c r="L13" s="20" t="str">
        <f>IF(AND(ISNUMBER(F13),ISNUMBER(G13),ISNUMBER(K13)),IF(AND(F13&lt;&gt;G13,K13&gt;0),ABS(F13-G13)*K13*1,""),"")</f>
        <v/>
      </c>
      <c r="M13" s="30" t="n"/>
      <c r="N13" s="37" t="str">
        <f>IF(AND(ISNUMBER(L13),ISNUMBER(M13)),IF(E13="空",(G13*(1+'参数'!$C$17)-F13),(F13-G13*(1-'参数'!$C$17)))*K13/L13,"")</f>
        <v/>
      </c>
      <c r="O13" s="38" t="n"/>
      <c r="P13" s="31" t="n"/>
      <c r="Q13" s="32" t="n"/>
      <c r="R13" s="39" t="str">
        <f>IF(N(U13)&gt;0,SUMPRODUCT(LARGE(('例-成交明细'!$A$5:$A$804=A13)*('例-成交明细'!$D$5:$D$804=IF(E13="空","卖","买"))*'例-成交明细'!$B$5:$B$804,COUNTIFS('例-成交明细'!$A$5:$A$804,A13,'例-成交明细'!$D$5:$D$804,IF(E13="空","卖","买")))),"")</f>
        <v/>
      </c>
      <c r="S13" s="39" t="str">
        <f>IF(AND(N(U13)&gt;0,N(W13)&gt;=N(U13)),SUMPRODUCT(MAX(('例-成交明细'!$A$5:$A$804=A13)*('例-成交明细'!$D$5:$D$804=IF(E13="空","买","卖"))*'例-成交明细'!$B$5:$B$804)),"")</f>
        <v/>
      </c>
      <c r="T13" s="32" t="n"/>
      <c r="U13" s="35" t="str">
        <f>IF(A13="","",SUMIFS('例-成交明细'!$F$5:$F$804,'例-成交明细'!$A$5:$A$804,A13,'例-成交明细'!$D$5:$D$804,IF(E13="空","卖","买")))</f>
        <v/>
      </c>
      <c r="V13" s="40" t="str">
        <f>IF(N(U13)&gt;0,SUMIFS('例-成交明细'!$H$5:$H$804,'例-成交明细'!$A$5:$A$804,A13,'例-成交明细'!$D$5:$D$804,IF(E13="空","卖","买"))/U13,"")</f>
        <v/>
      </c>
      <c r="W13" s="35" t="str">
        <f>IF(A13="","",SUMIFS('例-成交明细'!$F$5:$F$804,'例-成交明细'!$A$5:$A$804,A13,'例-成交明细'!$D$5:$D$804,IF(E13="空","买","卖")))</f>
        <v/>
      </c>
      <c r="X13" s="40" t="str">
        <f>IF(N(W13)&gt;0,SUMIFS('例-成交明细'!$H$5:$H$804,'例-成交明细'!$A$5:$A$804,A13,'例-成交明细'!$D$5:$D$804,IF(E13="空","买","卖"))/W13,"")</f>
        <v/>
      </c>
      <c r="Y13" s="41" t="str">
        <f>IF(A13="","",IF(Q13&lt;&gt;"已执行",IF(Q13="","未填执行情况",Q13),IF(N(U13)=0,"待录成交",IF(N(W13)&gt;N(U13),"平仓多于开仓",IF(N(W13)&lt;N(U13),"持仓中","已平仓")))))</f>
        <v/>
      </c>
      <c r="Z13" s="41" t="str">
        <f>IF(AND(ISNUMBER(R13),ISNUMBER(S13)),IF(R13=S13,"日内",""),"")</f>
        <v/>
      </c>
      <c r="AA13" s="42" t="str">
        <f>IF(Z13&lt;&gt;"日内","",COUNTIFS($Z$5:$Z$304,"日内",$S$5:$S$304,"&gt;"&amp;WORKDAY(S13,-5),$S$5:$S$304,"&lt;="&amp;S13))</f>
        <v/>
      </c>
      <c r="AB13" s="41" t="str">
        <f>IF(OR(NOT(ISNUMBER(M13)),NOT(ISNUMBER(R13))),"",IF(AND(M13&gt;=R13,OR(NOT(ISNUMBER(S13)),M13&lt;=S13)),"持仓跨财报",""))</f>
        <v/>
      </c>
      <c r="AC13" s="20">
        <f>IF(AND(E13="空",ISNUMBER(O13),ISNUMBER(S13)),ROUND(O13*(S13-R13)/360*V13*U13,2),0)</f>
        <v>0</v>
      </c>
      <c r="AD13" s="43" t="str">
        <f>IF(N(U13)=0,"",SUMIFS('例-成交明细'!$L$5:$L$804,'例-成交明细'!$A$5:$A$804,A13)+AC13)</f>
        <v/>
      </c>
      <c r="AE13" s="44" t="str">
        <f>IF(Y13&lt;&gt;"已平仓","",(SUMIFS('例-成交明细'!$H$5:$H$804,'例-成交明细'!$A$5:$A$804,A13,'例-成交明细'!$D$5:$D$804,"卖")-SUMIFS('例-成交明细'!$H$5:$H$804,'例-成交明细'!$A$5:$A$804,A13,'例-成交明细'!$D$5:$D$804,"买"))*1-AD13)</f>
        <v/>
      </c>
      <c r="AF13" s="45" t="str">
        <f>IF(AND(Y13="已平仓",ISNUMBER(L13)),(SUMIFS('例-成交明细'!$H$5:$H$804,'例-成交明细'!$A$5:$A$804,A13,'例-成交明细'!$D$5:$D$804,"卖")-SUMIFS('例-成交明细'!$H$5:$H$804,'例-成交明细'!$A$5:$A$804,A13,'例-成交明细'!$D$5:$D$804,"买"))*1/L13,"")</f>
        <v/>
      </c>
      <c r="AG13" s="45" t="str">
        <f>IF(AND(Y13="已平仓",ISNUMBER(L13)),AE13/L13,"")</f>
        <v/>
      </c>
      <c r="AH13" s="46" t="str">
        <f>IF(AND(ISNUMBER(V13),ISNUMBER(F13)),IF(E13="空",F13-V13,V13-F13),"")</f>
        <v/>
      </c>
      <c r="AI13" s="46" t="str">
        <f>IF(OR(NOT(ISNUMBER(AE13)),NOT(ISNUMBER(X13))),"",IF(AE13&lt;0,IF(E13="空",X13-G13,G13-X13),IF(NOT(ISNUMBER(H13)),"",IF(E13="空",X13-H13,H13-X13))))</f>
        <v/>
      </c>
      <c r="AJ13" s="32" t="n"/>
      <c r="AK13" s="32" t="n"/>
      <c r="AL13" s="31" t="n"/>
      <c r="AM13" s="45" t="str">
        <f>IF(A13="","",SUM(AG$5:AG13))</f>
        <v/>
      </c>
      <c r="AN13" s="37" t="str">
        <f>IF(A13="","",MAX(0,MAX(AM$5:AM13))-AM13)</f>
        <v/>
      </c>
    </row>
    <row r="14">
      <c r="A14" s="29" t="n"/>
      <c r="B14" s="30" t="n"/>
      <c r="C14" s="31" t="n"/>
      <c r="D14" s="32" t="n"/>
      <c r="E14" s="32" t="n"/>
      <c r="F14" s="33" t="n"/>
      <c r="G14" s="33" t="n"/>
      <c r="H14" s="33" t="n"/>
      <c r="I14" s="34" t="str">
        <f>IF(AND(ISNUMBER(F14),ISNUMBER(G14),ISNUMBER(H14)),IF(OR(AND(E14="多",F14&gt;G14),AND(E14="空",F14&lt;G14)),ABS(H14-F14)/ABS(F14-G14),"止损方向不对"),"")</f>
        <v/>
      </c>
      <c r="J14" s="35" t="str">
        <f>IF(AND(ISNUMBER(F14),ISNUMBER(G14)),IF(F14=G14,"",IF(INT(ROUND('参数'!$C$7/(ABS(F14-G14)*1+2*'参数'!$C$11+N('参数'!$C$14)*F14+N('参数'!$C$15))/1,6))*1&gt;0,INT(ROUND('参数'!$C$7/(ABS(F14-G14)*1+2*'参数'!$C$11+N('参数'!$C$14)*F14+N('参数'!$C$15))/1,6))*1,"预算不足，这笔不做")),"")</f>
        <v/>
      </c>
      <c r="K14" s="36" t="n"/>
      <c r="L14" s="20" t="str">
        <f>IF(AND(ISNUMBER(F14),ISNUMBER(G14),ISNUMBER(K14)),IF(AND(F14&lt;&gt;G14,K14&gt;0),ABS(F14-G14)*K14*1,""),"")</f>
        <v/>
      </c>
      <c r="M14" s="30" t="n"/>
      <c r="N14" s="37" t="str">
        <f>IF(AND(ISNUMBER(L14),ISNUMBER(M14)),IF(E14="空",(G14*(1+'参数'!$C$17)-F14),(F14-G14*(1-'参数'!$C$17)))*K14/L14,"")</f>
        <v/>
      </c>
      <c r="O14" s="38" t="n"/>
      <c r="P14" s="31" t="n"/>
      <c r="Q14" s="32" t="n"/>
      <c r="R14" s="39" t="str">
        <f>IF(N(U14)&gt;0,SUMPRODUCT(LARGE(('例-成交明细'!$A$5:$A$804=A14)*('例-成交明细'!$D$5:$D$804=IF(E14="空","卖","买"))*'例-成交明细'!$B$5:$B$804,COUNTIFS('例-成交明细'!$A$5:$A$804,A14,'例-成交明细'!$D$5:$D$804,IF(E14="空","卖","买")))),"")</f>
        <v/>
      </c>
      <c r="S14" s="39" t="str">
        <f>IF(AND(N(U14)&gt;0,N(W14)&gt;=N(U14)),SUMPRODUCT(MAX(('例-成交明细'!$A$5:$A$804=A14)*('例-成交明细'!$D$5:$D$804=IF(E14="空","买","卖"))*'例-成交明细'!$B$5:$B$804)),"")</f>
        <v/>
      </c>
      <c r="T14" s="32" t="n"/>
      <c r="U14" s="35" t="str">
        <f>IF(A14="","",SUMIFS('例-成交明细'!$F$5:$F$804,'例-成交明细'!$A$5:$A$804,A14,'例-成交明细'!$D$5:$D$804,IF(E14="空","卖","买")))</f>
        <v/>
      </c>
      <c r="V14" s="40" t="str">
        <f>IF(N(U14)&gt;0,SUMIFS('例-成交明细'!$H$5:$H$804,'例-成交明细'!$A$5:$A$804,A14,'例-成交明细'!$D$5:$D$804,IF(E14="空","卖","买"))/U14,"")</f>
        <v/>
      </c>
      <c r="W14" s="35" t="str">
        <f>IF(A14="","",SUMIFS('例-成交明细'!$F$5:$F$804,'例-成交明细'!$A$5:$A$804,A14,'例-成交明细'!$D$5:$D$804,IF(E14="空","买","卖")))</f>
        <v/>
      </c>
      <c r="X14" s="40" t="str">
        <f>IF(N(W14)&gt;0,SUMIFS('例-成交明细'!$H$5:$H$804,'例-成交明细'!$A$5:$A$804,A14,'例-成交明细'!$D$5:$D$804,IF(E14="空","买","卖"))/W14,"")</f>
        <v/>
      </c>
      <c r="Y14" s="41" t="str">
        <f>IF(A14="","",IF(Q14&lt;&gt;"已执行",IF(Q14="","未填执行情况",Q14),IF(N(U14)=0,"待录成交",IF(N(W14)&gt;N(U14),"平仓多于开仓",IF(N(W14)&lt;N(U14),"持仓中","已平仓")))))</f>
        <v/>
      </c>
      <c r="Z14" s="41" t="str">
        <f>IF(AND(ISNUMBER(R14),ISNUMBER(S14)),IF(R14=S14,"日内",""),"")</f>
        <v/>
      </c>
      <c r="AA14" s="42" t="str">
        <f>IF(Z14&lt;&gt;"日内","",COUNTIFS($Z$5:$Z$304,"日内",$S$5:$S$304,"&gt;"&amp;WORKDAY(S14,-5),$S$5:$S$304,"&lt;="&amp;S14))</f>
        <v/>
      </c>
      <c r="AB14" s="41" t="str">
        <f>IF(OR(NOT(ISNUMBER(M14)),NOT(ISNUMBER(R14))),"",IF(AND(M14&gt;=R14,OR(NOT(ISNUMBER(S14)),M14&lt;=S14)),"持仓跨财报",""))</f>
        <v/>
      </c>
      <c r="AC14" s="20">
        <f>IF(AND(E14="空",ISNUMBER(O14),ISNUMBER(S14)),ROUND(O14*(S14-R14)/360*V14*U14,2),0)</f>
        <v>0</v>
      </c>
      <c r="AD14" s="43" t="str">
        <f>IF(N(U14)=0,"",SUMIFS('例-成交明细'!$L$5:$L$804,'例-成交明细'!$A$5:$A$804,A14)+AC14)</f>
        <v/>
      </c>
      <c r="AE14" s="44" t="str">
        <f>IF(Y14&lt;&gt;"已平仓","",(SUMIFS('例-成交明细'!$H$5:$H$804,'例-成交明细'!$A$5:$A$804,A14,'例-成交明细'!$D$5:$D$804,"卖")-SUMIFS('例-成交明细'!$H$5:$H$804,'例-成交明细'!$A$5:$A$804,A14,'例-成交明细'!$D$5:$D$804,"买"))*1-AD14)</f>
        <v/>
      </c>
      <c r="AF14" s="45" t="str">
        <f>IF(AND(Y14="已平仓",ISNUMBER(L14)),(SUMIFS('例-成交明细'!$H$5:$H$804,'例-成交明细'!$A$5:$A$804,A14,'例-成交明细'!$D$5:$D$804,"卖")-SUMIFS('例-成交明细'!$H$5:$H$804,'例-成交明细'!$A$5:$A$804,A14,'例-成交明细'!$D$5:$D$804,"买"))*1/L14,"")</f>
        <v/>
      </c>
      <c r="AG14" s="45" t="str">
        <f>IF(AND(Y14="已平仓",ISNUMBER(L14)),AE14/L14,"")</f>
        <v/>
      </c>
      <c r="AH14" s="46" t="str">
        <f>IF(AND(ISNUMBER(V14),ISNUMBER(F14)),IF(E14="空",F14-V14,V14-F14),"")</f>
        <v/>
      </c>
      <c r="AI14" s="46" t="str">
        <f>IF(OR(NOT(ISNUMBER(AE14)),NOT(ISNUMBER(X14))),"",IF(AE14&lt;0,IF(E14="空",X14-G14,G14-X14),IF(NOT(ISNUMBER(H14)),"",IF(E14="空",X14-H14,H14-X14))))</f>
        <v/>
      </c>
      <c r="AJ14" s="32" t="n"/>
      <c r="AK14" s="32" t="n"/>
      <c r="AL14" s="31" t="n"/>
      <c r="AM14" s="45" t="str">
        <f>IF(A14="","",SUM(AG$5:AG14))</f>
        <v/>
      </c>
      <c r="AN14" s="37" t="str">
        <f>IF(A14="","",MAX(0,MAX(AM$5:AM14))-AM14)</f>
        <v/>
      </c>
    </row>
    <row r="15">
      <c r="A15" s="29" t="n"/>
      <c r="B15" s="30" t="n"/>
      <c r="C15" s="31" t="n"/>
      <c r="D15" s="32" t="n"/>
      <c r="E15" s="32" t="n"/>
      <c r="F15" s="33" t="n"/>
      <c r="G15" s="33" t="n"/>
      <c r="H15" s="33" t="n"/>
      <c r="I15" s="34" t="str">
        <f>IF(AND(ISNUMBER(F15),ISNUMBER(G15),ISNUMBER(H15)),IF(OR(AND(E15="多",F15&gt;G15),AND(E15="空",F15&lt;G15)),ABS(H15-F15)/ABS(F15-G15),"止损方向不对"),"")</f>
        <v/>
      </c>
      <c r="J15" s="35" t="str">
        <f>IF(AND(ISNUMBER(F15),ISNUMBER(G15)),IF(F15=G15,"",IF(INT(ROUND('参数'!$C$7/(ABS(F15-G15)*1+2*'参数'!$C$11+N('参数'!$C$14)*F15+N('参数'!$C$15))/1,6))*1&gt;0,INT(ROUND('参数'!$C$7/(ABS(F15-G15)*1+2*'参数'!$C$11+N('参数'!$C$14)*F15+N('参数'!$C$15))/1,6))*1,"预算不足，这笔不做")),"")</f>
        <v/>
      </c>
      <c r="K15" s="36" t="n"/>
      <c r="L15" s="20" t="str">
        <f>IF(AND(ISNUMBER(F15),ISNUMBER(G15),ISNUMBER(K15)),IF(AND(F15&lt;&gt;G15,K15&gt;0),ABS(F15-G15)*K15*1,""),"")</f>
        <v/>
      </c>
      <c r="M15" s="30" t="n"/>
      <c r="N15" s="37" t="str">
        <f>IF(AND(ISNUMBER(L15),ISNUMBER(M15)),IF(E15="空",(G15*(1+'参数'!$C$17)-F15),(F15-G15*(1-'参数'!$C$17)))*K15/L15,"")</f>
        <v/>
      </c>
      <c r="O15" s="38" t="n"/>
      <c r="P15" s="31" t="n"/>
      <c r="Q15" s="32" t="n"/>
      <c r="R15" s="39" t="str">
        <f>IF(N(U15)&gt;0,SUMPRODUCT(LARGE(('例-成交明细'!$A$5:$A$804=A15)*('例-成交明细'!$D$5:$D$804=IF(E15="空","卖","买"))*'例-成交明细'!$B$5:$B$804,COUNTIFS('例-成交明细'!$A$5:$A$804,A15,'例-成交明细'!$D$5:$D$804,IF(E15="空","卖","买")))),"")</f>
        <v/>
      </c>
      <c r="S15" s="39" t="str">
        <f>IF(AND(N(U15)&gt;0,N(W15)&gt;=N(U15)),SUMPRODUCT(MAX(('例-成交明细'!$A$5:$A$804=A15)*('例-成交明细'!$D$5:$D$804=IF(E15="空","买","卖"))*'例-成交明细'!$B$5:$B$804)),"")</f>
        <v/>
      </c>
      <c r="T15" s="32" t="n"/>
      <c r="U15" s="35" t="str">
        <f>IF(A15="","",SUMIFS('例-成交明细'!$F$5:$F$804,'例-成交明细'!$A$5:$A$804,A15,'例-成交明细'!$D$5:$D$804,IF(E15="空","卖","买")))</f>
        <v/>
      </c>
      <c r="V15" s="40" t="str">
        <f>IF(N(U15)&gt;0,SUMIFS('例-成交明细'!$H$5:$H$804,'例-成交明细'!$A$5:$A$804,A15,'例-成交明细'!$D$5:$D$804,IF(E15="空","卖","买"))/U15,"")</f>
        <v/>
      </c>
      <c r="W15" s="35" t="str">
        <f>IF(A15="","",SUMIFS('例-成交明细'!$F$5:$F$804,'例-成交明细'!$A$5:$A$804,A15,'例-成交明细'!$D$5:$D$804,IF(E15="空","买","卖")))</f>
        <v/>
      </c>
      <c r="X15" s="40" t="str">
        <f>IF(N(W15)&gt;0,SUMIFS('例-成交明细'!$H$5:$H$804,'例-成交明细'!$A$5:$A$804,A15,'例-成交明细'!$D$5:$D$804,IF(E15="空","买","卖"))/W15,"")</f>
        <v/>
      </c>
      <c r="Y15" s="41" t="str">
        <f>IF(A15="","",IF(Q15&lt;&gt;"已执行",IF(Q15="","未填执行情况",Q15),IF(N(U15)=0,"待录成交",IF(N(W15)&gt;N(U15),"平仓多于开仓",IF(N(W15)&lt;N(U15),"持仓中","已平仓")))))</f>
        <v/>
      </c>
      <c r="Z15" s="41" t="str">
        <f>IF(AND(ISNUMBER(R15),ISNUMBER(S15)),IF(R15=S15,"日内",""),"")</f>
        <v/>
      </c>
      <c r="AA15" s="42" t="str">
        <f>IF(Z15&lt;&gt;"日内","",COUNTIFS($Z$5:$Z$304,"日内",$S$5:$S$304,"&gt;"&amp;WORKDAY(S15,-5),$S$5:$S$304,"&lt;="&amp;S15))</f>
        <v/>
      </c>
      <c r="AB15" s="41" t="str">
        <f>IF(OR(NOT(ISNUMBER(M15)),NOT(ISNUMBER(R15))),"",IF(AND(M15&gt;=R15,OR(NOT(ISNUMBER(S15)),M15&lt;=S15)),"持仓跨财报",""))</f>
        <v/>
      </c>
      <c r="AC15" s="20">
        <f>IF(AND(E15="空",ISNUMBER(O15),ISNUMBER(S15)),ROUND(O15*(S15-R15)/360*V15*U15,2),0)</f>
        <v>0</v>
      </c>
      <c r="AD15" s="43" t="str">
        <f>IF(N(U15)=0,"",SUMIFS('例-成交明细'!$L$5:$L$804,'例-成交明细'!$A$5:$A$804,A15)+AC15)</f>
        <v/>
      </c>
      <c r="AE15" s="44" t="str">
        <f>IF(Y15&lt;&gt;"已平仓","",(SUMIFS('例-成交明细'!$H$5:$H$804,'例-成交明细'!$A$5:$A$804,A15,'例-成交明细'!$D$5:$D$804,"卖")-SUMIFS('例-成交明细'!$H$5:$H$804,'例-成交明细'!$A$5:$A$804,A15,'例-成交明细'!$D$5:$D$804,"买"))*1-AD15)</f>
        <v/>
      </c>
      <c r="AF15" s="45" t="str">
        <f>IF(AND(Y15="已平仓",ISNUMBER(L15)),(SUMIFS('例-成交明细'!$H$5:$H$804,'例-成交明细'!$A$5:$A$804,A15,'例-成交明细'!$D$5:$D$804,"卖")-SUMIFS('例-成交明细'!$H$5:$H$804,'例-成交明细'!$A$5:$A$804,A15,'例-成交明细'!$D$5:$D$804,"买"))*1/L15,"")</f>
        <v/>
      </c>
      <c r="AG15" s="45" t="str">
        <f>IF(AND(Y15="已平仓",ISNUMBER(L15)),AE15/L15,"")</f>
        <v/>
      </c>
      <c r="AH15" s="46" t="str">
        <f>IF(AND(ISNUMBER(V15),ISNUMBER(F15)),IF(E15="空",F15-V15,V15-F15),"")</f>
        <v/>
      </c>
      <c r="AI15" s="46" t="str">
        <f>IF(OR(NOT(ISNUMBER(AE15)),NOT(ISNUMBER(X15))),"",IF(AE15&lt;0,IF(E15="空",X15-G15,G15-X15),IF(NOT(ISNUMBER(H15)),"",IF(E15="空",X15-H15,H15-X15))))</f>
        <v/>
      </c>
      <c r="AJ15" s="32" t="n"/>
      <c r="AK15" s="32" t="n"/>
      <c r="AL15" s="31" t="n"/>
      <c r="AM15" s="45" t="str">
        <f>IF(A15="","",SUM(AG$5:AG15))</f>
        <v/>
      </c>
      <c r="AN15" s="37" t="str">
        <f>IF(A15="","",MAX(0,MAX(AM$5:AM15))-AM15)</f>
        <v/>
      </c>
    </row>
    <row r="16">
      <c r="A16" s="29" t="n"/>
      <c r="B16" s="30" t="n"/>
      <c r="C16" s="31" t="n"/>
      <c r="D16" s="32" t="n"/>
      <c r="E16" s="32" t="n"/>
      <c r="F16" s="33" t="n"/>
      <c r="G16" s="33" t="n"/>
      <c r="H16" s="33" t="n"/>
      <c r="I16" s="34" t="str">
        <f>IF(AND(ISNUMBER(F16),ISNUMBER(G16),ISNUMBER(H16)),IF(OR(AND(E16="多",F16&gt;G16),AND(E16="空",F16&lt;G16)),ABS(H16-F16)/ABS(F16-G16),"止损方向不对"),"")</f>
        <v/>
      </c>
      <c r="J16" s="35" t="str">
        <f>IF(AND(ISNUMBER(F16),ISNUMBER(G16)),IF(F16=G16,"",IF(INT(ROUND('参数'!$C$7/(ABS(F16-G16)*1+2*'参数'!$C$11+N('参数'!$C$14)*F16+N('参数'!$C$15))/1,6))*1&gt;0,INT(ROUND('参数'!$C$7/(ABS(F16-G16)*1+2*'参数'!$C$11+N('参数'!$C$14)*F16+N('参数'!$C$15))/1,6))*1,"预算不足，这笔不做")),"")</f>
        <v/>
      </c>
      <c r="K16" s="36" t="n"/>
      <c r="L16" s="20" t="str">
        <f>IF(AND(ISNUMBER(F16),ISNUMBER(G16),ISNUMBER(K16)),IF(AND(F16&lt;&gt;G16,K16&gt;0),ABS(F16-G16)*K16*1,""),"")</f>
        <v/>
      </c>
      <c r="M16" s="30" t="n"/>
      <c r="N16" s="37" t="str">
        <f>IF(AND(ISNUMBER(L16),ISNUMBER(M16)),IF(E16="空",(G16*(1+'参数'!$C$17)-F16),(F16-G16*(1-'参数'!$C$17)))*K16/L16,"")</f>
        <v/>
      </c>
      <c r="O16" s="38" t="n"/>
      <c r="P16" s="31" t="n"/>
      <c r="Q16" s="32" t="n"/>
      <c r="R16" s="39" t="str">
        <f>IF(N(U16)&gt;0,SUMPRODUCT(LARGE(('例-成交明细'!$A$5:$A$804=A16)*('例-成交明细'!$D$5:$D$804=IF(E16="空","卖","买"))*'例-成交明细'!$B$5:$B$804,COUNTIFS('例-成交明细'!$A$5:$A$804,A16,'例-成交明细'!$D$5:$D$804,IF(E16="空","卖","买")))),"")</f>
        <v/>
      </c>
      <c r="S16" s="39" t="str">
        <f>IF(AND(N(U16)&gt;0,N(W16)&gt;=N(U16)),SUMPRODUCT(MAX(('例-成交明细'!$A$5:$A$804=A16)*('例-成交明细'!$D$5:$D$804=IF(E16="空","买","卖"))*'例-成交明细'!$B$5:$B$804)),"")</f>
        <v/>
      </c>
      <c r="T16" s="32" t="n"/>
      <c r="U16" s="35" t="str">
        <f>IF(A16="","",SUMIFS('例-成交明细'!$F$5:$F$804,'例-成交明细'!$A$5:$A$804,A16,'例-成交明细'!$D$5:$D$804,IF(E16="空","卖","买")))</f>
        <v/>
      </c>
      <c r="V16" s="40" t="str">
        <f>IF(N(U16)&gt;0,SUMIFS('例-成交明细'!$H$5:$H$804,'例-成交明细'!$A$5:$A$804,A16,'例-成交明细'!$D$5:$D$804,IF(E16="空","卖","买"))/U16,"")</f>
        <v/>
      </c>
      <c r="W16" s="35" t="str">
        <f>IF(A16="","",SUMIFS('例-成交明细'!$F$5:$F$804,'例-成交明细'!$A$5:$A$804,A16,'例-成交明细'!$D$5:$D$804,IF(E16="空","买","卖")))</f>
        <v/>
      </c>
      <c r="X16" s="40" t="str">
        <f>IF(N(W16)&gt;0,SUMIFS('例-成交明细'!$H$5:$H$804,'例-成交明细'!$A$5:$A$804,A16,'例-成交明细'!$D$5:$D$804,IF(E16="空","买","卖"))/W16,"")</f>
        <v/>
      </c>
      <c r="Y16" s="41" t="str">
        <f>IF(A16="","",IF(Q16&lt;&gt;"已执行",IF(Q16="","未填执行情况",Q16),IF(N(U16)=0,"待录成交",IF(N(W16)&gt;N(U16),"平仓多于开仓",IF(N(W16)&lt;N(U16),"持仓中","已平仓")))))</f>
        <v/>
      </c>
      <c r="Z16" s="41" t="str">
        <f>IF(AND(ISNUMBER(R16),ISNUMBER(S16)),IF(R16=S16,"日内",""),"")</f>
        <v/>
      </c>
      <c r="AA16" s="42" t="str">
        <f>IF(Z16&lt;&gt;"日内","",COUNTIFS($Z$5:$Z$304,"日内",$S$5:$S$304,"&gt;"&amp;WORKDAY(S16,-5),$S$5:$S$304,"&lt;="&amp;S16))</f>
        <v/>
      </c>
      <c r="AB16" s="41" t="str">
        <f>IF(OR(NOT(ISNUMBER(M16)),NOT(ISNUMBER(R16))),"",IF(AND(M16&gt;=R16,OR(NOT(ISNUMBER(S16)),M16&lt;=S16)),"持仓跨财报",""))</f>
        <v/>
      </c>
      <c r="AC16" s="20">
        <f>IF(AND(E16="空",ISNUMBER(O16),ISNUMBER(S16)),ROUND(O16*(S16-R16)/360*V16*U16,2),0)</f>
        <v>0</v>
      </c>
      <c r="AD16" s="43" t="str">
        <f>IF(N(U16)=0,"",SUMIFS('例-成交明细'!$L$5:$L$804,'例-成交明细'!$A$5:$A$804,A16)+AC16)</f>
        <v/>
      </c>
      <c r="AE16" s="44" t="str">
        <f>IF(Y16&lt;&gt;"已平仓","",(SUMIFS('例-成交明细'!$H$5:$H$804,'例-成交明细'!$A$5:$A$804,A16,'例-成交明细'!$D$5:$D$804,"卖")-SUMIFS('例-成交明细'!$H$5:$H$804,'例-成交明细'!$A$5:$A$804,A16,'例-成交明细'!$D$5:$D$804,"买"))*1-AD16)</f>
        <v/>
      </c>
      <c r="AF16" s="45" t="str">
        <f>IF(AND(Y16="已平仓",ISNUMBER(L16)),(SUMIFS('例-成交明细'!$H$5:$H$804,'例-成交明细'!$A$5:$A$804,A16,'例-成交明细'!$D$5:$D$804,"卖")-SUMIFS('例-成交明细'!$H$5:$H$804,'例-成交明细'!$A$5:$A$804,A16,'例-成交明细'!$D$5:$D$804,"买"))*1/L16,"")</f>
        <v/>
      </c>
      <c r="AG16" s="45" t="str">
        <f>IF(AND(Y16="已平仓",ISNUMBER(L16)),AE16/L16,"")</f>
        <v/>
      </c>
      <c r="AH16" s="46" t="str">
        <f>IF(AND(ISNUMBER(V16),ISNUMBER(F16)),IF(E16="空",F16-V16,V16-F16),"")</f>
        <v/>
      </c>
      <c r="AI16" s="46" t="str">
        <f>IF(OR(NOT(ISNUMBER(AE16)),NOT(ISNUMBER(X16))),"",IF(AE16&lt;0,IF(E16="空",X16-G16,G16-X16),IF(NOT(ISNUMBER(H16)),"",IF(E16="空",X16-H16,H16-X16))))</f>
        <v/>
      </c>
      <c r="AJ16" s="32" t="n"/>
      <c r="AK16" s="32" t="n"/>
      <c r="AL16" s="31" t="n"/>
      <c r="AM16" s="45" t="str">
        <f>IF(A16="","",SUM(AG$5:AG16))</f>
        <v/>
      </c>
      <c r="AN16" s="37" t="str">
        <f>IF(A16="","",MAX(0,MAX(AM$5:AM16))-AM16)</f>
        <v/>
      </c>
    </row>
    <row r="17">
      <c r="A17" s="29" t="n"/>
      <c r="B17" s="30" t="n"/>
      <c r="C17" s="31" t="n"/>
      <c r="D17" s="32" t="n"/>
      <c r="E17" s="32" t="n"/>
      <c r="F17" s="33" t="n"/>
      <c r="G17" s="33" t="n"/>
      <c r="H17" s="33" t="n"/>
      <c r="I17" s="34" t="str">
        <f>IF(AND(ISNUMBER(F17),ISNUMBER(G17),ISNUMBER(H17)),IF(OR(AND(E17="多",F17&gt;G17),AND(E17="空",F17&lt;G17)),ABS(H17-F17)/ABS(F17-G17),"止损方向不对"),"")</f>
        <v/>
      </c>
      <c r="J17" s="35" t="str">
        <f>IF(AND(ISNUMBER(F17),ISNUMBER(G17)),IF(F17=G17,"",IF(INT(ROUND('参数'!$C$7/(ABS(F17-G17)*1+2*'参数'!$C$11+N('参数'!$C$14)*F17+N('参数'!$C$15))/1,6))*1&gt;0,INT(ROUND('参数'!$C$7/(ABS(F17-G17)*1+2*'参数'!$C$11+N('参数'!$C$14)*F17+N('参数'!$C$15))/1,6))*1,"预算不足，这笔不做")),"")</f>
        <v/>
      </c>
      <c r="K17" s="36" t="n"/>
      <c r="L17" s="20" t="str">
        <f>IF(AND(ISNUMBER(F17),ISNUMBER(G17),ISNUMBER(K17)),IF(AND(F17&lt;&gt;G17,K17&gt;0),ABS(F17-G17)*K17*1,""),"")</f>
        <v/>
      </c>
      <c r="M17" s="30" t="n"/>
      <c r="N17" s="37" t="str">
        <f>IF(AND(ISNUMBER(L17),ISNUMBER(M17)),IF(E17="空",(G17*(1+'参数'!$C$17)-F17),(F17-G17*(1-'参数'!$C$17)))*K17/L17,"")</f>
        <v/>
      </c>
      <c r="O17" s="38" t="n"/>
      <c r="P17" s="31" t="n"/>
      <c r="Q17" s="32" t="n"/>
      <c r="R17" s="39" t="str">
        <f>IF(N(U17)&gt;0,SUMPRODUCT(LARGE(('例-成交明细'!$A$5:$A$804=A17)*('例-成交明细'!$D$5:$D$804=IF(E17="空","卖","买"))*'例-成交明细'!$B$5:$B$804,COUNTIFS('例-成交明细'!$A$5:$A$804,A17,'例-成交明细'!$D$5:$D$804,IF(E17="空","卖","买")))),"")</f>
        <v/>
      </c>
      <c r="S17" s="39" t="str">
        <f>IF(AND(N(U17)&gt;0,N(W17)&gt;=N(U17)),SUMPRODUCT(MAX(('例-成交明细'!$A$5:$A$804=A17)*('例-成交明细'!$D$5:$D$804=IF(E17="空","买","卖"))*'例-成交明细'!$B$5:$B$804)),"")</f>
        <v/>
      </c>
      <c r="T17" s="32" t="n"/>
      <c r="U17" s="35" t="str">
        <f>IF(A17="","",SUMIFS('例-成交明细'!$F$5:$F$804,'例-成交明细'!$A$5:$A$804,A17,'例-成交明细'!$D$5:$D$804,IF(E17="空","卖","买")))</f>
        <v/>
      </c>
      <c r="V17" s="40" t="str">
        <f>IF(N(U17)&gt;0,SUMIFS('例-成交明细'!$H$5:$H$804,'例-成交明细'!$A$5:$A$804,A17,'例-成交明细'!$D$5:$D$804,IF(E17="空","卖","买"))/U17,"")</f>
        <v/>
      </c>
      <c r="W17" s="35" t="str">
        <f>IF(A17="","",SUMIFS('例-成交明细'!$F$5:$F$804,'例-成交明细'!$A$5:$A$804,A17,'例-成交明细'!$D$5:$D$804,IF(E17="空","买","卖")))</f>
        <v/>
      </c>
      <c r="X17" s="40" t="str">
        <f>IF(N(W17)&gt;0,SUMIFS('例-成交明细'!$H$5:$H$804,'例-成交明细'!$A$5:$A$804,A17,'例-成交明细'!$D$5:$D$804,IF(E17="空","买","卖"))/W17,"")</f>
        <v/>
      </c>
      <c r="Y17" s="41" t="str">
        <f>IF(A17="","",IF(Q17&lt;&gt;"已执行",IF(Q17="","未填执行情况",Q17),IF(N(U17)=0,"待录成交",IF(N(W17)&gt;N(U17),"平仓多于开仓",IF(N(W17)&lt;N(U17),"持仓中","已平仓")))))</f>
        <v/>
      </c>
      <c r="Z17" s="41" t="str">
        <f>IF(AND(ISNUMBER(R17),ISNUMBER(S17)),IF(R17=S17,"日内",""),"")</f>
        <v/>
      </c>
      <c r="AA17" s="42" t="str">
        <f>IF(Z17&lt;&gt;"日内","",COUNTIFS($Z$5:$Z$304,"日内",$S$5:$S$304,"&gt;"&amp;WORKDAY(S17,-5),$S$5:$S$304,"&lt;="&amp;S17))</f>
        <v/>
      </c>
      <c r="AB17" s="41" t="str">
        <f>IF(OR(NOT(ISNUMBER(M17)),NOT(ISNUMBER(R17))),"",IF(AND(M17&gt;=R17,OR(NOT(ISNUMBER(S17)),M17&lt;=S17)),"持仓跨财报",""))</f>
        <v/>
      </c>
      <c r="AC17" s="20">
        <f>IF(AND(E17="空",ISNUMBER(O17),ISNUMBER(S17)),ROUND(O17*(S17-R17)/360*V17*U17,2),0)</f>
        <v>0</v>
      </c>
      <c r="AD17" s="43" t="str">
        <f>IF(N(U17)=0,"",SUMIFS('例-成交明细'!$L$5:$L$804,'例-成交明细'!$A$5:$A$804,A17)+AC17)</f>
        <v/>
      </c>
      <c r="AE17" s="44" t="str">
        <f>IF(Y17&lt;&gt;"已平仓","",(SUMIFS('例-成交明细'!$H$5:$H$804,'例-成交明细'!$A$5:$A$804,A17,'例-成交明细'!$D$5:$D$804,"卖")-SUMIFS('例-成交明细'!$H$5:$H$804,'例-成交明细'!$A$5:$A$804,A17,'例-成交明细'!$D$5:$D$804,"买"))*1-AD17)</f>
        <v/>
      </c>
      <c r="AF17" s="45" t="str">
        <f>IF(AND(Y17="已平仓",ISNUMBER(L17)),(SUMIFS('例-成交明细'!$H$5:$H$804,'例-成交明细'!$A$5:$A$804,A17,'例-成交明细'!$D$5:$D$804,"卖")-SUMIFS('例-成交明细'!$H$5:$H$804,'例-成交明细'!$A$5:$A$804,A17,'例-成交明细'!$D$5:$D$804,"买"))*1/L17,"")</f>
        <v/>
      </c>
      <c r="AG17" s="45" t="str">
        <f>IF(AND(Y17="已平仓",ISNUMBER(L17)),AE17/L17,"")</f>
        <v/>
      </c>
      <c r="AH17" s="46" t="str">
        <f>IF(AND(ISNUMBER(V17),ISNUMBER(F17)),IF(E17="空",F17-V17,V17-F17),"")</f>
        <v/>
      </c>
      <c r="AI17" s="46" t="str">
        <f>IF(OR(NOT(ISNUMBER(AE17)),NOT(ISNUMBER(X17))),"",IF(AE17&lt;0,IF(E17="空",X17-G17,G17-X17),IF(NOT(ISNUMBER(H17)),"",IF(E17="空",X17-H17,H17-X17))))</f>
        <v/>
      </c>
      <c r="AJ17" s="32" t="n"/>
      <c r="AK17" s="32" t="n"/>
      <c r="AL17" s="31" t="n"/>
      <c r="AM17" s="45" t="str">
        <f>IF(A17="","",SUM(AG$5:AG17))</f>
        <v/>
      </c>
      <c r="AN17" s="37" t="str">
        <f>IF(A17="","",MAX(0,MAX(AM$5:AM17))-AM17)</f>
        <v/>
      </c>
    </row>
    <row r="18">
      <c r="A18" s="29" t="n"/>
      <c r="B18" s="30" t="n"/>
      <c r="C18" s="31" t="n"/>
      <c r="D18" s="32" t="n"/>
      <c r="E18" s="32" t="n"/>
      <c r="F18" s="33" t="n"/>
      <c r="G18" s="33" t="n"/>
      <c r="H18" s="33" t="n"/>
      <c r="I18" s="34" t="str">
        <f>IF(AND(ISNUMBER(F18),ISNUMBER(G18),ISNUMBER(H18)),IF(OR(AND(E18="多",F18&gt;G18),AND(E18="空",F18&lt;G18)),ABS(H18-F18)/ABS(F18-G18),"止损方向不对"),"")</f>
        <v/>
      </c>
      <c r="J18" s="35" t="str">
        <f>IF(AND(ISNUMBER(F18),ISNUMBER(G18)),IF(F18=G18,"",IF(INT(ROUND('参数'!$C$7/(ABS(F18-G18)*1+2*'参数'!$C$11+N('参数'!$C$14)*F18+N('参数'!$C$15))/1,6))*1&gt;0,INT(ROUND('参数'!$C$7/(ABS(F18-G18)*1+2*'参数'!$C$11+N('参数'!$C$14)*F18+N('参数'!$C$15))/1,6))*1,"预算不足，这笔不做")),"")</f>
        <v/>
      </c>
      <c r="K18" s="36" t="n"/>
      <c r="L18" s="20" t="str">
        <f>IF(AND(ISNUMBER(F18),ISNUMBER(G18),ISNUMBER(K18)),IF(AND(F18&lt;&gt;G18,K18&gt;0),ABS(F18-G18)*K18*1,""),"")</f>
        <v/>
      </c>
      <c r="M18" s="30" t="n"/>
      <c r="N18" s="37" t="str">
        <f>IF(AND(ISNUMBER(L18),ISNUMBER(M18)),IF(E18="空",(G18*(1+'参数'!$C$17)-F18),(F18-G18*(1-'参数'!$C$17)))*K18/L18,"")</f>
        <v/>
      </c>
      <c r="O18" s="38" t="n"/>
      <c r="P18" s="31" t="n"/>
      <c r="Q18" s="32" t="n"/>
      <c r="R18" s="39" t="str">
        <f>IF(N(U18)&gt;0,SUMPRODUCT(LARGE(('例-成交明细'!$A$5:$A$804=A18)*('例-成交明细'!$D$5:$D$804=IF(E18="空","卖","买"))*'例-成交明细'!$B$5:$B$804,COUNTIFS('例-成交明细'!$A$5:$A$804,A18,'例-成交明细'!$D$5:$D$804,IF(E18="空","卖","买")))),"")</f>
        <v/>
      </c>
      <c r="S18" s="39" t="str">
        <f>IF(AND(N(U18)&gt;0,N(W18)&gt;=N(U18)),SUMPRODUCT(MAX(('例-成交明细'!$A$5:$A$804=A18)*('例-成交明细'!$D$5:$D$804=IF(E18="空","买","卖"))*'例-成交明细'!$B$5:$B$804)),"")</f>
        <v/>
      </c>
      <c r="T18" s="32" t="n"/>
      <c r="U18" s="35" t="str">
        <f>IF(A18="","",SUMIFS('例-成交明细'!$F$5:$F$804,'例-成交明细'!$A$5:$A$804,A18,'例-成交明细'!$D$5:$D$804,IF(E18="空","卖","买")))</f>
        <v/>
      </c>
      <c r="V18" s="40" t="str">
        <f>IF(N(U18)&gt;0,SUMIFS('例-成交明细'!$H$5:$H$804,'例-成交明细'!$A$5:$A$804,A18,'例-成交明细'!$D$5:$D$804,IF(E18="空","卖","买"))/U18,"")</f>
        <v/>
      </c>
      <c r="W18" s="35" t="str">
        <f>IF(A18="","",SUMIFS('例-成交明细'!$F$5:$F$804,'例-成交明细'!$A$5:$A$804,A18,'例-成交明细'!$D$5:$D$804,IF(E18="空","买","卖")))</f>
        <v/>
      </c>
      <c r="X18" s="40" t="str">
        <f>IF(N(W18)&gt;0,SUMIFS('例-成交明细'!$H$5:$H$804,'例-成交明细'!$A$5:$A$804,A18,'例-成交明细'!$D$5:$D$804,IF(E18="空","买","卖"))/W18,"")</f>
        <v/>
      </c>
      <c r="Y18" s="41" t="str">
        <f>IF(A18="","",IF(Q18&lt;&gt;"已执行",IF(Q18="","未填执行情况",Q18),IF(N(U18)=0,"待录成交",IF(N(W18)&gt;N(U18),"平仓多于开仓",IF(N(W18)&lt;N(U18),"持仓中","已平仓")))))</f>
        <v/>
      </c>
      <c r="Z18" s="41" t="str">
        <f>IF(AND(ISNUMBER(R18),ISNUMBER(S18)),IF(R18=S18,"日内",""),"")</f>
        <v/>
      </c>
      <c r="AA18" s="42" t="str">
        <f>IF(Z18&lt;&gt;"日内","",COUNTIFS($Z$5:$Z$304,"日内",$S$5:$S$304,"&gt;"&amp;WORKDAY(S18,-5),$S$5:$S$304,"&lt;="&amp;S18))</f>
        <v/>
      </c>
      <c r="AB18" s="41" t="str">
        <f>IF(OR(NOT(ISNUMBER(M18)),NOT(ISNUMBER(R18))),"",IF(AND(M18&gt;=R18,OR(NOT(ISNUMBER(S18)),M18&lt;=S18)),"持仓跨财报",""))</f>
        <v/>
      </c>
      <c r="AC18" s="20">
        <f>IF(AND(E18="空",ISNUMBER(O18),ISNUMBER(S18)),ROUND(O18*(S18-R18)/360*V18*U18,2),0)</f>
        <v>0</v>
      </c>
      <c r="AD18" s="43" t="str">
        <f>IF(N(U18)=0,"",SUMIFS('例-成交明细'!$L$5:$L$804,'例-成交明细'!$A$5:$A$804,A18)+AC18)</f>
        <v/>
      </c>
      <c r="AE18" s="44" t="str">
        <f>IF(Y18&lt;&gt;"已平仓","",(SUMIFS('例-成交明细'!$H$5:$H$804,'例-成交明细'!$A$5:$A$804,A18,'例-成交明细'!$D$5:$D$804,"卖")-SUMIFS('例-成交明细'!$H$5:$H$804,'例-成交明细'!$A$5:$A$804,A18,'例-成交明细'!$D$5:$D$804,"买"))*1-AD18)</f>
        <v/>
      </c>
      <c r="AF18" s="45" t="str">
        <f>IF(AND(Y18="已平仓",ISNUMBER(L18)),(SUMIFS('例-成交明细'!$H$5:$H$804,'例-成交明细'!$A$5:$A$804,A18,'例-成交明细'!$D$5:$D$804,"卖")-SUMIFS('例-成交明细'!$H$5:$H$804,'例-成交明细'!$A$5:$A$804,A18,'例-成交明细'!$D$5:$D$804,"买"))*1/L18,"")</f>
        <v/>
      </c>
      <c r="AG18" s="45" t="str">
        <f>IF(AND(Y18="已平仓",ISNUMBER(L18)),AE18/L18,"")</f>
        <v/>
      </c>
      <c r="AH18" s="46" t="str">
        <f>IF(AND(ISNUMBER(V18),ISNUMBER(F18)),IF(E18="空",F18-V18,V18-F18),"")</f>
        <v/>
      </c>
      <c r="AI18" s="46" t="str">
        <f>IF(OR(NOT(ISNUMBER(AE18)),NOT(ISNUMBER(X18))),"",IF(AE18&lt;0,IF(E18="空",X18-G18,G18-X18),IF(NOT(ISNUMBER(H18)),"",IF(E18="空",X18-H18,H18-X18))))</f>
        <v/>
      </c>
      <c r="AJ18" s="32" t="n"/>
      <c r="AK18" s="32" t="n"/>
      <c r="AL18" s="31" t="n"/>
      <c r="AM18" s="45" t="str">
        <f>IF(A18="","",SUM(AG$5:AG18))</f>
        <v/>
      </c>
      <c r="AN18" s="37" t="str">
        <f>IF(A18="","",MAX(0,MAX(AM$5:AM18))-AM18)</f>
        <v/>
      </c>
    </row>
    <row r="19">
      <c r="A19" s="29" t="n"/>
      <c r="B19" s="30" t="n"/>
      <c r="C19" s="31" t="n"/>
      <c r="D19" s="32" t="n"/>
      <c r="E19" s="32" t="n"/>
      <c r="F19" s="33" t="n"/>
      <c r="G19" s="33" t="n"/>
      <c r="H19" s="33" t="n"/>
      <c r="I19" s="34" t="str">
        <f>IF(AND(ISNUMBER(F19),ISNUMBER(G19),ISNUMBER(H19)),IF(OR(AND(E19="多",F19&gt;G19),AND(E19="空",F19&lt;G19)),ABS(H19-F19)/ABS(F19-G19),"止损方向不对"),"")</f>
        <v/>
      </c>
      <c r="J19" s="35" t="str">
        <f>IF(AND(ISNUMBER(F19),ISNUMBER(G19)),IF(F19=G19,"",IF(INT(ROUND('参数'!$C$7/(ABS(F19-G19)*1+2*'参数'!$C$11+N('参数'!$C$14)*F19+N('参数'!$C$15))/1,6))*1&gt;0,INT(ROUND('参数'!$C$7/(ABS(F19-G19)*1+2*'参数'!$C$11+N('参数'!$C$14)*F19+N('参数'!$C$15))/1,6))*1,"预算不足，这笔不做")),"")</f>
        <v/>
      </c>
      <c r="K19" s="36" t="n"/>
      <c r="L19" s="20" t="str">
        <f>IF(AND(ISNUMBER(F19),ISNUMBER(G19),ISNUMBER(K19)),IF(AND(F19&lt;&gt;G19,K19&gt;0),ABS(F19-G19)*K19*1,""),"")</f>
        <v/>
      </c>
      <c r="M19" s="30" t="n"/>
      <c r="N19" s="37" t="str">
        <f>IF(AND(ISNUMBER(L19),ISNUMBER(M19)),IF(E19="空",(G19*(1+'参数'!$C$17)-F19),(F19-G19*(1-'参数'!$C$17)))*K19/L19,"")</f>
        <v/>
      </c>
      <c r="O19" s="38" t="n"/>
      <c r="P19" s="31" t="n"/>
      <c r="Q19" s="32" t="n"/>
      <c r="R19" s="39" t="str">
        <f>IF(N(U19)&gt;0,SUMPRODUCT(LARGE(('例-成交明细'!$A$5:$A$804=A19)*('例-成交明细'!$D$5:$D$804=IF(E19="空","卖","买"))*'例-成交明细'!$B$5:$B$804,COUNTIFS('例-成交明细'!$A$5:$A$804,A19,'例-成交明细'!$D$5:$D$804,IF(E19="空","卖","买")))),"")</f>
        <v/>
      </c>
      <c r="S19" s="39" t="str">
        <f>IF(AND(N(U19)&gt;0,N(W19)&gt;=N(U19)),SUMPRODUCT(MAX(('例-成交明细'!$A$5:$A$804=A19)*('例-成交明细'!$D$5:$D$804=IF(E19="空","买","卖"))*'例-成交明细'!$B$5:$B$804)),"")</f>
        <v/>
      </c>
      <c r="T19" s="32" t="n"/>
      <c r="U19" s="35" t="str">
        <f>IF(A19="","",SUMIFS('例-成交明细'!$F$5:$F$804,'例-成交明细'!$A$5:$A$804,A19,'例-成交明细'!$D$5:$D$804,IF(E19="空","卖","买")))</f>
        <v/>
      </c>
      <c r="V19" s="40" t="str">
        <f>IF(N(U19)&gt;0,SUMIFS('例-成交明细'!$H$5:$H$804,'例-成交明细'!$A$5:$A$804,A19,'例-成交明细'!$D$5:$D$804,IF(E19="空","卖","买"))/U19,"")</f>
        <v/>
      </c>
      <c r="W19" s="35" t="str">
        <f>IF(A19="","",SUMIFS('例-成交明细'!$F$5:$F$804,'例-成交明细'!$A$5:$A$804,A19,'例-成交明细'!$D$5:$D$804,IF(E19="空","买","卖")))</f>
        <v/>
      </c>
      <c r="X19" s="40" t="str">
        <f>IF(N(W19)&gt;0,SUMIFS('例-成交明细'!$H$5:$H$804,'例-成交明细'!$A$5:$A$804,A19,'例-成交明细'!$D$5:$D$804,IF(E19="空","买","卖"))/W19,"")</f>
        <v/>
      </c>
      <c r="Y19" s="41" t="str">
        <f>IF(A19="","",IF(Q19&lt;&gt;"已执行",IF(Q19="","未填执行情况",Q19),IF(N(U19)=0,"待录成交",IF(N(W19)&gt;N(U19),"平仓多于开仓",IF(N(W19)&lt;N(U19),"持仓中","已平仓")))))</f>
        <v/>
      </c>
      <c r="Z19" s="41" t="str">
        <f>IF(AND(ISNUMBER(R19),ISNUMBER(S19)),IF(R19=S19,"日内",""),"")</f>
        <v/>
      </c>
      <c r="AA19" s="42" t="str">
        <f>IF(Z19&lt;&gt;"日内","",COUNTIFS($Z$5:$Z$304,"日内",$S$5:$S$304,"&gt;"&amp;WORKDAY(S19,-5),$S$5:$S$304,"&lt;="&amp;S19))</f>
        <v/>
      </c>
      <c r="AB19" s="41" t="str">
        <f>IF(OR(NOT(ISNUMBER(M19)),NOT(ISNUMBER(R19))),"",IF(AND(M19&gt;=R19,OR(NOT(ISNUMBER(S19)),M19&lt;=S19)),"持仓跨财报",""))</f>
        <v/>
      </c>
      <c r="AC19" s="20">
        <f>IF(AND(E19="空",ISNUMBER(O19),ISNUMBER(S19)),ROUND(O19*(S19-R19)/360*V19*U19,2),0)</f>
        <v>0</v>
      </c>
      <c r="AD19" s="43" t="str">
        <f>IF(N(U19)=0,"",SUMIFS('例-成交明细'!$L$5:$L$804,'例-成交明细'!$A$5:$A$804,A19)+AC19)</f>
        <v/>
      </c>
      <c r="AE19" s="44" t="str">
        <f>IF(Y19&lt;&gt;"已平仓","",(SUMIFS('例-成交明细'!$H$5:$H$804,'例-成交明细'!$A$5:$A$804,A19,'例-成交明细'!$D$5:$D$804,"卖")-SUMIFS('例-成交明细'!$H$5:$H$804,'例-成交明细'!$A$5:$A$804,A19,'例-成交明细'!$D$5:$D$804,"买"))*1-AD19)</f>
        <v/>
      </c>
      <c r="AF19" s="45" t="str">
        <f>IF(AND(Y19="已平仓",ISNUMBER(L19)),(SUMIFS('例-成交明细'!$H$5:$H$804,'例-成交明细'!$A$5:$A$804,A19,'例-成交明细'!$D$5:$D$804,"卖")-SUMIFS('例-成交明细'!$H$5:$H$804,'例-成交明细'!$A$5:$A$804,A19,'例-成交明细'!$D$5:$D$804,"买"))*1/L19,"")</f>
        <v/>
      </c>
      <c r="AG19" s="45" t="str">
        <f>IF(AND(Y19="已平仓",ISNUMBER(L19)),AE19/L19,"")</f>
        <v/>
      </c>
      <c r="AH19" s="46" t="str">
        <f>IF(AND(ISNUMBER(V19),ISNUMBER(F19)),IF(E19="空",F19-V19,V19-F19),"")</f>
        <v/>
      </c>
      <c r="AI19" s="46" t="str">
        <f>IF(OR(NOT(ISNUMBER(AE19)),NOT(ISNUMBER(X19))),"",IF(AE19&lt;0,IF(E19="空",X19-G19,G19-X19),IF(NOT(ISNUMBER(H19)),"",IF(E19="空",X19-H19,H19-X19))))</f>
        <v/>
      </c>
      <c r="AJ19" s="32" t="n"/>
      <c r="AK19" s="32" t="n"/>
      <c r="AL19" s="31" t="n"/>
      <c r="AM19" s="45" t="str">
        <f>IF(A19="","",SUM(AG$5:AG19))</f>
        <v/>
      </c>
      <c r="AN19" s="37" t="str">
        <f>IF(A19="","",MAX(0,MAX(AM$5:AM19))-AM19)</f>
        <v/>
      </c>
    </row>
    <row r="20">
      <c r="A20" s="29" t="n"/>
      <c r="B20" s="30" t="n"/>
      <c r="C20" s="31" t="n"/>
      <c r="D20" s="32" t="n"/>
      <c r="E20" s="32" t="n"/>
      <c r="F20" s="33" t="n"/>
      <c r="G20" s="33" t="n"/>
      <c r="H20" s="33" t="n"/>
      <c r="I20" s="34" t="str">
        <f>IF(AND(ISNUMBER(F20),ISNUMBER(G20),ISNUMBER(H20)),IF(OR(AND(E20="多",F20&gt;G20),AND(E20="空",F20&lt;G20)),ABS(H20-F20)/ABS(F20-G20),"止损方向不对"),"")</f>
        <v/>
      </c>
      <c r="J20" s="35" t="str">
        <f>IF(AND(ISNUMBER(F20),ISNUMBER(G20)),IF(F20=G20,"",IF(INT(ROUND('参数'!$C$7/(ABS(F20-G20)*1+2*'参数'!$C$11+N('参数'!$C$14)*F20+N('参数'!$C$15))/1,6))*1&gt;0,INT(ROUND('参数'!$C$7/(ABS(F20-G20)*1+2*'参数'!$C$11+N('参数'!$C$14)*F20+N('参数'!$C$15))/1,6))*1,"预算不足，这笔不做")),"")</f>
        <v/>
      </c>
      <c r="K20" s="36" t="n"/>
      <c r="L20" s="20" t="str">
        <f>IF(AND(ISNUMBER(F20),ISNUMBER(G20),ISNUMBER(K20)),IF(AND(F20&lt;&gt;G20,K20&gt;0),ABS(F20-G20)*K20*1,""),"")</f>
        <v/>
      </c>
      <c r="M20" s="30" t="n"/>
      <c r="N20" s="37" t="str">
        <f>IF(AND(ISNUMBER(L20),ISNUMBER(M20)),IF(E20="空",(G20*(1+'参数'!$C$17)-F20),(F20-G20*(1-'参数'!$C$17)))*K20/L20,"")</f>
        <v/>
      </c>
      <c r="O20" s="38" t="n"/>
      <c r="P20" s="31" t="n"/>
      <c r="Q20" s="32" t="n"/>
      <c r="R20" s="39" t="str">
        <f>IF(N(U20)&gt;0,SUMPRODUCT(LARGE(('例-成交明细'!$A$5:$A$804=A20)*('例-成交明细'!$D$5:$D$804=IF(E20="空","卖","买"))*'例-成交明细'!$B$5:$B$804,COUNTIFS('例-成交明细'!$A$5:$A$804,A20,'例-成交明细'!$D$5:$D$804,IF(E20="空","卖","买")))),"")</f>
        <v/>
      </c>
      <c r="S20" s="39" t="str">
        <f>IF(AND(N(U20)&gt;0,N(W20)&gt;=N(U20)),SUMPRODUCT(MAX(('例-成交明细'!$A$5:$A$804=A20)*('例-成交明细'!$D$5:$D$804=IF(E20="空","买","卖"))*'例-成交明细'!$B$5:$B$804)),"")</f>
        <v/>
      </c>
      <c r="T20" s="32" t="n"/>
      <c r="U20" s="35" t="str">
        <f>IF(A20="","",SUMIFS('例-成交明细'!$F$5:$F$804,'例-成交明细'!$A$5:$A$804,A20,'例-成交明细'!$D$5:$D$804,IF(E20="空","卖","买")))</f>
        <v/>
      </c>
      <c r="V20" s="40" t="str">
        <f>IF(N(U20)&gt;0,SUMIFS('例-成交明细'!$H$5:$H$804,'例-成交明细'!$A$5:$A$804,A20,'例-成交明细'!$D$5:$D$804,IF(E20="空","卖","买"))/U20,"")</f>
        <v/>
      </c>
      <c r="W20" s="35" t="str">
        <f>IF(A20="","",SUMIFS('例-成交明细'!$F$5:$F$804,'例-成交明细'!$A$5:$A$804,A20,'例-成交明细'!$D$5:$D$804,IF(E20="空","买","卖")))</f>
        <v/>
      </c>
      <c r="X20" s="40" t="str">
        <f>IF(N(W20)&gt;0,SUMIFS('例-成交明细'!$H$5:$H$804,'例-成交明细'!$A$5:$A$804,A20,'例-成交明细'!$D$5:$D$804,IF(E20="空","买","卖"))/W20,"")</f>
        <v/>
      </c>
      <c r="Y20" s="41" t="str">
        <f>IF(A20="","",IF(Q20&lt;&gt;"已执行",IF(Q20="","未填执行情况",Q20),IF(N(U20)=0,"待录成交",IF(N(W20)&gt;N(U20),"平仓多于开仓",IF(N(W20)&lt;N(U20),"持仓中","已平仓")))))</f>
        <v/>
      </c>
      <c r="Z20" s="41" t="str">
        <f>IF(AND(ISNUMBER(R20),ISNUMBER(S20)),IF(R20=S20,"日内",""),"")</f>
        <v/>
      </c>
      <c r="AA20" s="42" t="str">
        <f>IF(Z20&lt;&gt;"日内","",COUNTIFS($Z$5:$Z$304,"日内",$S$5:$S$304,"&gt;"&amp;WORKDAY(S20,-5),$S$5:$S$304,"&lt;="&amp;S20))</f>
        <v/>
      </c>
      <c r="AB20" s="41" t="str">
        <f>IF(OR(NOT(ISNUMBER(M20)),NOT(ISNUMBER(R20))),"",IF(AND(M20&gt;=R20,OR(NOT(ISNUMBER(S20)),M20&lt;=S20)),"持仓跨财报",""))</f>
        <v/>
      </c>
      <c r="AC20" s="20">
        <f>IF(AND(E20="空",ISNUMBER(O20),ISNUMBER(S20)),ROUND(O20*(S20-R20)/360*V20*U20,2),0)</f>
        <v>0</v>
      </c>
      <c r="AD20" s="43" t="str">
        <f>IF(N(U20)=0,"",SUMIFS('例-成交明细'!$L$5:$L$804,'例-成交明细'!$A$5:$A$804,A20)+AC20)</f>
        <v/>
      </c>
      <c r="AE20" s="44" t="str">
        <f>IF(Y20&lt;&gt;"已平仓","",(SUMIFS('例-成交明细'!$H$5:$H$804,'例-成交明细'!$A$5:$A$804,A20,'例-成交明细'!$D$5:$D$804,"卖")-SUMIFS('例-成交明细'!$H$5:$H$804,'例-成交明细'!$A$5:$A$804,A20,'例-成交明细'!$D$5:$D$804,"买"))*1-AD20)</f>
        <v/>
      </c>
      <c r="AF20" s="45" t="str">
        <f>IF(AND(Y20="已平仓",ISNUMBER(L20)),(SUMIFS('例-成交明细'!$H$5:$H$804,'例-成交明细'!$A$5:$A$804,A20,'例-成交明细'!$D$5:$D$804,"卖")-SUMIFS('例-成交明细'!$H$5:$H$804,'例-成交明细'!$A$5:$A$804,A20,'例-成交明细'!$D$5:$D$804,"买"))*1/L20,"")</f>
        <v/>
      </c>
      <c r="AG20" s="45" t="str">
        <f>IF(AND(Y20="已平仓",ISNUMBER(L20)),AE20/L20,"")</f>
        <v/>
      </c>
      <c r="AH20" s="46" t="str">
        <f>IF(AND(ISNUMBER(V20),ISNUMBER(F20)),IF(E20="空",F20-V20,V20-F20),"")</f>
        <v/>
      </c>
      <c r="AI20" s="46" t="str">
        <f>IF(OR(NOT(ISNUMBER(AE20)),NOT(ISNUMBER(X20))),"",IF(AE20&lt;0,IF(E20="空",X20-G20,G20-X20),IF(NOT(ISNUMBER(H20)),"",IF(E20="空",X20-H20,H20-X20))))</f>
        <v/>
      </c>
      <c r="AJ20" s="32" t="n"/>
      <c r="AK20" s="32" t="n"/>
      <c r="AL20" s="31" t="n"/>
      <c r="AM20" s="45" t="str">
        <f>IF(A20="","",SUM(AG$5:AG20))</f>
        <v/>
      </c>
      <c r="AN20" s="37" t="str">
        <f>IF(A20="","",MAX(0,MAX(AM$5:AM20))-AM20)</f>
        <v/>
      </c>
    </row>
    <row r="21">
      <c r="A21" s="29" t="n"/>
      <c r="B21" s="30" t="n"/>
      <c r="C21" s="31" t="n"/>
      <c r="D21" s="32" t="n"/>
      <c r="E21" s="32" t="n"/>
      <c r="F21" s="33" t="n"/>
      <c r="G21" s="33" t="n"/>
      <c r="H21" s="33" t="n"/>
      <c r="I21" s="34" t="str">
        <f>IF(AND(ISNUMBER(F21),ISNUMBER(G21),ISNUMBER(H21)),IF(OR(AND(E21="多",F21&gt;G21),AND(E21="空",F21&lt;G21)),ABS(H21-F21)/ABS(F21-G21),"止损方向不对"),"")</f>
        <v/>
      </c>
      <c r="J21" s="35" t="str">
        <f>IF(AND(ISNUMBER(F21),ISNUMBER(G21)),IF(F21=G21,"",IF(INT(ROUND('参数'!$C$7/(ABS(F21-G21)*1+2*'参数'!$C$11+N('参数'!$C$14)*F21+N('参数'!$C$15))/1,6))*1&gt;0,INT(ROUND('参数'!$C$7/(ABS(F21-G21)*1+2*'参数'!$C$11+N('参数'!$C$14)*F21+N('参数'!$C$15))/1,6))*1,"预算不足，这笔不做")),"")</f>
        <v/>
      </c>
      <c r="K21" s="36" t="n"/>
      <c r="L21" s="20" t="str">
        <f>IF(AND(ISNUMBER(F21),ISNUMBER(G21),ISNUMBER(K21)),IF(AND(F21&lt;&gt;G21,K21&gt;0),ABS(F21-G21)*K21*1,""),"")</f>
        <v/>
      </c>
      <c r="M21" s="30" t="n"/>
      <c r="N21" s="37" t="str">
        <f>IF(AND(ISNUMBER(L21),ISNUMBER(M21)),IF(E21="空",(G21*(1+'参数'!$C$17)-F21),(F21-G21*(1-'参数'!$C$17)))*K21/L21,"")</f>
        <v/>
      </c>
      <c r="O21" s="38" t="n"/>
      <c r="P21" s="31" t="n"/>
      <c r="Q21" s="32" t="n"/>
      <c r="R21" s="39" t="str">
        <f>IF(N(U21)&gt;0,SUMPRODUCT(LARGE(('例-成交明细'!$A$5:$A$804=A21)*('例-成交明细'!$D$5:$D$804=IF(E21="空","卖","买"))*'例-成交明细'!$B$5:$B$804,COUNTIFS('例-成交明细'!$A$5:$A$804,A21,'例-成交明细'!$D$5:$D$804,IF(E21="空","卖","买")))),"")</f>
        <v/>
      </c>
      <c r="S21" s="39" t="str">
        <f>IF(AND(N(U21)&gt;0,N(W21)&gt;=N(U21)),SUMPRODUCT(MAX(('例-成交明细'!$A$5:$A$804=A21)*('例-成交明细'!$D$5:$D$804=IF(E21="空","买","卖"))*'例-成交明细'!$B$5:$B$804)),"")</f>
        <v/>
      </c>
      <c r="T21" s="32" t="n"/>
      <c r="U21" s="35" t="str">
        <f>IF(A21="","",SUMIFS('例-成交明细'!$F$5:$F$804,'例-成交明细'!$A$5:$A$804,A21,'例-成交明细'!$D$5:$D$804,IF(E21="空","卖","买")))</f>
        <v/>
      </c>
      <c r="V21" s="40" t="str">
        <f>IF(N(U21)&gt;0,SUMIFS('例-成交明细'!$H$5:$H$804,'例-成交明细'!$A$5:$A$804,A21,'例-成交明细'!$D$5:$D$804,IF(E21="空","卖","买"))/U21,"")</f>
        <v/>
      </c>
      <c r="W21" s="35" t="str">
        <f>IF(A21="","",SUMIFS('例-成交明细'!$F$5:$F$804,'例-成交明细'!$A$5:$A$804,A21,'例-成交明细'!$D$5:$D$804,IF(E21="空","买","卖")))</f>
        <v/>
      </c>
      <c r="X21" s="40" t="str">
        <f>IF(N(W21)&gt;0,SUMIFS('例-成交明细'!$H$5:$H$804,'例-成交明细'!$A$5:$A$804,A21,'例-成交明细'!$D$5:$D$804,IF(E21="空","买","卖"))/W21,"")</f>
        <v/>
      </c>
      <c r="Y21" s="41" t="str">
        <f>IF(A21="","",IF(Q21&lt;&gt;"已执行",IF(Q21="","未填执行情况",Q21),IF(N(U21)=0,"待录成交",IF(N(W21)&gt;N(U21),"平仓多于开仓",IF(N(W21)&lt;N(U21),"持仓中","已平仓")))))</f>
        <v/>
      </c>
      <c r="Z21" s="41" t="str">
        <f>IF(AND(ISNUMBER(R21),ISNUMBER(S21)),IF(R21=S21,"日内",""),"")</f>
        <v/>
      </c>
      <c r="AA21" s="42" t="str">
        <f>IF(Z21&lt;&gt;"日内","",COUNTIFS($Z$5:$Z$304,"日内",$S$5:$S$304,"&gt;"&amp;WORKDAY(S21,-5),$S$5:$S$304,"&lt;="&amp;S21))</f>
        <v/>
      </c>
      <c r="AB21" s="41" t="str">
        <f>IF(OR(NOT(ISNUMBER(M21)),NOT(ISNUMBER(R21))),"",IF(AND(M21&gt;=R21,OR(NOT(ISNUMBER(S21)),M21&lt;=S21)),"持仓跨财报",""))</f>
        <v/>
      </c>
      <c r="AC21" s="20">
        <f>IF(AND(E21="空",ISNUMBER(O21),ISNUMBER(S21)),ROUND(O21*(S21-R21)/360*V21*U21,2),0)</f>
        <v>0</v>
      </c>
      <c r="AD21" s="43" t="str">
        <f>IF(N(U21)=0,"",SUMIFS('例-成交明细'!$L$5:$L$804,'例-成交明细'!$A$5:$A$804,A21)+AC21)</f>
        <v/>
      </c>
      <c r="AE21" s="44" t="str">
        <f>IF(Y21&lt;&gt;"已平仓","",(SUMIFS('例-成交明细'!$H$5:$H$804,'例-成交明细'!$A$5:$A$804,A21,'例-成交明细'!$D$5:$D$804,"卖")-SUMIFS('例-成交明细'!$H$5:$H$804,'例-成交明细'!$A$5:$A$804,A21,'例-成交明细'!$D$5:$D$804,"买"))*1-AD21)</f>
        <v/>
      </c>
      <c r="AF21" s="45" t="str">
        <f>IF(AND(Y21="已平仓",ISNUMBER(L21)),(SUMIFS('例-成交明细'!$H$5:$H$804,'例-成交明细'!$A$5:$A$804,A21,'例-成交明细'!$D$5:$D$804,"卖")-SUMIFS('例-成交明细'!$H$5:$H$804,'例-成交明细'!$A$5:$A$804,A21,'例-成交明细'!$D$5:$D$804,"买"))*1/L21,"")</f>
        <v/>
      </c>
      <c r="AG21" s="45" t="str">
        <f>IF(AND(Y21="已平仓",ISNUMBER(L21)),AE21/L21,"")</f>
        <v/>
      </c>
      <c r="AH21" s="46" t="str">
        <f>IF(AND(ISNUMBER(V21),ISNUMBER(F21)),IF(E21="空",F21-V21,V21-F21),"")</f>
        <v/>
      </c>
      <c r="AI21" s="46" t="str">
        <f>IF(OR(NOT(ISNUMBER(AE21)),NOT(ISNUMBER(X21))),"",IF(AE21&lt;0,IF(E21="空",X21-G21,G21-X21),IF(NOT(ISNUMBER(H21)),"",IF(E21="空",X21-H21,H21-X21))))</f>
        <v/>
      </c>
      <c r="AJ21" s="32" t="n"/>
      <c r="AK21" s="32" t="n"/>
      <c r="AL21" s="31" t="n"/>
      <c r="AM21" s="45" t="str">
        <f>IF(A21="","",SUM(AG$5:AG21))</f>
        <v/>
      </c>
      <c r="AN21" s="37" t="str">
        <f>IF(A21="","",MAX(0,MAX(AM$5:AM21))-AM21)</f>
        <v/>
      </c>
    </row>
    <row r="22">
      <c r="A22" s="29" t="n"/>
      <c r="B22" s="30" t="n"/>
      <c r="C22" s="31" t="n"/>
      <c r="D22" s="32" t="n"/>
      <c r="E22" s="32" t="n"/>
      <c r="F22" s="33" t="n"/>
      <c r="G22" s="33" t="n"/>
      <c r="H22" s="33" t="n"/>
      <c r="I22" s="34" t="str">
        <f>IF(AND(ISNUMBER(F22),ISNUMBER(G22),ISNUMBER(H22)),IF(OR(AND(E22="多",F22&gt;G22),AND(E22="空",F22&lt;G22)),ABS(H22-F22)/ABS(F22-G22),"止损方向不对"),"")</f>
        <v/>
      </c>
      <c r="J22" s="35" t="str">
        <f>IF(AND(ISNUMBER(F22),ISNUMBER(G22)),IF(F22=G22,"",IF(INT(ROUND('参数'!$C$7/(ABS(F22-G22)*1+2*'参数'!$C$11+N('参数'!$C$14)*F22+N('参数'!$C$15))/1,6))*1&gt;0,INT(ROUND('参数'!$C$7/(ABS(F22-G22)*1+2*'参数'!$C$11+N('参数'!$C$14)*F22+N('参数'!$C$15))/1,6))*1,"预算不足，这笔不做")),"")</f>
        <v/>
      </c>
      <c r="K22" s="36" t="n"/>
      <c r="L22" s="20" t="str">
        <f>IF(AND(ISNUMBER(F22),ISNUMBER(G22),ISNUMBER(K22)),IF(AND(F22&lt;&gt;G22,K22&gt;0),ABS(F22-G22)*K22*1,""),"")</f>
        <v/>
      </c>
      <c r="M22" s="30" t="n"/>
      <c r="N22" s="37" t="str">
        <f>IF(AND(ISNUMBER(L22),ISNUMBER(M22)),IF(E22="空",(G22*(1+'参数'!$C$17)-F22),(F22-G22*(1-'参数'!$C$17)))*K22/L22,"")</f>
        <v/>
      </c>
      <c r="O22" s="38" t="n"/>
      <c r="P22" s="31" t="n"/>
      <c r="Q22" s="32" t="n"/>
      <c r="R22" s="39" t="str">
        <f>IF(N(U22)&gt;0,SUMPRODUCT(LARGE(('例-成交明细'!$A$5:$A$804=A22)*('例-成交明细'!$D$5:$D$804=IF(E22="空","卖","买"))*'例-成交明细'!$B$5:$B$804,COUNTIFS('例-成交明细'!$A$5:$A$804,A22,'例-成交明细'!$D$5:$D$804,IF(E22="空","卖","买")))),"")</f>
        <v/>
      </c>
      <c r="S22" s="39" t="str">
        <f>IF(AND(N(U22)&gt;0,N(W22)&gt;=N(U22)),SUMPRODUCT(MAX(('例-成交明细'!$A$5:$A$804=A22)*('例-成交明细'!$D$5:$D$804=IF(E22="空","买","卖"))*'例-成交明细'!$B$5:$B$804)),"")</f>
        <v/>
      </c>
      <c r="T22" s="32" t="n"/>
      <c r="U22" s="35" t="str">
        <f>IF(A22="","",SUMIFS('例-成交明细'!$F$5:$F$804,'例-成交明细'!$A$5:$A$804,A22,'例-成交明细'!$D$5:$D$804,IF(E22="空","卖","买")))</f>
        <v/>
      </c>
      <c r="V22" s="40" t="str">
        <f>IF(N(U22)&gt;0,SUMIFS('例-成交明细'!$H$5:$H$804,'例-成交明细'!$A$5:$A$804,A22,'例-成交明细'!$D$5:$D$804,IF(E22="空","卖","买"))/U22,"")</f>
        <v/>
      </c>
      <c r="W22" s="35" t="str">
        <f>IF(A22="","",SUMIFS('例-成交明细'!$F$5:$F$804,'例-成交明细'!$A$5:$A$804,A22,'例-成交明细'!$D$5:$D$804,IF(E22="空","买","卖")))</f>
        <v/>
      </c>
      <c r="X22" s="40" t="str">
        <f>IF(N(W22)&gt;0,SUMIFS('例-成交明细'!$H$5:$H$804,'例-成交明细'!$A$5:$A$804,A22,'例-成交明细'!$D$5:$D$804,IF(E22="空","买","卖"))/W22,"")</f>
        <v/>
      </c>
      <c r="Y22" s="41" t="str">
        <f>IF(A22="","",IF(Q22&lt;&gt;"已执行",IF(Q22="","未填执行情况",Q22),IF(N(U22)=0,"待录成交",IF(N(W22)&gt;N(U22),"平仓多于开仓",IF(N(W22)&lt;N(U22),"持仓中","已平仓")))))</f>
        <v/>
      </c>
      <c r="Z22" s="41" t="str">
        <f>IF(AND(ISNUMBER(R22),ISNUMBER(S22)),IF(R22=S22,"日内",""),"")</f>
        <v/>
      </c>
      <c r="AA22" s="42" t="str">
        <f>IF(Z22&lt;&gt;"日内","",COUNTIFS($Z$5:$Z$304,"日内",$S$5:$S$304,"&gt;"&amp;WORKDAY(S22,-5),$S$5:$S$304,"&lt;="&amp;S22))</f>
        <v/>
      </c>
      <c r="AB22" s="41" t="str">
        <f>IF(OR(NOT(ISNUMBER(M22)),NOT(ISNUMBER(R22))),"",IF(AND(M22&gt;=R22,OR(NOT(ISNUMBER(S22)),M22&lt;=S22)),"持仓跨财报",""))</f>
        <v/>
      </c>
      <c r="AC22" s="20">
        <f>IF(AND(E22="空",ISNUMBER(O22),ISNUMBER(S22)),ROUND(O22*(S22-R22)/360*V22*U22,2),0)</f>
        <v>0</v>
      </c>
      <c r="AD22" s="43" t="str">
        <f>IF(N(U22)=0,"",SUMIFS('例-成交明细'!$L$5:$L$804,'例-成交明细'!$A$5:$A$804,A22)+AC22)</f>
        <v/>
      </c>
      <c r="AE22" s="44" t="str">
        <f>IF(Y22&lt;&gt;"已平仓","",(SUMIFS('例-成交明细'!$H$5:$H$804,'例-成交明细'!$A$5:$A$804,A22,'例-成交明细'!$D$5:$D$804,"卖")-SUMIFS('例-成交明细'!$H$5:$H$804,'例-成交明细'!$A$5:$A$804,A22,'例-成交明细'!$D$5:$D$804,"买"))*1-AD22)</f>
        <v/>
      </c>
      <c r="AF22" s="45" t="str">
        <f>IF(AND(Y22="已平仓",ISNUMBER(L22)),(SUMIFS('例-成交明细'!$H$5:$H$804,'例-成交明细'!$A$5:$A$804,A22,'例-成交明细'!$D$5:$D$804,"卖")-SUMIFS('例-成交明细'!$H$5:$H$804,'例-成交明细'!$A$5:$A$804,A22,'例-成交明细'!$D$5:$D$804,"买"))*1/L22,"")</f>
        <v/>
      </c>
      <c r="AG22" s="45" t="str">
        <f>IF(AND(Y22="已平仓",ISNUMBER(L22)),AE22/L22,"")</f>
        <v/>
      </c>
      <c r="AH22" s="46" t="str">
        <f>IF(AND(ISNUMBER(V22),ISNUMBER(F22)),IF(E22="空",F22-V22,V22-F22),"")</f>
        <v/>
      </c>
      <c r="AI22" s="46" t="str">
        <f>IF(OR(NOT(ISNUMBER(AE22)),NOT(ISNUMBER(X22))),"",IF(AE22&lt;0,IF(E22="空",X22-G22,G22-X22),IF(NOT(ISNUMBER(H22)),"",IF(E22="空",X22-H22,H22-X22))))</f>
        <v/>
      </c>
      <c r="AJ22" s="32" t="n"/>
      <c r="AK22" s="32" t="n"/>
      <c r="AL22" s="31" t="n"/>
      <c r="AM22" s="45" t="str">
        <f>IF(A22="","",SUM(AG$5:AG22))</f>
        <v/>
      </c>
      <c r="AN22" s="37" t="str">
        <f>IF(A22="","",MAX(0,MAX(AM$5:AM22))-AM22)</f>
        <v/>
      </c>
    </row>
    <row r="23">
      <c r="A23" s="29" t="n"/>
      <c r="B23" s="30" t="n"/>
      <c r="C23" s="31" t="n"/>
      <c r="D23" s="32" t="n"/>
      <c r="E23" s="32" t="n"/>
      <c r="F23" s="33" t="n"/>
      <c r="G23" s="33" t="n"/>
      <c r="H23" s="33" t="n"/>
      <c r="I23" s="34" t="str">
        <f>IF(AND(ISNUMBER(F23),ISNUMBER(G23),ISNUMBER(H23)),IF(OR(AND(E23="多",F23&gt;G23),AND(E23="空",F23&lt;G23)),ABS(H23-F23)/ABS(F23-G23),"止损方向不对"),"")</f>
        <v/>
      </c>
      <c r="J23" s="35" t="str">
        <f>IF(AND(ISNUMBER(F23),ISNUMBER(G23)),IF(F23=G23,"",IF(INT(ROUND('参数'!$C$7/(ABS(F23-G23)*1+2*'参数'!$C$11+N('参数'!$C$14)*F23+N('参数'!$C$15))/1,6))*1&gt;0,INT(ROUND('参数'!$C$7/(ABS(F23-G23)*1+2*'参数'!$C$11+N('参数'!$C$14)*F23+N('参数'!$C$15))/1,6))*1,"预算不足，这笔不做")),"")</f>
        <v/>
      </c>
      <c r="K23" s="36" t="n"/>
      <c r="L23" s="20" t="str">
        <f>IF(AND(ISNUMBER(F23),ISNUMBER(G23),ISNUMBER(K23)),IF(AND(F23&lt;&gt;G23,K23&gt;0),ABS(F23-G23)*K23*1,""),"")</f>
        <v/>
      </c>
      <c r="M23" s="30" t="n"/>
      <c r="N23" s="37" t="str">
        <f>IF(AND(ISNUMBER(L23),ISNUMBER(M23)),IF(E23="空",(G23*(1+'参数'!$C$17)-F23),(F23-G23*(1-'参数'!$C$17)))*K23/L23,"")</f>
        <v/>
      </c>
      <c r="O23" s="38" t="n"/>
      <c r="P23" s="31" t="n"/>
      <c r="Q23" s="32" t="n"/>
      <c r="R23" s="39" t="str">
        <f>IF(N(U23)&gt;0,SUMPRODUCT(LARGE(('例-成交明细'!$A$5:$A$804=A23)*('例-成交明细'!$D$5:$D$804=IF(E23="空","卖","买"))*'例-成交明细'!$B$5:$B$804,COUNTIFS('例-成交明细'!$A$5:$A$804,A23,'例-成交明细'!$D$5:$D$804,IF(E23="空","卖","买")))),"")</f>
        <v/>
      </c>
      <c r="S23" s="39" t="str">
        <f>IF(AND(N(U23)&gt;0,N(W23)&gt;=N(U23)),SUMPRODUCT(MAX(('例-成交明细'!$A$5:$A$804=A23)*('例-成交明细'!$D$5:$D$804=IF(E23="空","买","卖"))*'例-成交明细'!$B$5:$B$804)),"")</f>
        <v/>
      </c>
      <c r="T23" s="32" t="n"/>
      <c r="U23" s="35" t="str">
        <f>IF(A23="","",SUMIFS('例-成交明细'!$F$5:$F$804,'例-成交明细'!$A$5:$A$804,A23,'例-成交明细'!$D$5:$D$804,IF(E23="空","卖","买")))</f>
        <v/>
      </c>
      <c r="V23" s="40" t="str">
        <f>IF(N(U23)&gt;0,SUMIFS('例-成交明细'!$H$5:$H$804,'例-成交明细'!$A$5:$A$804,A23,'例-成交明细'!$D$5:$D$804,IF(E23="空","卖","买"))/U23,"")</f>
        <v/>
      </c>
      <c r="W23" s="35" t="str">
        <f>IF(A23="","",SUMIFS('例-成交明细'!$F$5:$F$804,'例-成交明细'!$A$5:$A$804,A23,'例-成交明细'!$D$5:$D$804,IF(E23="空","买","卖")))</f>
        <v/>
      </c>
      <c r="X23" s="40" t="str">
        <f>IF(N(W23)&gt;0,SUMIFS('例-成交明细'!$H$5:$H$804,'例-成交明细'!$A$5:$A$804,A23,'例-成交明细'!$D$5:$D$804,IF(E23="空","买","卖"))/W23,"")</f>
        <v/>
      </c>
      <c r="Y23" s="41" t="str">
        <f>IF(A23="","",IF(Q23&lt;&gt;"已执行",IF(Q23="","未填执行情况",Q23),IF(N(U23)=0,"待录成交",IF(N(W23)&gt;N(U23),"平仓多于开仓",IF(N(W23)&lt;N(U23),"持仓中","已平仓")))))</f>
        <v/>
      </c>
      <c r="Z23" s="41" t="str">
        <f>IF(AND(ISNUMBER(R23),ISNUMBER(S23)),IF(R23=S23,"日内",""),"")</f>
        <v/>
      </c>
      <c r="AA23" s="42" t="str">
        <f>IF(Z23&lt;&gt;"日内","",COUNTIFS($Z$5:$Z$304,"日内",$S$5:$S$304,"&gt;"&amp;WORKDAY(S23,-5),$S$5:$S$304,"&lt;="&amp;S23))</f>
        <v/>
      </c>
      <c r="AB23" s="41" t="str">
        <f>IF(OR(NOT(ISNUMBER(M23)),NOT(ISNUMBER(R23))),"",IF(AND(M23&gt;=R23,OR(NOT(ISNUMBER(S23)),M23&lt;=S23)),"持仓跨财报",""))</f>
        <v/>
      </c>
      <c r="AC23" s="20">
        <f>IF(AND(E23="空",ISNUMBER(O23),ISNUMBER(S23)),ROUND(O23*(S23-R23)/360*V23*U23,2),0)</f>
        <v>0</v>
      </c>
      <c r="AD23" s="43" t="str">
        <f>IF(N(U23)=0,"",SUMIFS('例-成交明细'!$L$5:$L$804,'例-成交明细'!$A$5:$A$804,A23)+AC23)</f>
        <v/>
      </c>
      <c r="AE23" s="44" t="str">
        <f>IF(Y23&lt;&gt;"已平仓","",(SUMIFS('例-成交明细'!$H$5:$H$804,'例-成交明细'!$A$5:$A$804,A23,'例-成交明细'!$D$5:$D$804,"卖")-SUMIFS('例-成交明细'!$H$5:$H$804,'例-成交明细'!$A$5:$A$804,A23,'例-成交明细'!$D$5:$D$804,"买"))*1-AD23)</f>
        <v/>
      </c>
      <c r="AF23" s="45" t="str">
        <f>IF(AND(Y23="已平仓",ISNUMBER(L23)),(SUMIFS('例-成交明细'!$H$5:$H$804,'例-成交明细'!$A$5:$A$804,A23,'例-成交明细'!$D$5:$D$804,"卖")-SUMIFS('例-成交明细'!$H$5:$H$804,'例-成交明细'!$A$5:$A$804,A23,'例-成交明细'!$D$5:$D$804,"买"))*1/L23,"")</f>
        <v/>
      </c>
      <c r="AG23" s="45" t="str">
        <f>IF(AND(Y23="已平仓",ISNUMBER(L23)),AE23/L23,"")</f>
        <v/>
      </c>
      <c r="AH23" s="46" t="str">
        <f>IF(AND(ISNUMBER(V23),ISNUMBER(F23)),IF(E23="空",F23-V23,V23-F23),"")</f>
        <v/>
      </c>
      <c r="AI23" s="46" t="str">
        <f>IF(OR(NOT(ISNUMBER(AE23)),NOT(ISNUMBER(X23))),"",IF(AE23&lt;0,IF(E23="空",X23-G23,G23-X23),IF(NOT(ISNUMBER(H23)),"",IF(E23="空",X23-H23,H23-X23))))</f>
        <v/>
      </c>
      <c r="AJ23" s="32" t="n"/>
      <c r="AK23" s="32" t="n"/>
      <c r="AL23" s="31" t="n"/>
      <c r="AM23" s="45" t="str">
        <f>IF(A23="","",SUM(AG$5:AG23))</f>
        <v/>
      </c>
      <c r="AN23" s="37" t="str">
        <f>IF(A23="","",MAX(0,MAX(AM$5:AM23))-AM23)</f>
        <v/>
      </c>
    </row>
    <row r="24">
      <c r="A24" s="29" t="n"/>
      <c r="B24" s="30" t="n"/>
      <c r="C24" s="31" t="n"/>
      <c r="D24" s="32" t="n"/>
      <c r="E24" s="32" t="n"/>
      <c r="F24" s="33" t="n"/>
      <c r="G24" s="33" t="n"/>
      <c r="H24" s="33" t="n"/>
      <c r="I24" s="34" t="str">
        <f>IF(AND(ISNUMBER(F24),ISNUMBER(G24),ISNUMBER(H24)),IF(OR(AND(E24="多",F24&gt;G24),AND(E24="空",F24&lt;G24)),ABS(H24-F24)/ABS(F24-G24),"止损方向不对"),"")</f>
        <v/>
      </c>
      <c r="J24" s="35" t="str">
        <f>IF(AND(ISNUMBER(F24),ISNUMBER(G24)),IF(F24=G24,"",IF(INT(ROUND('参数'!$C$7/(ABS(F24-G24)*1+2*'参数'!$C$11+N('参数'!$C$14)*F24+N('参数'!$C$15))/1,6))*1&gt;0,INT(ROUND('参数'!$C$7/(ABS(F24-G24)*1+2*'参数'!$C$11+N('参数'!$C$14)*F24+N('参数'!$C$15))/1,6))*1,"预算不足，这笔不做")),"")</f>
        <v/>
      </c>
      <c r="K24" s="36" t="n"/>
      <c r="L24" s="20" t="str">
        <f>IF(AND(ISNUMBER(F24),ISNUMBER(G24),ISNUMBER(K24)),IF(AND(F24&lt;&gt;G24,K24&gt;0),ABS(F24-G24)*K24*1,""),"")</f>
        <v/>
      </c>
      <c r="M24" s="30" t="n"/>
      <c r="N24" s="37" t="str">
        <f>IF(AND(ISNUMBER(L24),ISNUMBER(M24)),IF(E24="空",(G24*(1+'参数'!$C$17)-F24),(F24-G24*(1-'参数'!$C$17)))*K24/L24,"")</f>
        <v/>
      </c>
      <c r="O24" s="38" t="n"/>
      <c r="P24" s="31" t="n"/>
      <c r="Q24" s="32" t="n"/>
      <c r="R24" s="39" t="str">
        <f>IF(N(U24)&gt;0,SUMPRODUCT(LARGE(('例-成交明细'!$A$5:$A$804=A24)*('例-成交明细'!$D$5:$D$804=IF(E24="空","卖","买"))*'例-成交明细'!$B$5:$B$804,COUNTIFS('例-成交明细'!$A$5:$A$804,A24,'例-成交明细'!$D$5:$D$804,IF(E24="空","卖","买")))),"")</f>
        <v/>
      </c>
      <c r="S24" s="39" t="str">
        <f>IF(AND(N(U24)&gt;0,N(W24)&gt;=N(U24)),SUMPRODUCT(MAX(('例-成交明细'!$A$5:$A$804=A24)*('例-成交明细'!$D$5:$D$804=IF(E24="空","买","卖"))*'例-成交明细'!$B$5:$B$804)),"")</f>
        <v/>
      </c>
      <c r="T24" s="32" t="n"/>
      <c r="U24" s="35" t="str">
        <f>IF(A24="","",SUMIFS('例-成交明细'!$F$5:$F$804,'例-成交明细'!$A$5:$A$804,A24,'例-成交明细'!$D$5:$D$804,IF(E24="空","卖","买")))</f>
        <v/>
      </c>
      <c r="V24" s="40" t="str">
        <f>IF(N(U24)&gt;0,SUMIFS('例-成交明细'!$H$5:$H$804,'例-成交明细'!$A$5:$A$804,A24,'例-成交明细'!$D$5:$D$804,IF(E24="空","卖","买"))/U24,"")</f>
        <v/>
      </c>
      <c r="W24" s="35" t="str">
        <f>IF(A24="","",SUMIFS('例-成交明细'!$F$5:$F$804,'例-成交明细'!$A$5:$A$804,A24,'例-成交明细'!$D$5:$D$804,IF(E24="空","买","卖")))</f>
        <v/>
      </c>
      <c r="X24" s="40" t="str">
        <f>IF(N(W24)&gt;0,SUMIFS('例-成交明细'!$H$5:$H$804,'例-成交明细'!$A$5:$A$804,A24,'例-成交明细'!$D$5:$D$804,IF(E24="空","买","卖"))/W24,"")</f>
        <v/>
      </c>
      <c r="Y24" s="41" t="str">
        <f>IF(A24="","",IF(Q24&lt;&gt;"已执行",IF(Q24="","未填执行情况",Q24),IF(N(U24)=0,"待录成交",IF(N(W24)&gt;N(U24),"平仓多于开仓",IF(N(W24)&lt;N(U24),"持仓中","已平仓")))))</f>
        <v/>
      </c>
      <c r="Z24" s="41" t="str">
        <f>IF(AND(ISNUMBER(R24),ISNUMBER(S24)),IF(R24=S24,"日内",""),"")</f>
        <v/>
      </c>
      <c r="AA24" s="42" t="str">
        <f>IF(Z24&lt;&gt;"日内","",COUNTIFS($Z$5:$Z$304,"日内",$S$5:$S$304,"&gt;"&amp;WORKDAY(S24,-5),$S$5:$S$304,"&lt;="&amp;S24))</f>
        <v/>
      </c>
      <c r="AB24" s="41" t="str">
        <f>IF(OR(NOT(ISNUMBER(M24)),NOT(ISNUMBER(R24))),"",IF(AND(M24&gt;=R24,OR(NOT(ISNUMBER(S24)),M24&lt;=S24)),"持仓跨财报",""))</f>
        <v/>
      </c>
      <c r="AC24" s="20">
        <f>IF(AND(E24="空",ISNUMBER(O24),ISNUMBER(S24)),ROUND(O24*(S24-R24)/360*V24*U24,2),0)</f>
        <v>0</v>
      </c>
      <c r="AD24" s="43" t="str">
        <f>IF(N(U24)=0,"",SUMIFS('例-成交明细'!$L$5:$L$804,'例-成交明细'!$A$5:$A$804,A24)+AC24)</f>
        <v/>
      </c>
      <c r="AE24" s="44" t="str">
        <f>IF(Y24&lt;&gt;"已平仓","",(SUMIFS('例-成交明细'!$H$5:$H$804,'例-成交明细'!$A$5:$A$804,A24,'例-成交明细'!$D$5:$D$804,"卖")-SUMIFS('例-成交明细'!$H$5:$H$804,'例-成交明细'!$A$5:$A$804,A24,'例-成交明细'!$D$5:$D$804,"买"))*1-AD24)</f>
        <v/>
      </c>
      <c r="AF24" s="45" t="str">
        <f>IF(AND(Y24="已平仓",ISNUMBER(L24)),(SUMIFS('例-成交明细'!$H$5:$H$804,'例-成交明细'!$A$5:$A$804,A24,'例-成交明细'!$D$5:$D$804,"卖")-SUMIFS('例-成交明细'!$H$5:$H$804,'例-成交明细'!$A$5:$A$804,A24,'例-成交明细'!$D$5:$D$804,"买"))*1/L24,"")</f>
        <v/>
      </c>
      <c r="AG24" s="45" t="str">
        <f>IF(AND(Y24="已平仓",ISNUMBER(L24)),AE24/L24,"")</f>
        <v/>
      </c>
      <c r="AH24" s="46" t="str">
        <f>IF(AND(ISNUMBER(V24),ISNUMBER(F24)),IF(E24="空",F24-V24,V24-F24),"")</f>
        <v/>
      </c>
      <c r="AI24" s="46" t="str">
        <f>IF(OR(NOT(ISNUMBER(AE24)),NOT(ISNUMBER(X24))),"",IF(AE24&lt;0,IF(E24="空",X24-G24,G24-X24),IF(NOT(ISNUMBER(H24)),"",IF(E24="空",X24-H24,H24-X24))))</f>
        <v/>
      </c>
      <c r="AJ24" s="32" t="n"/>
      <c r="AK24" s="32" t="n"/>
      <c r="AL24" s="31" t="n"/>
      <c r="AM24" s="45" t="str">
        <f>IF(A24="","",SUM(AG$5:AG24))</f>
        <v/>
      </c>
      <c r="AN24" s="37" t="str">
        <f>IF(A24="","",MAX(0,MAX(AM$5:AM24))-AM24)</f>
        <v/>
      </c>
    </row>
  </sheetData>
  <mergeCells count="9">
    <mergeCell ref="Q3:AB3"/>
    <mergeCell ref="AL1:AN1"/>
    <mergeCell ref="A2:AN2"/>
    <mergeCell ref="AM3:AN3"/>
    <mergeCell ref="M3:O3"/>
    <mergeCell ref="AC3:AI3"/>
    <mergeCell ref="AJ3:AL3"/>
    <mergeCell ref="A1:AK1"/>
    <mergeCell ref="A3:L3"/>
  </mergeCells>
  <conditionalFormatting sqref="AE5:AE2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AF5:AF24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AG5:AG24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AM5:AM24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Y5:Y24">
    <cfRule type="cellIs" priority="9" operator="equal" dxfId="2">
      <formula>"持仓中"</formula>
    </cfRule>
    <cfRule type="expression" priority="10" dxfId="3">
      <formula>OR($Y5="待录成交",$Y5="平仓多于开仓",$Y5="未填执行情况")</formula>
    </cfRule>
  </conditionalFormatting>
  <conditionalFormatting sqref="J5:J24">
    <cfRule type="cellIs" priority="11" operator="equal" dxfId="3">
      <formula>"预算不足，这笔不做"</formula>
    </cfRule>
  </conditionalFormatting>
  <conditionalFormatting sqref="I5:I24">
    <cfRule type="cellIs" priority="12" operator="equal" dxfId="3">
      <formula>"止损方向不对"</formula>
    </cfRule>
  </conditionalFormatting>
  <conditionalFormatting sqref="K5:K24">
    <cfRule type="expression" priority="13" dxfId="4">
      <formula>AND(ISNUMBER($K5),ISNUMBER($J5),$K5&gt;$J5)</formula>
    </cfRule>
  </conditionalFormatting>
  <conditionalFormatting sqref="AJ5:AK24">
    <cfRule type="expression" priority="14" dxfId="5">
      <formula>AND(OR($AJ5="C",$AJ5="D"),N($AG5)&gt;0)</formula>
    </cfRule>
  </conditionalFormatting>
  <conditionalFormatting sqref="AH5:AH24">
    <cfRule type="expression" priority="15" dxfId="4">
      <formula>AND(ISNUMBER($AH5),$AH5&gt;ABS($F5)*0.01)</formula>
    </cfRule>
  </conditionalFormatting>
  <conditionalFormatting sqref="AB5:AB24">
    <cfRule type="cellIs" priority="16" operator="equal" dxfId="4">
      <formula>"持仓跨财报"</formula>
    </cfRule>
  </conditionalFormatting>
  <conditionalFormatting sqref="AA5:AA24">
    <cfRule type="cellIs" priority="17" operator="greaterThanOrEqual" dxfId="4">
      <formula>4</formula>
    </cfRule>
  </conditionalFormatting>
  <dataValidations count="9">
    <dataValidation sqref="A5:A24" showDropDown="0" showInputMessage="1" showErrorMessage="1" allowBlank="1" errorTitle="格式不对" error="编号请用数字（1、2、3…），成交明细里填同一个数字。" promptTitle="怎么填" prompt="用数字编号，成交明细里填同一个数字。" type="whole" errorStyle="stop" operator="greaterThanOrEqual">
      <formula1>1</formula1>
    </dataValidation>
    <dataValidation sqref="B5:B2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5:D24" showDropDown="0" showInputMessage="0" showErrorMessage="1" allowBlank="1" errorTitle="不在选项里" error="请从下拉里选；要加新选项，先去参数页的下拉选项里加。" type="list" errorStyle="warning">
      <formula1>'参数'!$B$22:$B$33</formula1>
    </dataValidation>
    <dataValidation sqref="E5:E24" showDropDown="0" showInputMessage="1" showErrorMessage="1" allowBlank="1" errorTitle="不在选项里" error="请从下拉里选；要加新选项，先去参数页的下拉选项里加。" promptTitle="怎么填" prompt="多：先买后卖。空：先卖后买。" type="list" errorStyle="stop">
      <formula1>'参数'!$C$22:$C$33</formula1>
    </dataValidation>
    <dataValidation sqref="Q5:Q24" showDropDown="0" showInputMessage="1" showErrorMessage="1" allowBlank="1" errorTitle="不在选项里" error="请从下拉里选；要加新选项，先去参数页的下拉选项里加。" promptTitle="怎么填" prompt="已执行：有成交。未成交：挂了没成交。主动放弃：按规则不做。漏单：该做没做。" type="list" errorStyle="stop">
      <formula1>'参数'!$D$22:$D$33</formula1>
    </dataValidation>
    <dataValidation sqref="AJ5:AJ24" showDropDown="0" showInputMessage="1" showErrorMessage="1" allowBlank="1" errorTitle="不在选项里" error="请从下拉里选；要加新选项，先去参数页的下拉选项里加。" promptTitle="怎么填" prompt="A 完全照计划；B 小偏差；C 违反一条规则；D 没有计划就下单。只看过程，不看赚亏。" type="list" errorStyle="stop">
      <formula1>'参数'!$E$22:$E$33</formula1>
    </dataValidation>
    <dataValidation sqref="AK5:AK24" showDropDown="0" showInputMessage="0" showErrorMessage="1" allowBlank="1" errorTitle="不在选项里" error="请从下拉里选；要加新选项，先去参数页的下拉选项里加。" type="list" errorStyle="warning">
      <formula1>'参数'!$F$22:$F$33</formula1>
    </dataValidation>
    <dataValidation sqref="T5:T24" showDropDown="0" showInputMessage="1" showErrorMessage="1" allowBlank="1" errorTitle="不在选项里" error="请从下拉里选；要加新选项，先去参数页的下拉选项里加。" promptTitle="怎么填" prompt="开仓那笔在盘前、常规时段还是盘后成交。盘前盘后成交稀，滑点和跳空都更大。" type="list" errorStyle="stop">
      <formula1>'参数'!$I$22:$I$33</formula1>
    </dataValidation>
    <dataValidation sqref="M5:M24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landscape" paperSize="9" scale="62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  <colBreaks count="1" manualBreakCount="1">
    <brk id="16" min="0" max="16383" man="1"/>
  </colBreaks>
</worksheet>
</file>

<file path=xl/worksheets/sheet10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O30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.5" customWidth="1" min="2" max="2"/>
    <col width="6.5" customWidth="1" min="3" max="3"/>
    <col width="5" customWidth="1" min="4" max="4"/>
    <col width="8" customWidth="1" min="5" max="5"/>
    <col width="8" customWidth="1" min="6" max="6"/>
    <col width="8.5" customWidth="1" min="7" max="7"/>
    <col width="10" customWidth="1" min="8" max="8"/>
    <col width="8" customWidth="1" min="9" max="9"/>
    <col width="8" customWidth="1" min="10" max="10"/>
    <col width="9" customWidth="1" min="11" max="11"/>
    <col width="8" customWidth="1" min="12" max="12"/>
    <col width="8.5" customWidth="1" min="13" max="13"/>
    <col width="10" customWidth="1" min="14" max="14"/>
    <col width="20" customWidth="1" min="15" max="15"/>
  </cols>
  <sheetData>
    <row r="1" ht="30" customHeight="1">
      <c r="A1" s="13" t="inlineStr">
        <is>
          <t>示例 · 美股交易日志：成交明细（每成交一笔记一行）</t>
        </is>
      </c>
      <c r="M1" s="14" t="inlineStr">
        <is>
          <t>TradeLearn · XtradingTime 交易内训</t>
        </is>
      </c>
    </row>
    <row r="2" ht="20" customHeight="1">
      <c r="A2" s="63" t="inlineStr">
        <is>
          <t>虚构示例，仅演示填法：成交价格和数量全部虚构。</t>
        </is>
      </c>
    </row>
    <row r="3" ht="18" customHeight="1">
      <c r="A3" s="28" t="inlineStr">
        <is>
          <t>成交（照成交单抄）</t>
        </is>
      </c>
      <c r="B3" s="28" t="n"/>
      <c r="C3" s="28" t="n"/>
      <c r="D3" s="28" t="n"/>
      <c r="E3" s="28" t="n"/>
      <c r="F3" s="28" t="n"/>
      <c r="G3" s="28" t="n"/>
      <c r="H3" s="28" t="inlineStr">
        <is>
          <t>金额与费用</t>
        </is>
      </c>
      <c r="I3" s="28" t="n"/>
      <c r="J3" s="28" t="n"/>
      <c r="K3" s="28" t="n"/>
      <c r="L3" s="28" t="n"/>
      <c r="M3" s="28" t="n"/>
      <c r="N3" s="28" t="inlineStr">
        <is>
          <t>核对</t>
        </is>
      </c>
      <c r="O3" s="28" t="n"/>
    </row>
    <row r="4" ht="54.4" customHeight="1">
      <c r="A4" s="26" t="inlineStr">
        <is>
          <t>交易编号</t>
        </is>
      </c>
      <c r="B4" s="26" t="inlineStr">
        <is>
          <t>成交日期</t>
        </is>
      </c>
      <c r="C4" s="26" t="inlineStr">
        <is>
          <t>时间</t>
        </is>
      </c>
      <c r="D4" s="26" t="inlineStr">
        <is>
          <t>买卖</t>
        </is>
      </c>
      <c r="E4" s="26" t="inlineStr">
        <is>
          <t>成交价</t>
        </is>
      </c>
      <c r="F4" s="26" t="inlineStr">
        <is>
          <t>股数</t>
        </is>
      </c>
      <c r="G4" s="26" t="inlineStr">
        <is>
          <t>参考价（下单时看到的价）</t>
        </is>
      </c>
      <c r="H4" s="26" t="inlineStr">
        <is>
          <t>价格 × 数量</t>
        </is>
      </c>
      <c r="I4" s="26" t="inlineStr">
        <is>
          <t>佣金估算</t>
        </is>
      </c>
      <c r="J4" s="26" t="inlineStr">
        <is>
          <t>卖出监管费估算</t>
        </is>
      </c>
      <c r="K4" s="26" t="inlineStr">
        <is>
          <t>实际费用（成交单有就填）</t>
        </is>
      </c>
      <c r="L4" s="26" t="inlineStr">
        <is>
          <t>计入费用</t>
        </is>
      </c>
      <c r="M4" s="26" t="inlineStr">
        <is>
          <t>滑点成本（不利为正）</t>
        </is>
      </c>
      <c r="N4" s="26" t="inlineStr">
        <is>
          <t>股票</t>
        </is>
      </c>
      <c r="O4" s="26" t="inlineStr">
        <is>
          <t>备注</t>
        </is>
      </c>
    </row>
    <row r="5" ht="18" customHeight="1">
      <c r="A5" s="29" t="n">
        <v>1</v>
      </c>
      <c r="B5" s="30" t="n">
        <v>47609</v>
      </c>
      <c r="C5" s="47" t="n">
        <v>0.4201388888888889</v>
      </c>
      <c r="D5" s="32" t="inlineStr">
        <is>
          <t>买</t>
        </is>
      </c>
      <c r="E5" s="33" t="n">
        <v>50.05</v>
      </c>
      <c r="F5" s="36" t="n">
        <v>130</v>
      </c>
      <c r="G5" s="33" t="n">
        <v>50</v>
      </c>
      <c r="H5" s="20">
        <f>IF(AND(ISNUMBER(E5),ISNUMBER(F5)),E5*F5,"")</f>
        <v>6506.5</v>
      </c>
      <c r="I5" s="43">
        <f>IF(ISNUMBER(H5),ROUND(MAX(F5*'参数'!$C$11,'参数'!$C$12)+'参数'!$C$13,2),"")</f>
        <v>1</v>
      </c>
      <c r="J5" s="43">
        <f>IF(ISNUMBER(H5),IF(D5="卖",ROUND(H5*N('参数'!$C$14)+F5*N('参数'!$C$15),2),0),"")</f>
        <v>0</v>
      </c>
      <c r="K5" s="23" t="n"/>
      <c r="L5" s="20">
        <f>IF(ISNUMBER(K5),K5,IF(ISNUMBER(H5),I5+J5,""))</f>
        <v>1</v>
      </c>
      <c r="M5" s="48">
        <f>IF(AND(ISNUMBER(E5),ISNUMBER(G5),ISNUMBER(F5)),(E5-G5)*IF(D5="卖",-1,1)*F5,"")</f>
        <v>6.49999999999963</v>
      </c>
      <c r="N5" s="49" t="str">
        <f>IF(A5="","",IFERROR(T(INDEX('例-交易记录'!$C$5:$C$304,MATCH(A5,'例-交易记录'!$A$5:$A$304,0))),"编号没找到"))</f>
        <v>示例股甲</v>
      </c>
      <c r="O5" s="31" t="inlineStr"/>
    </row>
    <row r="6" ht="18" customHeight="1">
      <c r="A6" s="29" t="n">
        <v>2</v>
      </c>
      <c r="B6" s="30" t="n">
        <v>47610</v>
      </c>
      <c r="C6" s="47" t="n">
        <v>0.4375</v>
      </c>
      <c r="D6" s="32" t="inlineStr">
        <is>
          <t>卖</t>
        </is>
      </c>
      <c r="E6" s="33" t="n">
        <v>119.9</v>
      </c>
      <c r="F6" s="36" t="n">
        <v>60</v>
      </c>
      <c r="G6" s="33" t="n">
        <v>120</v>
      </c>
      <c r="H6" s="20">
        <f>IF(AND(ISNUMBER(E6),ISNUMBER(F6)),E6*F6,"")</f>
        <v>7194</v>
      </c>
      <c r="I6" s="43">
        <f>IF(ISNUMBER(H6),ROUND(MAX(F6*'参数'!$C$11,'参数'!$C$12)+'参数'!$C$13,2),"")</f>
        <v>1</v>
      </c>
      <c r="J6" s="43">
        <f>IF(ISNUMBER(H6),IF(D6="卖",ROUND(H6*N('参数'!$C$14)+F6*N('参数'!$C$15),2),0),"")</f>
        <v>0</v>
      </c>
      <c r="K6" s="23" t="n"/>
      <c r="L6" s="20">
        <f>IF(ISNUMBER(K6),K6,IF(ISNUMBER(H6),I6+J6,""))</f>
        <v>1</v>
      </c>
      <c r="M6" s="48">
        <f>IF(AND(ISNUMBER(E6),ISNUMBER(G6),ISNUMBER(F6)),(E6-G6)*IF(D6="卖",-1,1)*F6,"")</f>
        <v>5.99999999999966</v>
      </c>
      <c r="N6" s="49" t="str">
        <f>IF(A6="","",IFERROR(T(INDEX('例-交易记录'!$C$5:$C$304,MATCH(A6,'例-交易记录'!$A$5:$A$304,0))),"编号没找到"))</f>
        <v>示例股乙</v>
      </c>
      <c r="O6" s="31" t="inlineStr">
        <is>
          <t>开空</t>
        </is>
      </c>
    </row>
    <row r="7" ht="18" customHeight="1">
      <c r="A7" s="29" t="n">
        <v>3</v>
      </c>
      <c r="B7" s="30" t="n">
        <v>47611</v>
      </c>
      <c r="C7" s="47" t="n">
        <v>0.4166666666666667</v>
      </c>
      <c r="D7" s="32" t="inlineStr">
        <is>
          <t>买</t>
        </is>
      </c>
      <c r="E7" s="33" t="n">
        <v>30.02</v>
      </c>
      <c r="F7" s="36" t="n">
        <v>450</v>
      </c>
      <c r="G7" s="33" t="n">
        <v>30</v>
      </c>
      <c r="H7" s="20">
        <f>IF(AND(ISNUMBER(E7),ISNUMBER(F7)),E7*F7,"")</f>
        <v>13509</v>
      </c>
      <c r="I7" s="43">
        <f>IF(ISNUMBER(H7),ROUND(MAX(F7*'参数'!$C$11,'参数'!$C$12)+'参数'!$C$13,2),"")</f>
        <v>2.25</v>
      </c>
      <c r="J7" s="43">
        <f>IF(ISNUMBER(H7),IF(D7="卖",ROUND(H7*N('参数'!$C$14)+F7*N('参数'!$C$15),2),0),"")</f>
        <v>0</v>
      </c>
      <c r="K7" s="23" t="n"/>
      <c r="L7" s="20">
        <f>IF(ISNUMBER(K7),K7,IF(ISNUMBER(H7),I7+J7,""))</f>
        <v>2.25</v>
      </c>
      <c r="M7" s="48">
        <f>IF(AND(ISNUMBER(E7),ISNUMBER(G7),ISNUMBER(F7)),(E7-G7)*IF(D7="卖",-1,1)*F7,"")</f>
        <v>8.99999999999981</v>
      </c>
      <c r="N7" s="49" t="str">
        <f>IF(A7="","",IFERROR(T(INDEX('例-交易记录'!$C$5:$C$304,MATCH(A7,'例-交易记录'!$A$5:$A$304,0))),"编号没找到"))</f>
        <v>示例股丙</v>
      </c>
      <c r="O7" s="31" t="inlineStr"/>
    </row>
    <row r="8" ht="18" customHeight="1">
      <c r="A8" s="29" t="n">
        <v>3</v>
      </c>
      <c r="B8" s="30" t="n">
        <v>47611</v>
      </c>
      <c r="C8" s="47" t="n">
        <v>0.6458333333333334</v>
      </c>
      <c r="D8" s="32" t="inlineStr">
        <is>
          <t>卖</t>
        </is>
      </c>
      <c r="E8" s="33" t="n">
        <v>29.58</v>
      </c>
      <c r="F8" s="36" t="n">
        <v>450</v>
      </c>
      <c r="G8" s="33" t="n">
        <v>29.6</v>
      </c>
      <c r="H8" s="20">
        <f>IF(AND(ISNUMBER(E8),ISNUMBER(F8)),E8*F8,"")</f>
        <v>13311</v>
      </c>
      <c r="I8" s="43">
        <f>IF(ISNUMBER(H8),ROUND(MAX(F8*'参数'!$C$11,'参数'!$C$12)+'参数'!$C$13,2),"")</f>
        <v>2.25</v>
      </c>
      <c r="J8" s="43">
        <f>IF(ISNUMBER(H8),IF(D8="卖",ROUND(H8*N('参数'!$C$14)+F8*N('参数'!$C$15),2),0),"")</f>
        <v>0</v>
      </c>
      <c r="K8" s="23" t="n"/>
      <c r="L8" s="20">
        <f>IF(ISNUMBER(K8),K8,IF(ISNUMBER(H8),I8+J8,""))</f>
        <v>2.25</v>
      </c>
      <c r="M8" s="48">
        <f>IF(AND(ISNUMBER(E8),ISNUMBER(G8),ISNUMBER(F8)),(E8-G8)*IF(D8="卖",-1,1)*F8,"")</f>
        <v>9.00000000000141</v>
      </c>
      <c r="N8" s="49" t="str">
        <f>IF(A8="","",IFERROR(T(INDEX('例-交易记录'!$C$5:$C$304,MATCH(A8,'例-交易记录'!$A$5:$A$304,0))),"编号没找到"))</f>
        <v>示例股丙</v>
      </c>
      <c r="O8" s="31" t="inlineStr">
        <is>
          <t>止损</t>
        </is>
      </c>
    </row>
    <row r="9" ht="18" customHeight="1">
      <c r="A9" s="29" t="n">
        <v>1</v>
      </c>
      <c r="B9" s="30" t="n">
        <v>47612</v>
      </c>
      <c r="C9" s="47" t="n">
        <v>0.6180555555555556</v>
      </c>
      <c r="D9" s="32" t="inlineStr">
        <is>
          <t>卖</t>
        </is>
      </c>
      <c r="E9" s="33" t="n">
        <v>54.4</v>
      </c>
      <c r="F9" s="36" t="n">
        <v>130</v>
      </c>
      <c r="G9" s="33" t="n">
        <v>54.5</v>
      </c>
      <c r="H9" s="20">
        <f>IF(AND(ISNUMBER(E9),ISNUMBER(F9)),E9*F9,"")</f>
        <v>7072</v>
      </c>
      <c r="I9" s="43">
        <f>IF(ISNUMBER(H9),ROUND(MAX(F9*'参数'!$C$11,'参数'!$C$12)+'参数'!$C$13,2),"")</f>
        <v>1</v>
      </c>
      <c r="J9" s="43">
        <f>IF(ISNUMBER(H9),IF(D9="卖",ROUND(H9*N('参数'!$C$14)+F9*N('参数'!$C$15),2),0),"")</f>
        <v>0</v>
      </c>
      <c r="K9" s="23" t="n"/>
      <c r="L9" s="20">
        <f>IF(ISNUMBER(K9),K9,IF(ISNUMBER(H9),I9+J9,""))</f>
        <v>1</v>
      </c>
      <c r="M9" s="48">
        <f>IF(AND(ISNUMBER(E9),ISNUMBER(G9),ISNUMBER(F9)),(E9-G9)*IF(D9="卖",-1,1)*F9,"")</f>
        <v>13.0000000000002</v>
      </c>
      <c r="N9" s="49" t="str">
        <f>IF(A9="","",IFERROR(T(INDEX('例-交易记录'!$C$5:$C$304,MATCH(A9,'例-交易记录'!$A$5:$A$304,0))),"编号没找到"))</f>
        <v>示例股甲</v>
      </c>
      <c r="O9" s="31" t="inlineStr"/>
    </row>
    <row r="10" ht="18" customHeight="1">
      <c r="A10" s="29" t="n">
        <v>4</v>
      </c>
      <c r="B10" s="30" t="n">
        <v>47612</v>
      </c>
      <c r="C10" s="47" t="n">
        <v>0.4097222222222222</v>
      </c>
      <c r="D10" s="32" t="inlineStr">
        <is>
          <t>买</t>
        </is>
      </c>
      <c r="E10" s="33" t="n">
        <v>30.4</v>
      </c>
      <c r="F10" s="36" t="n">
        <v>450</v>
      </c>
      <c r="G10" s="33" t="n">
        <v>30.4</v>
      </c>
      <c r="H10" s="20">
        <f>IF(AND(ISNUMBER(E10),ISNUMBER(F10)),E10*F10,"")</f>
        <v>13680</v>
      </c>
      <c r="I10" s="43">
        <f>IF(ISNUMBER(H10),ROUND(MAX(F10*'参数'!$C$11,'参数'!$C$12)+'参数'!$C$13,2),"")</f>
        <v>2.25</v>
      </c>
      <c r="J10" s="43">
        <f>IF(ISNUMBER(H10),IF(D10="卖",ROUND(H10*N('参数'!$C$14)+F10*N('参数'!$C$15),2),0),"")</f>
        <v>0</v>
      </c>
      <c r="K10" s="23" t="n"/>
      <c r="L10" s="20">
        <f>IF(ISNUMBER(K10),K10,IF(ISNUMBER(H10),I10+J10,""))</f>
        <v>2.25</v>
      </c>
      <c r="M10" s="48">
        <f>IF(AND(ISNUMBER(E10),ISNUMBER(G10),ISNUMBER(F10)),(E10-G10)*IF(D10="卖",-1,1)*F10,"")</f>
        <v>0</v>
      </c>
      <c r="N10" s="49" t="str">
        <f>IF(A10="","",IFERROR(T(INDEX('例-交易记录'!$C$5:$C$304,MATCH(A10,'例-交易记录'!$A$5:$A$304,0))),"编号没找到"))</f>
        <v>示例股丙</v>
      </c>
      <c r="O10" s="31" t="inlineStr"/>
    </row>
    <row r="11" ht="18" customHeight="1">
      <c r="A11" s="29" t="n">
        <v>4</v>
      </c>
      <c r="B11" s="30" t="n">
        <v>47612</v>
      </c>
      <c r="C11" s="47" t="n">
        <v>0.5555555555555556</v>
      </c>
      <c r="D11" s="32" t="inlineStr">
        <is>
          <t>卖</t>
        </is>
      </c>
      <c r="E11" s="33" t="n">
        <v>30.95</v>
      </c>
      <c r="F11" s="36" t="n">
        <v>450</v>
      </c>
      <c r="G11" s="33" t="n">
        <v>30.95</v>
      </c>
      <c r="H11" s="20">
        <f>IF(AND(ISNUMBER(E11),ISNUMBER(F11)),E11*F11,"")</f>
        <v>13927.5</v>
      </c>
      <c r="I11" s="43">
        <f>IF(ISNUMBER(H11),ROUND(MAX(F11*'参数'!$C$11,'参数'!$C$12)+'参数'!$C$13,2),"")</f>
        <v>2.25</v>
      </c>
      <c r="J11" s="43">
        <f>IF(ISNUMBER(H11),IF(D11="卖",ROUND(H11*N('参数'!$C$14)+F11*N('参数'!$C$15),2),0),"")</f>
        <v>0</v>
      </c>
      <c r="K11" s="23" t="n"/>
      <c r="L11" s="20">
        <f>IF(ISNUMBER(K11),K11,IF(ISNUMBER(H11),I11+J11,""))</f>
        <v>2.25</v>
      </c>
      <c r="M11" s="48">
        <f>IF(AND(ISNUMBER(E11),ISNUMBER(G11),ISNUMBER(F11)),(E11-G11)*IF(D11="卖",-1,1)*F11,"")</f>
        <v>0</v>
      </c>
      <c r="N11" s="49" t="str">
        <f>IF(A11="","",IFERROR(T(INDEX('例-交易记录'!$C$5:$C$304,MATCH(A11,'例-交易记录'!$A$5:$A$304,0))),"编号没找到"))</f>
        <v>示例股丙</v>
      </c>
      <c r="O11" s="31" t="inlineStr">
        <is>
          <t>提前走了</t>
        </is>
      </c>
    </row>
    <row r="12" ht="18" customHeight="1">
      <c r="A12" s="29" t="n">
        <v>5</v>
      </c>
      <c r="B12" s="30" t="n">
        <v>47613</v>
      </c>
      <c r="C12" s="47" t="n">
        <v>0.4583333333333333</v>
      </c>
      <c r="D12" s="32" t="inlineStr">
        <is>
          <t>买</t>
        </is>
      </c>
      <c r="E12" s="33" t="n">
        <v>55.05</v>
      </c>
      <c r="F12" s="36" t="n">
        <v>100</v>
      </c>
      <c r="G12" s="33" t="n">
        <v>55</v>
      </c>
      <c r="H12" s="20">
        <f>IF(AND(ISNUMBER(E12),ISNUMBER(F12)),E12*F12,"")</f>
        <v>5505</v>
      </c>
      <c r="I12" s="43">
        <f>IF(ISNUMBER(H12),ROUND(MAX(F12*'参数'!$C$11,'参数'!$C$12)+'参数'!$C$13,2),"")</f>
        <v>1</v>
      </c>
      <c r="J12" s="43">
        <f>IF(ISNUMBER(H12),IF(D12="卖",ROUND(H12*N('参数'!$C$14)+F12*N('参数'!$C$15),2),0),"")</f>
        <v>0</v>
      </c>
      <c r="K12" s="23" t="n"/>
      <c r="L12" s="20">
        <f>IF(ISNUMBER(K12),K12,IF(ISNUMBER(H12),I12+J12,""))</f>
        <v>1</v>
      </c>
      <c r="M12" s="48">
        <f>IF(AND(ISNUMBER(E12),ISNUMBER(G12),ISNUMBER(F12)),(E12-G12)*IF(D12="卖",-1,1)*F12,"")</f>
        <v>4.99999999999972</v>
      </c>
      <c r="N12" s="49" t="str">
        <f>IF(A12="","",IFERROR(T(INDEX('例-交易记录'!$C$5:$C$304,MATCH(A12,'例-交易记录'!$A$5:$A$304,0))),"编号没找到"))</f>
        <v>示例股甲</v>
      </c>
      <c r="O12" s="31" t="inlineStr"/>
    </row>
    <row r="13" ht="18" customHeight="1">
      <c r="A13" s="29" t="n">
        <v>2</v>
      </c>
      <c r="B13" s="30" t="n">
        <v>47617</v>
      </c>
      <c r="C13" s="47" t="n">
        <v>0.4166666666666667</v>
      </c>
      <c r="D13" s="32" t="inlineStr">
        <is>
          <t>买</t>
        </is>
      </c>
      <c r="E13" s="33" t="n">
        <v>112</v>
      </c>
      <c r="F13" s="36" t="n">
        <v>60</v>
      </c>
      <c r="G13" s="33" t="n">
        <v>111</v>
      </c>
      <c r="H13" s="20">
        <f>IF(AND(ISNUMBER(E13),ISNUMBER(F13)),E13*F13,"")</f>
        <v>6720</v>
      </c>
      <c r="I13" s="43">
        <f>IF(ISNUMBER(H13),ROUND(MAX(F13*'参数'!$C$11,'参数'!$C$12)+'参数'!$C$13,2),"")</f>
        <v>1</v>
      </c>
      <c r="J13" s="43">
        <f>IF(ISNUMBER(H13),IF(D13="卖",ROUND(H13*N('参数'!$C$14)+F13*N('参数'!$C$15),2),0),"")</f>
        <v>0</v>
      </c>
      <c r="K13" s="23" t="n"/>
      <c r="L13" s="20">
        <f>IF(ISNUMBER(K13),K13,IF(ISNUMBER(H13),I13+J13,""))</f>
        <v>1</v>
      </c>
      <c r="M13" s="48">
        <f>IF(AND(ISNUMBER(E13),ISNUMBER(G13),ISNUMBER(F13)),(E13-G13)*IF(D13="卖",-1,1)*F13,"")</f>
        <v>60</v>
      </c>
      <c r="N13" s="49" t="str">
        <f>IF(A13="","",IFERROR(T(INDEX('例-交易记录'!$C$5:$C$304,MATCH(A13,'例-交易记录'!$A$5:$A$304,0))),"编号没找到"))</f>
        <v>示例股乙</v>
      </c>
      <c r="O13" s="31" t="inlineStr">
        <is>
          <t>平空</t>
        </is>
      </c>
    </row>
    <row r="14" ht="32" customHeight="1">
      <c r="A14" s="29" t="n">
        <v>5</v>
      </c>
      <c r="B14" s="30" t="n">
        <v>47618</v>
      </c>
      <c r="C14" s="47" t="n">
        <v>0.3965277777777778</v>
      </c>
      <c r="D14" s="32" t="inlineStr">
        <is>
          <t>卖</t>
        </is>
      </c>
      <c r="E14" s="33" t="n">
        <v>50.8</v>
      </c>
      <c r="F14" s="36" t="n">
        <v>100</v>
      </c>
      <c r="G14" s="33" t="n">
        <v>52</v>
      </c>
      <c r="H14" s="20">
        <f>IF(AND(ISNUMBER(E14),ISNUMBER(F14)),E14*F14,"")</f>
        <v>5080</v>
      </c>
      <c r="I14" s="43">
        <f>IF(ISNUMBER(H14),ROUND(MAX(F14*'参数'!$C$11,'参数'!$C$12)+'参数'!$C$13,2),"")</f>
        <v>1</v>
      </c>
      <c r="J14" s="43">
        <f>IF(ISNUMBER(H14),IF(D14="卖",ROUND(H14*N('参数'!$C$14)+F14*N('参数'!$C$15),2),0),"")</f>
        <v>0</v>
      </c>
      <c r="K14" s="23" t="n"/>
      <c r="L14" s="20">
        <f>IF(ISNUMBER(K14),K14,IF(ISNUMBER(H14),I14+J14,""))</f>
        <v>1</v>
      </c>
      <c r="M14" s="48">
        <f>IF(AND(ISNUMBER(E14),ISNUMBER(G14),ISNUMBER(F14)),(E14-G14)*IF(D14="卖",-1,1)*F14,"")</f>
        <v>120</v>
      </c>
      <c r="N14" s="49" t="str">
        <f>IF(A14="","",IFERROR(T(INDEX('例-交易记录'!$C$5:$C$304,MATCH(A14,'例-交易记录'!$A$5:$A$304,0))),"编号没找到"))</f>
        <v>示例股甲</v>
      </c>
      <c r="O14" s="31" t="inlineStr">
        <is>
          <t>财报后低开，开盘就卖</t>
        </is>
      </c>
    </row>
    <row r="15" ht="18" customHeight="1">
      <c r="A15" s="29" t="n">
        <v>8</v>
      </c>
      <c r="B15" s="30" t="n">
        <v>47619</v>
      </c>
      <c r="C15" s="47" t="n">
        <v>0.4236111111111111</v>
      </c>
      <c r="D15" s="32" t="inlineStr">
        <is>
          <t>买</t>
        </is>
      </c>
      <c r="E15" s="33" t="n">
        <v>51.02</v>
      </c>
      <c r="F15" s="36" t="n">
        <v>130</v>
      </c>
      <c r="G15" s="33" t="n">
        <v>51</v>
      </c>
      <c r="H15" s="20">
        <f>IF(AND(ISNUMBER(E15),ISNUMBER(F15)),E15*F15,"")</f>
        <v>6632.6</v>
      </c>
      <c r="I15" s="43">
        <f>IF(ISNUMBER(H15),ROUND(MAX(F15*'参数'!$C$11,'参数'!$C$12)+'参数'!$C$13,2),"")</f>
        <v>1</v>
      </c>
      <c r="J15" s="43">
        <f>IF(ISNUMBER(H15),IF(D15="卖",ROUND(H15*N('参数'!$C$14)+F15*N('参数'!$C$15),2),0),"")</f>
        <v>0</v>
      </c>
      <c r="K15" s="23" t="n"/>
      <c r="L15" s="20">
        <f>IF(ISNUMBER(K15),K15,IF(ISNUMBER(H15),I15+J15,""))</f>
        <v>1</v>
      </c>
      <c r="M15" s="48">
        <f>IF(AND(ISNUMBER(E15),ISNUMBER(G15),ISNUMBER(F15)),(E15-G15)*IF(D15="卖",-1,1)*F15,"")</f>
        <v>2.60000000000041</v>
      </c>
      <c r="N15" s="49" t="str">
        <f>IF(A15="","",IFERROR(T(INDEX('例-交易记录'!$C$5:$C$304,MATCH(A15,'例-交易记录'!$A$5:$A$304,0))),"编号没找到"))</f>
        <v>示例股甲</v>
      </c>
      <c r="O15" s="31" t="inlineStr"/>
    </row>
    <row r="16">
      <c r="A16" s="29" t="n"/>
      <c r="B16" s="30" t="n"/>
      <c r="C16" s="47" t="n"/>
      <c r="D16" s="32" t="n"/>
      <c r="E16" s="33" t="n"/>
      <c r="F16" s="36" t="n"/>
      <c r="G16" s="33" t="n"/>
      <c r="H16" s="20" t="str">
        <f>IF(AND(ISNUMBER(E16),ISNUMBER(F16)),E16*F16,"")</f>
        <v/>
      </c>
      <c r="I16" s="43" t="str">
        <f>IF(ISNUMBER(H16),ROUND(MAX(F16*'参数'!$C$11,'参数'!$C$12)+'参数'!$C$13,2),"")</f>
        <v/>
      </c>
      <c r="J16" s="43" t="str">
        <f>IF(ISNUMBER(H16),IF(D16="卖",ROUND(H16*N('参数'!$C$14)+F16*N('参数'!$C$15),2),0),"")</f>
        <v/>
      </c>
      <c r="K16" s="23" t="n"/>
      <c r="L16" s="20" t="str">
        <f>IF(ISNUMBER(K16),K16,IF(ISNUMBER(H16),I16+J16,""))</f>
        <v/>
      </c>
      <c r="M16" s="48" t="str">
        <f>IF(AND(ISNUMBER(E16),ISNUMBER(G16),ISNUMBER(F16)),(E16-G16)*IF(D16="卖",-1,1)*F16,"")</f>
        <v/>
      </c>
      <c r="N16" s="49" t="str">
        <f>IF(A16="","",IFERROR(T(INDEX('例-交易记录'!$C$5:$C$304,MATCH(A16,'例-交易记录'!$A$5:$A$304,0))),"编号没找到"))</f>
        <v/>
      </c>
      <c r="O16" s="31" t="n"/>
    </row>
    <row r="17">
      <c r="A17" s="29" t="n"/>
      <c r="B17" s="30" t="n"/>
      <c r="C17" s="47" t="n"/>
      <c r="D17" s="32" t="n"/>
      <c r="E17" s="33" t="n"/>
      <c r="F17" s="36" t="n"/>
      <c r="G17" s="33" t="n"/>
      <c r="H17" s="20" t="str">
        <f>IF(AND(ISNUMBER(E17),ISNUMBER(F17)),E17*F17,"")</f>
        <v/>
      </c>
      <c r="I17" s="43" t="str">
        <f>IF(ISNUMBER(H17),ROUND(MAX(F17*'参数'!$C$11,'参数'!$C$12)+'参数'!$C$13,2),"")</f>
        <v/>
      </c>
      <c r="J17" s="43" t="str">
        <f>IF(ISNUMBER(H17),IF(D17="卖",ROUND(H17*N('参数'!$C$14)+F17*N('参数'!$C$15),2),0),"")</f>
        <v/>
      </c>
      <c r="K17" s="23" t="n"/>
      <c r="L17" s="20" t="str">
        <f>IF(ISNUMBER(K17),K17,IF(ISNUMBER(H17),I17+J17,""))</f>
        <v/>
      </c>
      <c r="M17" s="48" t="str">
        <f>IF(AND(ISNUMBER(E17),ISNUMBER(G17),ISNUMBER(F17)),(E17-G17)*IF(D17="卖",-1,1)*F17,"")</f>
        <v/>
      </c>
      <c r="N17" s="49" t="str">
        <f>IF(A17="","",IFERROR(T(INDEX('例-交易记录'!$C$5:$C$304,MATCH(A17,'例-交易记录'!$A$5:$A$304,0))),"编号没找到"))</f>
        <v/>
      </c>
      <c r="O17" s="31" t="n"/>
    </row>
    <row r="18">
      <c r="A18" s="29" t="n"/>
      <c r="B18" s="30" t="n"/>
      <c r="C18" s="47" t="n"/>
      <c r="D18" s="32" t="n"/>
      <c r="E18" s="33" t="n"/>
      <c r="F18" s="36" t="n"/>
      <c r="G18" s="33" t="n"/>
      <c r="H18" s="20" t="str">
        <f>IF(AND(ISNUMBER(E18),ISNUMBER(F18)),E18*F18,"")</f>
        <v/>
      </c>
      <c r="I18" s="43" t="str">
        <f>IF(ISNUMBER(H18),ROUND(MAX(F18*'参数'!$C$11,'参数'!$C$12)+'参数'!$C$13,2),"")</f>
        <v/>
      </c>
      <c r="J18" s="43" t="str">
        <f>IF(ISNUMBER(H18),IF(D18="卖",ROUND(H18*N('参数'!$C$14)+F18*N('参数'!$C$15),2),0),"")</f>
        <v/>
      </c>
      <c r="K18" s="23" t="n"/>
      <c r="L18" s="20" t="str">
        <f>IF(ISNUMBER(K18),K18,IF(ISNUMBER(H18),I18+J18,""))</f>
        <v/>
      </c>
      <c r="M18" s="48" t="str">
        <f>IF(AND(ISNUMBER(E18),ISNUMBER(G18),ISNUMBER(F18)),(E18-G18)*IF(D18="卖",-1,1)*F18,"")</f>
        <v/>
      </c>
      <c r="N18" s="49" t="str">
        <f>IF(A18="","",IFERROR(T(INDEX('例-交易记录'!$C$5:$C$304,MATCH(A18,'例-交易记录'!$A$5:$A$304,0))),"编号没找到"))</f>
        <v/>
      </c>
      <c r="O18" s="31" t="n"/>
    </row>
    <row r="19">
      <c r="A19" s="29" t="n"/>
      <c r="B19" s="30" t="n"/>
      <c r="C19" s="47" t="n"/>
      <c r="D19" s="32" t="n"/>
      <c r="E19" s="33" t="n"/>
      <c r="F19" s="36" t="n"/>
      <c r="G19" s="33" t="n"/>
      <c r="H19" s="20" t="str">
        <f>IF(AND(ISNUMBER(E19),ISNUMBER(F19)),E19*F19,"")</f>
        <v/>
      </c>
      <c r="I19" s="43" t="str">
        <f>IF(ISNUMBER(H19),ROUND(MAX(F19*'参数'!$C$11,'参数'!$C$12)+'参数'!$C$13,2),"")</f>
        <v/>
      </c>
      <c r="J19" s="43" t="str">
        <f>IF(ISNUMBER(H19),IF(D19="卖",ROUND(H19*N('参数'!$C$14)+F19*N('参数'!$C$15),2),0),"")</f>
        <v/>
      </c>
      <c r="K19" s="23" t="n"/>
      <c r="L19" s="20" t="str">
        <f>IF(ISNUMBER(K19),K19,IF(ISNUMBER(H19),I19+J19,""))</f>
        <v/>
      </c>
      <c r="M19" s="48" t="str">
        <f>IF(AND(ISNUMBER(E19),ISNUMBER(G19),ISNUMBER(F19)),(E19-G19)*IF(D19="卖",-1,1)*F19,"")</f>
        <v/>
      </c>
      <c r="N19" s="49" t="str">
        <f>IF(A19="","",IFERROR(T(INDEX('例-交易记录'!$C$5:$C$304,MATCH(A19,'例-交易记录'!$A$5:$A$304,0))),"编号没找到"))</f>
        <v/>
      </c>
      <c r="O19" s="31" t="n"/>
    </row>
    <row r="20">
      <c r="A20" s="29" t="n"/>
      <c r="B20" s="30" t="n"/>
      <c r="C20" s="47" t="n"/>
      <c r="D20" s="32" t="n"/>
      <c r="E20" s="33" t="n"/>
      <c r="F20" s="36" t="n"/>
      <c r="G20" s="33" t="n"/>
      <c r="H20" s="20" t="str">
        <f>IF(AND(ISNUMBER(E20),ISNUMBER(F20)),E20*F20,"")</f>
        <v/>
      </c>
      <c r="I20" s="43" t="str">
        <f>IF(ISNUMBER(H20),ROUND(MAX(F20*'参数'!$C$11,'参数'!$C$12)+'参数'!$C$13,2),"")</f>
        <v/>
      </c>
      <c r="J20" s="43" t="str">
        <f>IF(ISNUMBER(H20),IF(D20="卖",ROUND(H20*N('参数'!$C$14)+F20*N('参数'!$C$15),2),0),"")</f>
        <v/>
      </c>
      <c r="K20" s="23" t="n"/>
      <c r="L20" s="20" t="str">
        <f>IF(ISNUMBER(K20),K20,IF(ISNUMBER(H20),I20+J20,""))</f>
        <v/>
      </c>
      <c r="M20" s="48" t="str">
        <f>IF(AND(ISNUMBER(E20),ISNUMBER(G20),ISNUMBER(F20)),(E20-G20)*IF(D20="卖",-1,1)*F20,"")</f>
        <v/>
      </c>
      <c r="N20" s="49" t="str">
        <f>IF(A20="","",IFERROR(T(INDEX('例-交易记录'!$C$5:$C$304,MATCH(A20,'例-交易记录'!$A$5:$A$304,0))),"编号没找到"))</f>
        <v/>
      </c>
      <c r="O20" s="31" t="n"/>
    </row>
    <row r="21">
      <c r="A21" s="29" t="n"/>
      <c r="B21" s="30" t="n"/>
      <c r="C21" s="47" t="n"/>
      <c r="D21" s="32" t="n"/>
      <c r="E21" s="33" t="n"/>
      <c r="F21" s="36" t="n"/>
      <c r="G21" s="33" t="n"/>
      <c r="H21" s="20" t="str">
        <f>IF(AND(ISNUMBER(E21),ISNUMBER(F21)),E21*F21,"")</f>
        <v/>
      </c>
      <c r="I21" s="43" t="str">
        <f>IF(ISNUMBER(H21),ROUND(MAX(F21*'参数'!$C$11,'参数'!$C$12)+'参数'!$C$13,2),"")</f>
        <v/>
      </c>
      <c r="J21" s="43" t="str">
        <f>IF(ISNUMBER(H21),IF(D21="卖",ROUND(H21*N('参数'!$C$14)+F21*N('参数'!$C$15),2),0),"")</f>
        <v/>
      </c>
      <c r="K21" s="23" t="n"/>
      <c r="L21" s="20" t="str">
        <f>IF(ISNUMBER(K21),K21,IF(ISNUMBER(H21),I21+J21,""))</f>
        <v/>
      </c>
      <c r="M21" s="48" t="str">
        <f>IF(AND(ISNUMBER(E21),ISNUMBER(G21),ISNUMBER(F21)),(E21-G21)*IF(D21="卖",-1,1)*F21,"")</f>
        <v/>
      </c>
      <c r="N21" s="49" t="str">
        <f>IF(A21="","",IFERROR(T(INDEX('例-交易记录'!$C$5:$C$304,MATCH(A21,'例-交易记录'!$A$5:$A$304,0))),"编号没找到"))</f>
        <v/>
      </c>
      <c r="O21" s="31" t="n"/>
    </row>
    <row r="22">
      <c r="A22" s="29" t="n"/>
      <c r="B22" s="30" t="n"/>
      <c r="C22" s="47" t="n"/>
      <c r="D22" s="32" t="n"/>
      <c r="E22" s="33" t="n"/>
      <c r="F22" s="36" t="n"/>
      <c r="G22" s="33" t="n"/>
      <c r="H22" s="20" t="str">
        <f>IF(AND(ISNUMBER(E22),ISNUMBER(F22)),E22*F22,"")</f>
        <v/>
      </c>
      <c r="I22" s="43" t="str">
        <f>IF(ISNUMBER(H22),ROUND(MAX(F22*'参数'!$C$11,'参数'!$C$12)+'参数'!$C$13,2),"")</f>
        <v/>
      </c>
      <c r="J22" s="43" t="str">
        <f>IF(ISNUMBER(H22),IF(D22="卖",ROUND(H22*N('参数'!$C$14)+F22*N('参数'!$C$15),2),0),"")</f>
        <v/>
      </c>
      <c r="K22" s="23" t="n"/>
      <c r="L22" s="20" t="str">
        <f>IF(ISNUMBER(K22),K22,IF(ISNUMBER(H22),I22+J22,""))</f>
        <v/>
      </c>
      <c r="M22" s="48" t="str">
        <f>IF(AND(ISNUMBER(E22),ISNUMBER(G22),ISNUMBER(F22)),(E22-G22)*IF(D22="卖",-1,1)*F22,"")</f>
        <v/>
      </c>
      <c r="N22" s="49" t="str">
        <f>IF(A22="","",IFERROR(T(INDEX('例-交易记录'!$C$5:$C$304,MATCH(A22,'例-交易记录'!$A$5:$A$304,0))),"编号没找到"))</f>
        <v/>
      </c>
      <c r="O22" s="31" t="n"/>
    </row>
    <row r="23">
      <c r="A23" s="29" t="n"/>
      <c r="B23" s="30" t="n"/>
      <c r="C23" s="47" t="n"/>
      <c r="D23" s="32" t="n"/>
      <c r="E23" s="33" t="n"/>
      <c r="F23" s="36" t="n"/>
      <c r="G23" s="33" t="n"/>
      <c r="H23" s="20" t="str">
        <f>IF(AND(ISNUMBER(E23),ISNUMBER(F23)),E23*F23,"")</f>
        <v/>
      </c>
      <c r="I23" s="43" t="str">
        <f>IF(ISNUMBER(H23),ROUND(MAX(F23*'参数'!$C$11,'参数'!$C$12)+'参数'!$C$13,2),"")</f>
        <v/>
      </c>
      <c r="J23" s="43" t="str">
        <f>IF(ISNUMBER(H23),IF(D23="卖",ROUND(H23*N('参数'!$C$14)+F23*N('参数'!$C$15),2),0),"")</f>
        <v/>
      </c>
      <c r="K23" s="23" t="n"/>
      <c r="L23" s="20" t="str">
        <f>IF(ISNUMBER(K23),K23,IF(ISNUMBER(H23),I23+J23,""))</f>
        <v/>
      </c>
      <c r="M23" s="48" t="str">
        <f>IF(AND(ISNUMBER(E23),ISNUMBER(G23),ISNUMBER(F23)),(E23-G23)*IF(D23="卖",-1,1)*F23,"")</f>
        <v/>
      </c>
      <c r="N23" s="49" t="str">
        <f>IF(A23="","",IFERROR(T(INDEX('例-交易记录'!$C$5:$C$304,MATCH(A23,'例-交易记录'!$A$5:$A$304,0))),"编号没找到"))</f>
        <v/>
      </c>
      <c r="O23" s="31" t="n"/>
    </row>
    <row r="24">
      <c r="A24" s="29" t="n"/>
      <c r="B24" s="30" t="n"/>
      <c r="C24" s="47" t="n"/>
      <c r="D24" s="32" t="n"/>
      <c r="E24" s="33" t="n"/>
      <c r="F24" s="36" t="n"/>
      <c r="G24" s="33" t="n"/>
      <c r="H24" s="20" t="str">
        <f>IF(AND(ISNUMBER(E24),ISNUMBER(F24)),E24*F24,"")</f>
        <v/>
      </c>
      <c r="I24" s="43" t="str">
        <f>IF(ISNUMBER(H24),ROUND(MAX(F24*'参数'!$C$11,'参数'!$C$12)+'参数'!$C$13,2),"")</f>
        <v/>
      </c>
      <c r="J24" s="43" t="str">
        <f>IF(ISNUMBER(H24),IF(D24="卖",ROUND(H24*N('参数'!$C$14)+F24*N('参数'!$C$15),2),0),"")</f>
        <v/>
      </c>
      <c r="K24" s="23" t="n"/>
      <c r="L24" s="20" t="str">
        <f>IF(ISNUMBER(K24),K24,IF(ISNUMBER(H24),I24+J24,""))</f>
        <v/>
      </c>
      <c r="M24" s="48" t="str">
        <f>IF(AND(ISNUMBER(E24),ISNUMBER(G24),ISNUMBER(F24)),(E24-G24)*IF(D24="卖",-1,1)*F24,"")</f>
        <v/>
      </c>
      <c r="N24" s="49" t="str">
        <f>IF(A24="","",IFERROR(T(INDEX('例-交易记录'!$C$5:$C$304,MATCH(A24,'例-交易记录'!$A$5:$A$304,0))),"编号没找到"))</f>
        <v/>
      </c>
      <c r="O24" s="31" t="n"/>
    </row>
    <row r="25">
      <c r="A25" s="29" t="n"/>
      <c r="B25" s="30" t="n"/>
      <c r="C25" s="47" t="n"/>
      <c r="D25" s="32" t="n"/>
      <c r="E25" s="33" t="n"/>
      <c r="F25" s="36" t="n"/>
      <c r="G25" s="33" t="n"/>
      <c r="H25" s="20" t="str">
        <f>IF(AND(ISNUMBER(E25),ISNUMBER(F25)),E25*F25,"")</f>
        <v/>
      </c>
      <c r="I25" s="43" t="str">
        <f>IF(ISNUMBER(H25),ROUND(MAX(F25*'参数'!$C$11,'参数'!$C$12)+'参数'!$C$13,2),"")</f>
        <v/>
      </c>
      <c r="J25" s="43" t="str">
        <f>IF(ISNUMBER(H25),IF(D25="卖",ROUND(H25*N('参数'!$C$14)+F25*N('参数'!$C$15),2),0),"")</f>
        <v/>
      </c>
      <c r="K25" s="23" t="n"/>
      <c r="L25" s="20" t="str">
        <f>IF(ISNUMBER(K25),K25,IF(ISNUMBER(H25),I25+J25,""))</f>
        <v/>
      </c>
      <c r="M25" s="48" t="str">
        <f>IF(AND(ISNUMBER(E25),ISNUMBER(G25),ISNUMBER(F25)),(E25-G25)*IF(D25="卖",-1,1)*F25,"")</f>
        <v/>
      </c>
      <c r="N25" s="49" t="str">
        <f>IF(A25="","",IFERROR(T(INDEX('例-交易记录'!$C$5:$C$304,MATCH(A25,'例-交易记录'!$A$5:$A$304,0))),"编号没找到"))</f>
        <v/>
      </c>
      <c r="O25" s="31" t="n"/>
    </row>
    <row r="26">
      <c r="A26" s="29" t="n"/>
      <c r="B26" s="30" t="n"/>
      <c r="C26" s="47" t="n"/>
      <c r="D26" s="32" t="n"/>
      <c r="E26" s="33" t="n"/>
      <c r="F26" s="36" t="n"/>
      <c r="G26" s="33" t="n"/>
      <c r="H26" s="20" t="str">
        <f>IF(AND(ISNUMBER(E26),ISNUMBER(F26)),E26*F26,"")</f>
        <v/>
      </c>
      <c r="I26" s="43" t="str">
        <f>IF(ISNUMBER(H26),ROUND(MAX(F26*'参数'!$C$11,'参数'!$C$12)+'参数'!$C$13,2),"")</f>
        <v/>
      </c>
      <c r="J26" s="43" t="str">
        <f>IF(ISNUMBER(H26),IF(D26="卖",ROUND(H26*N('参数'!$C$14)+F26*N('参数'!$C$15),2),0),"")</f>
        <v/>
      </c>
      <c r="K26" s="23" t="n"/>
      <c r="L26" s="20" t="str">
        <f>IF(ISNUMBER(K26),K26,IF(ISNUMBER(H26),I26+J26,""))</f>
        <v/>
      </c>
      <c r="M26" s="48" t="str">
        <f>IF(AND(ISNUMBER(E26),ISNUMBER(G26),ISNUMBER(F26)),(E26-G26)*IF(D26="卖",-1,1)*F26,"")</f>
        <v/>
      </c>
      <c r="N26" s="49" t="str">
        <f>IF(A26="","",IFERROR(T(INDEX('例-交易记录'!$C$5:$C$304,MATCH(A26,'例-交易记录'!$A$5:$A$304,0))),"编号没找到"))</f>
        <v/>
      </c>
      <c r="O26" s="31" t="n"/>
    </row>
    <row r="27">
      <c r="A27" s="29" t="n"/>
      <c r="B27" s="30" t="n"/>
      <c r="C27" s="47" t="n"/>
      <c r="D27" s="32" t="n"/>
      <c r="E27" s="33" t="n"/>
      <c r="F27" s="36" t="n"/>
      <c r="G27" s="33" t="n"/>
      <c r="H27" s="20" t="str">
        <f>IF(AND(ISNUMBER(E27),ISNUMBER(F27)),E27*F27,"")</f>
        <v/>
      </c>
      <c r="I27" s="43" t="str">
        <f>IF(ISNUMBER(H27),ROUND(MAX(F27*'参数'!$C$11,'参数'!$C$12)+'参数'!$C$13,2),"")</f>
        <v/>
      </c>
      <c r="J27" s="43" t="str">
        <f>IF(ISNUMBER(H27),IF(D27="卖",ROUND(H27*N('参数'!$C$14)+F27*N('参数'!$C$15),2),0),"")</f>
        <v/>
      </c>
      <c r="K27" s="23" t="n"/>
      <c r="L27" s="20" t="str">
        <f>IF(ISNUMBER(K27),K27,IF(ISNUMBER(H27),I27+J27,""))</f>
        <v/>
      </c>
      <c r="M27" s="48" t="str">
        <f>IF(AND(ISNUMBER(E27),ISNUMBER(G27),ISNUMBER(F27)),(E27-G27)*IF(D27="卖",-1,1)*F27,"")</f>
        <v/>
      </c>
      <c r="N27" s="49" t="str">
        <f>IF(A27="","",IFERROR(T(INDEX('例-交易记录'!$C$5:$C$304,MATCH(A27,'例-交易记录'!$A$5:$A$304,0))),"编号没找到"))</f>
        <v/>
      </c>
      <c r="O27" s="31" t="n"/>
    </row>
    <row r="28">
      <c r="A28" s="29" t="n"/>
      <c r="B28" s="30" t="n"/>
      <c r="C28" s="47" t="n"/>
      <c r="D28" s="32" t="n"/>
      <c r="E28" s="33" t="n"/>
      <c r="F28" s="36" t="n"/>
      <c r="G28" s="33" t="n"/>
      <c r="H28" s="20" t="str">
        <f>IF(AND(ISNUMBER(E28),ISNUMBER(F28)),E28*F28,"")</f>
        <v/>
      </c>
      <c r="I28" s="43" t="str">
        <f>IF(ISNUMBER(H28),ROUND(MAX(F28*'参数'!$C$11,'参数'!$C$12)+'参数'!$C$13,2),"")</f>
        <v/>
      </c>
      <c r="J28" s="43" t="str">
        <f>IF(ISNUMBER(H28),IF(D28="卖",ROUND(H28*N('参数'!$C$14)+F28*N('参数'!$C$15),2),0),"")</f>
        <v/>
      </c>
      <c r="K28" s="23" t="n"/>
      <c r="L28" s="20" t="str">
        <f>IF(ISNUMBER(K28),K28,IF(ISNUMBER(H28),I28+J28,""))</f>
        <v/>
      </c>
      <c r="M28" s="48" t="str">
        <f>IF(AND(ISNUMBER(E28),ISNUMBER(G28),ISNUMBER(F28)),(E28-G28)*IF(D28="卖",-1,1)*F28,"")</f>
        <v/>
      </c>
      <c r="N28" s="49" t="str">
        <f>IF(A28="","",IFERROR(T(INDEX('例-交易记录'!$C$5:$C$304,MATCH(A28,'例-交易记录'!$A$5:$A$304,0))),"编号没找到"))</f>
        <v/>
      </c>
      <c r="O28" s="31" t="n"/>
    </row>
    <row r="29">
      <c r="A29" s="29" t="n"/>
      <c r="B29" s="30" t="n"/>
      <c r="C29" s="47" t="n"/>
      <c r="D29" s="32" t="n"/>
      <c r="E29" s="33" t="n"/>
      <c r="F29" s="36" t="n"/>
      <c r="G29" s="33" t="n"/>
      <c r="H29" s="20" t="str">
        <f>IF(AND(ISNUMBER(E29),ISNUMBER(F29)),E29*F29,"")</f>
        <v/>
      </c>
      <c r="I29" s="43" t="str">
        <f>IF(ISNUMBER(H29),ROUND(MAX(F29*'参数'!$C$11,'参数'!$C$12)+'参数'!$C$13,2),"")</f>
        <v/>
      </c>
      <c r="J29" s="43" t="str">
        <f>IF(ISNUMBER(H29),IF(D29="卖",ROUND(H29*N('参数'!$C$14)+F29*N('参数'!$C$15),2),0),"")</f>
        <v/>
      </c>
      <c r="K29" s="23" t="n"/>
      <c r="L29" s="20" t="str">
        <f>IF(ISNUMBER(K29),K29,IF(ISNUMBER(H29),I29+J29,""))</f>
        <v/>
      </c>
      <c r="M29" s="48" t="str">
        <f>IF(AND(ISNUMBER(E29),ISNUMBER(G29),ISNUMBER(F29)),(E29-G29)*IF(D29="卖",-1,1)*F29,"")</f>
        <v/>
      </c>
      <c r="N29" s="49" t="str">
        <f>IF(A29="","",IFERROR(T(INDEX('例-交易记录'!$C$5:$C$304,MATCH(A29,'例-交易记录'!$A$5:$A$304,0))),"编号没找到"))</f>
        <v/>
      </c>
      <c r="O29" s="31" t="n"/>
    </row>
    <row r="30">
      <c r="A30" s="29" t="n"/>
      <c r="B30" s="30" t="n"/>
      <c r="C30" s="47" t="n"/>
      <c r="D30" s="32" t="n"/>
      <c r="E30" s="33" t="n"/>
      <c r="F30" s="36" t="n"/>
      <c r="G30" s="33" t="n"/>
      <c r="H30" s="20" t="str">
        <f>IF(AND(ISNUMBER(E30),ISNUMBER(F30)),E30*F30,"")</f>
        <v/>
      </c>
      <c r="I30" s="43" t="str">
        <f>IF(ISNUMBER(H30),ROUND(MAX(F30*'参数'!$C$11,'参数'!$C$12)+'参数'!$C$13,2),"")</f>
        <v/>
      </c>
      <c r="J30" s="43" t="str">
        <f>IF(ISNUMBER(H30),IF(D30="卖",ROUND(H30*N('参数'!$C$14)+F30*N('参数'!$C$15),2),0),"")</f>
        <v/>
      </c>
      <c r="K30" s="23" t="n"/>
      <c r="L30" s="20" t="str">
        <f>IF(ISNUMBER(K30),K30,IF(ISNUMBER(H30),I30+J30,""))</f>
        <v/>
      </c>
      <c r="M30" s="48" t="str">
        <f>IF(AND(ISNUMBER(E30),ISNUMBER(G30),ISNUMBER(F30)),(E30-G30)*IF(D30="卖",-1,1)*F30,"")</f>
        <v/>
      </c>
      <c r="N30" s="49" t="str">
        <f>IF(A30="","",IFERROR(T(INDEX('例-交易记录'!$C$5:$C$304,MATCH(A30,'例-交易记录'!$A$5:$A$304,0))),"编号没找到"))</f>
        <v/>
      </c>
      <c r="O30" s="31" t="n"/>
    </row>
  </sheetData>
  <mergeCells count="6">
    <mergeCell ref="N3:O3"/>
    <mergeCell ref="A2:O2"/>
    <mergeCell ref="A3:G3"/>
    <mergeCell ref="A1:L1"/>
    <mergeCell ref="M1:O1"/>
    <mergeCell ref="H3:M3"/>
  </mergeCells>
  <conditionalFormatting sqref="N5:N30">
    <cfRule type="cellIs" priority="1" operator="equal" dxfId="3">
      <formula>"编号没找到"</formula>
    </cfRule>
  </conditionalFormatting>
  <dataValidations count="3">
    <dataValidation sqref="A5:A30" showDropDown="0" showInputMessage="0" showErrorMessage="1" allowBlank="1" errorTitle="格式不对" error="编号请用数字，和交易记录里的编号一致。" type="whole" errorStyle="stop" operator="greaterThanOrEqual">
      <formula1>1</formula1>
    </dataValidation>
    <dataValidation sqref="B5:B30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5:D30" showDropDown="0" showInputMessage="0" showErrorMessage="1" allowBlank="1" errorTitle="不在选项里" error="请从下拉里选；要加新选项，先去参数页的下拉选项里加。" type="list" errorStyle="stop">
      <formula1>'参数'!$H$22:$H$33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</worksheet>
</file>

<file path=xl/worksheets/sheet11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V18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.5" customWidth="1" min="2" max="2"/>
    <col width="8" customWidth="1" min="3" max="3"/>
    <col width="6" customWidth="1" min="4" max="4"/>
    <col width="6" customWidth="1" min="5" max="5"/>
    <col width="7.5" customWidth="1" min="6" max="6"/>
    <col width="10.5" customWidth="1" min="7" max="7"/>
    <col width="7" customWidth="1" min="8" max="8"/>
    <col width="5" customWidth="1" min="9" max="9"/>
    <col width="7.5" customWidth="1" min="10" max="10"/>
    <col width="7" customWidth="1" min="11" max="11"/>
    <col width="10.5" customWidth="1" min="12" max="12"/>
    <col width="8.5" customWidth="1" min="13" max="13"/>
    <col width="7" customWidth="1" min="14" max="14"/>
    <col width="7" customWidth="1" min="15" max="15"/>
    <col width="7.5" customWidth="1" min="16" max="16"/>
    <col width="7" customWidth="1" min="17" max="17"/>
    <col width="8" customWidth="1" min="18" max="18"/>
    <col width="8" customWidth="1" min="19" max="19"/>
    <col width="9" customWidth="1" min="20" max="20"/>
    <col width="6.5" customWidth="1" min="21" max="21"/>
    <col width="24" customWidth="1" min="22" max="22"/>
  </cols>
  <sheetData>
    <row r="1" ht="30" customHeight="1">
      <c r="A1" s="13" t="inlineStr">
        <is>
          <t>示例 · 期权（可选）：一张合约一行</t>
        </is>
      </c>
      <c r="T1" s="14" t="inlineStr">
        <is>
          <t>TradeLearn · XtradingTime 交易内训</t>
        </is>
      </c>
    </row>
    <row r="2" ht="20" customHeight="1">
      <c r="A2" s="63" t="inlineStr">
        <is>
          <t>虚构示例，仅演示填法：标的、行权价和权利金全部虚构。示例把「今天」定在 2030-05-20。</t>
        </is>
      </c>
    </row>
    <row r="3" ht="20" customHeight="1">
      <c r="A3" s="50" t="inlineStr">
        <is>
          <t>今天（默认今天，可以改）</t>
        </is>
      </c>
      <c r="B3" s="50" t="n"/>
      <c r="C3" s="50" t="n"/>
      <c r="D3" s="30" t="n">
        <v>47623</v>
      </c>
      <c r="E3" s="30" t="n"/>
      <c r="G3" s="52" t="inlineStr">
        <is>
          <t>已平仓（张数行）</t>
        </is>
      </c>
      <c r="H3" s="52" t="n"/>
      <c r="I3" s="42">
        <f>COUNT(T7:T18)</f>
        <v>3</v>
      </c>
      <c r="J3" s="52" t="inlineStr">
        <is>
          <t>合计净盈亏</t>
        </is>
      </c>
      <c r="K3" s="52" t="n"/>
      <c r="L3" s="53">
        <f>IF(COUNT(T7:T18)=0,"",SUM(T7:T18))</f>
        <v>279.15</v>
      </c>
      <c r="M3" s="53" t="n"/>
      <c r="N3" s="52" t="inlineStr">
        <is>
          <t>平均净R</t>
        </is>
      </c>
      <c r="O3" s="52" t="n"/>
      <c r="P3" s="45">
        <f>IF(COUNT(U7:U18)=0,"",AVERAGE(U7:U18))</f>
        <v>0.0804757818986991</v>
      </c>
    </row>
    <row r="4" ht="6" customHeight="1"/>
    <row r="5" ht="18" customHeight="1">
      <c r="A5" s="28" t="inlineStr">
        <is>
          <t>开仓</t>
        </is>
      </c>
      <c r="B5" s="28" t="n"/>
      <c r="C5" s="28" t="n"/>
      <c r="D5" s="28" t="n"/>
      <c r="E5" s="28" t="n"/>
      <c r="F5" s="28" t="n"/>
      <c r="G5" s="28" t="n"/>
      <c r="H5" s="28" t="n"/>
      <c r="I5" s="28" t="n"/>
      <c r="J5" s="28" t="n"/>
      <c r="K5" s="28" t="n"/>
      <c r="L5" s="28" t="inlineStr">
        <is>
          <t>平仓</t>
        </is>
      </c>
      <c r="M5" s="28" t="n"/>
      <c r="N5" s="28" t="n"/>
      <c r="O5" s="28" t="n"/>
      <c r="P5" s="28" t="inlineStr">
        <is>
          <t>结果</t>
        </is>
      </c>
      <c r="Q5" s="28" t="n"/>
      <c r="R5" s="28" t="n"/>
      <c r="S5" s="28" t="n"/>
      <c r="T5" s="28" t="n"/>
      <c r="U5" s="28" t="n"/>
      <c r="V5" s="28" t="inlineStr">
        <is>
          <t>备注</t>
        </is>
      </c>
    </row>
    <row r="6" ht="67" customHeight="1">
      <c r="A6" s="26" t="inlineStr">
        <is>
          <t>编号</t>
        </is>
      </c>
      <c r="B6" s="26" t="inlineStr">
        <is>
          <t>开仓日</t>
        </is>
      </c>
      <c r="C6" s="26" t="inlineStr">
        <is>
          <t>标的</t>
        </is>
      </c>
      <c r="D6" s="26" t="inlineStr">
        <is>
          <t>看涨 / 看跌</t>
        </is>
      </c>
      <c r="E6" s="26" t="inlineStr">
        <is>
          <t>买方 / 卖方</t>
        </is>
      </c>
      <c r="F6" s="26" t="inlineStr">
        <is>
          <t>行权价</t>
        </is>
      </c>
      <c r="G6" s="26" t="inlineStr">
        <is>
          <t>到期日</t>
        </is>
      </c>
      <c r="H6" s="26" t="inlineStr">
        <is>
          <t>开仓时离到期（天）</t>
        </is>
      </c>
      <c r="I6" s="26" t="inlineStr">
        <is>
          <t>张数</t>
        </is>
      </c>
      <c r="J6" s="26" t="inlineStr">
        <is>
          <t>开仓权利金（每股）</t>
        </is>
      </c>
      <c r="K6" s="26" t="inlineStr">
        <is>
          <t>开仓隐含波动率</t>
        </is>
      </c>
      <c r="L6" s="26" t="inlineStr">
        <is>
          <t>平仓日</t>
        </is>
      </c>
      <c r="M6" s="26" t="inlineStr">
        <is>
          <t>平仓权利金（每股，到期作废填 0）</t>
        </is>
      </c>
      <c r="N6" s="26" t="inlineStr">
        <is>
          <t>平仓隐含波动率</t>
        </is>
      </c>
      <c r="O6" s="26" t="inlineStr">
        <is>
          <t>现在离到期（天）</t>
        </is>
      </c>
      <c r="P6" s="26" t="inlineStr">
        <is>
          <t>费用估算</t>
        </is>
      </c>
      <c r="Q6" s="26" t="inlineStr">
        <is>
          <t>实际费用</t>
        </is>
      </c>
      <c r="R6" s="26" t="inlineStr">
        <is>
          <t>计划最多亏（卖方必填）</t>
        </is>
      </c>
      <c r="S6" s="26" t="inlineStr">
        <is>
          <t>1R</t>
        </is>
      </c>
      <c r="T6" s="26" t="inlineStr">
        <is>
          <t>净盈亏</t>
        </is>
      </c>
      <c r="U6" s="26" t="inlineStr">
        <is>
          <t>净R</t>
        </is>
      </c>
      <c r="V6" s="26" t="inlineStr">
        <is>
          <t>为什么开、怎么走的</t>
        </is>
      </c>
    </row>
    <row r="7" ht="32" customHeight="1">
      <c r="A7" s="29" t="n">
        <v>1</v>
      </c>
      <c r="B7" s="30" t="n">
        <v>47609</v>
      </c>
      <c r="C7" s="31" t="inlineStr">
        <is>
          <t>示例股甲</t>
        </is>
      </c>
      <c r="D7" s="32" t="inlineStr">
        <is>
          <t>看涨</t>
        </is>
      </c>
      <c r="E7" s="32" t="inlineStr">
        <is>
          <t>买方</t>
        </is>
      </c>
      <c r="F7" s="54" t="n">
        <v>55</v>
      </c>
      <c r="G7" s="30" t="n">
        <v>47655</v>
      </c>
      <c r="H7" s="42">
        <f>IF(AND(ISNUMBER(G7),ISNUMBER(B7)),G7-B7,"")</f>
        <v>46</v>
      </c>
      <c r="I7" s="29" t="n">
        <v>2</v>
      </c>
      <c r="J7" s="54" t="n">
        <v>1.8</v>
      </c>
      <c r="K7" s="18" t="n">
        <v>0.32</v>
      </c>
      <c r="L7" s="30" t="n">
        <v>47612</v>
      </c>
      <c r="M7" s="54" t="n">
        <v>3.1</v>
      </c>
      <c r="N7" s="18" t="n">
        <v>0.3</v>
      </c>
      <c r="O7" s="42" t="str">
        <f>IF(OR(ISNUMBER(L7),NOT(ISNUMBER(G7))),"",G7-$D$3)</f>
        <v/>
      </c>
      <c r="P7" s="20">
        <f>IF(N(I7)=0,"",I7*'参数'!$C$16*IF(ISNUMBER(L7),IF(N(M7)=0,1,2),1))</f>
        <v>2.6</v>
      </c>
      <c r="Q7" s="23" t="n"/>
      <c r="R7" s="23" t="n"/>
      <c r="S7" s="20">
        <f>IF(ISNUMBER(R7),R7,IF(AND(E7="买方",ISNUMBER(J7),N(I7)&gt;0),J7*100*I7+I7*'参数'!$C$16,""))</f>
        <v>361.3</v>
      </c>
      <c r="T7" s="53">
        <f>IF(AND(ISNUMBER(L7),ISNUMBER(M7),ISNUMBER(J7),N(I7)&gt;0),IF(E7="卖方",J7-M7,M7-J7)*100*I7-IF(ISNUMBER(Q7),Q7,P7),"")</f>
        <v>257.4</v>
      </c>
      <c r="U7" s="45">
        <f>IF(AND(ISNUMBER(T7),N(S7)&gt;0),T7/S7,"")</f>
        <v>0.712427345696097</v>
      </c>
      <c r="V7" s="31" t="inlineStr">
        <is>
          <t>突破后买看涨，到目标附近一起平</t>
        </is>
      </c>
    </row>
    <row r="8" ht="32" customHeight="1">
      <c r="A8" s="29" t="n">
        <v>2</v>
      </c>
      <c r="B8" s="30" t="n">
        <v>47613</v>
      </c>
      <c r="C8" s="31" t="inlineStr">
        <is>
          <t>示例股乙</t>
        </is>
      </c>
      <c r="D8" s="32" t="inlineStr">
        <is>
          <t>看跌</t>
        </is>
      </c>
      <c r="E8" s="32" t="inlineStr">
        <is>
          <t>卖方</t>
        </is>
      </c>
      <c r="F8" s="54" t="n">
        <v>110</v>
      </c>
      <c r="G8" s="30" t="n">
        <v>47634</v>
      </c>
      <c r="H8" s="42">
        <f>IF(AND(ISNUMBER(G8),ISNUMBER(B8)),G8-B8,"")</f>
        <v>21</v>
      </c>
      <c r="I8" s="29" t="n">
        <v>1</v>
      </c>
      <c r="J8" s="54" t="n">
        <v>2</v>
      </c>
      <c r="K8" s="18" t="n">
        <v>0.38</v>
      </c>
      <c r="L8" s="30" t="n">
        <v>47627</v>
      </c>
      <c r="M8" s="54" t="n">
        <v>0.4</v>
      </c>
      <c r="N8" s="18" t="n">
        <v>0.29</v>
      </c>
      <c r="O8" s="42" t="str">
        <f>IF(OR(ISNUMBER(L8),NOT(ISNUMBER(G8))),"",G8-$D$3)</f>
        <v/>
      </c>
      <c r="P8" s="20">
        <f>IF(N(I8)=0,"",I8*'参数'!$C$16*IF(ISNUMBER(L8),IF(N(M8)=0,1,2),1))</f>
        <v>1.3</v>
      </c>
      <c r="Q8" s="23" t="n"/>
      <c r="R8" s="23" t="n">
        <v>300</v>
      </c>
      <c r="S8" s="20">
        <f>IF(ISNUMBER(R8),R8,IF(AND(E8="买方",ISNUMBER(J8),N(I8)&gt;0),J8*100*I8+I8*'参数'!$C$16,""))</f>
        <v>300</v>
      </c>
      <c r="T8" s="53">
        <f>IF(AND(ISNUMBER(L8),ISNUMBER(M8),ISNUMBER(J8),N(I8)&gt;0),IF(E8="卖方",J8-M8,M8-J8)*100*I8-IF(ISNUMBER(Q8),Q8,P8),"")</f>
        <v>158.7</v>
      </c>
      <c r="U8" s="45">
        <f>IF(AND(ISNUMBER(T8),N(S8)&gt;0),T8/S8,"")</f>
        <v>0.529</v>
      </c>
      <c r="V8" s="31" t="inlineStr">
        <is>
          <t>卖方先写好最多亏 300 美元</t>
        </is>
      </c>
    </row>
    <row r="9" ht="32" customHeight="1">
      <c r="A9" s="29" t="n">
        <v>3</v>
      </c>
      <c r="B9" s="30" t="n">
        <v>47616</v>
      </c>
      <c r="C9" s="31" t="inlineStr">
        <is>
          <t>示例股丙</t>
        </is>
      </c>
      <c r="D9" s="32" t="inlineStr">
        <is>
          <t>看涨</t>
        </is>
      </c>
      <c r="E9" s="32" t="inlineStr">
        <is>
          <t>买方</t>
        </is>
      </c>
      <c r="F9" s="54" t="n">
        <v>33</v>
      </c>
      <c r="G9" s="30" t="n">
        <v>47620</v>
      </c>
      <c r="H9" s="42">
        <f>IF(AND(ISNUMBER(G9),ISNUMBER(B9)),G9-B9,"")</f>
        <v>4</v>
      </c>
      <c r="I9" s="29" t="n">
        <v>3</v>
      </c>
      <c r="J9" s="54" t="n">
        <v>0.45</v>
      </c>
      <c r="K9" s="18" t="n">
        <v>0.55</v>
      </c>
      <c r="L9" s="30" t="n">
        <v>47620</v>
      </c>
      <c r="M9" s="54" t="n">
        <v>0</v>
      </c>
      <c r="N9" s="18" t="n"/>
      <c r="O9" s="42" t="str">
        <f>IF(OR(ISNUMBER(L9),NOT(ISNUMBER(G9))),"",G9-$D$3)</f>
        <v/>
      </c>
      <c r="P9" s="20">
        <f>IF(N(I9)=0,"",I9*'参数'!$C$16*IF(ISNUMBER(L9),IF(N(M9)=0,1,2),1))</f>
        <v>1.95</v>
      </c>
      <c r="Q9" s="23" t="n"/>
      <c r="R9" s="23" t="n"/>
      <c r="S9" s="20">
        <f>IF(ISNUMBER(R9),R9,IF(AND(E9="买方",ISNUMBER(J9),N(I9)&gt;0),J9*100*I9+I9*'参数'!$C$16,""))</f>
        <v>136.95</v>
      </c>
      <c r="T9" s="53">
        <f>IF(AND(ISNUMBER(L9),ISNUMBER(M9),ISNUMBER(J9),N(I9)&gt;0),IF(E9="卖方",J9-M9,M9-J9)*100*I9-IF(ISNUMBER(Q9),Q9,P9),"")</f>
        <v>-136.95</v>
      </c>
      <c r="U9" s="45">
        <f>IF(AND(ISNUMBER(T9),N(S9)&gt;0),T9/S9,"")</f>
        <v>-1</v>
      </c>
      <c r="V9" s="31" t="inlineStr">
        <is>
          <t>到期作废，权利金全亏，就是 1R</t>
        </is>
      </c>
    </row>
    <row r="10" ht="32" customHeight="1">
      <c r="A10" s="29" t="n">
        <v>4</v>
      </c>
      <c r="B10" s="30" t="n">
        <v>47619</v>
      </c>
      <c r="C10" s="31" t="inlineStr">
        <is>
          <t>示例股甲</t>
        </is>
      </c>
      <c r="D10" s="32" t="inlineStr">
        <is>
          <t>看跌</t>
        </is>
      </c>
      <c r="E10" s="32" t="inlineStr">
        <is>
          <t>买方</t>
        </is>
      </c>
      <c r="F10" s="54" t="n">
        <v>50</v>
      </c>
      <c r="G10" s="30" t="n">
        <v>47627</v>
      </c>
      <c r="H10" s="42">
        <f>IF(AND(ISNUMBER(G10),ISNUMBER(B10)),G10-B10,"")</f>
        <v>8</v>
      </c>
      <c r="I10" s="29" t="n">
        <v>2</v>
      </c>
      <c r="J10" s="54" t="n">
        <v>0.9</v>
      </c>
      <c r="K10" s="18" t="n">
        <v>0.35</v>
      </c>
      <c r="L10" s="30" t="n"/>
      <c r="M10" s="54" t="n"/>
      <c r="N10" s="18" t="n"/>
      <c r="O10" s="42">
        <f>IF(OR(ISNUMBER(L10),NOT(ISNUMBER(G10))),"",G10-$D$3)</f>
        <v>4</v>
      </c>
      <c r="P10" s="20">
        <f>IF(N(I10)=0,"",I10*'参数'!$C$16*IF(ISNUMBER(L10),IF(N(M10)=0,1,2),1))</f>
        <v>1.3</v>
      </c>
      <c r="Q10" s="23" t="n"/>
      <c r="R10" s="23" t="n"/>
      <c r="S10" s="20">
        <f>IF(ISNUMBER(R10),R10,IF(AND(E10="买方",ISNUMBER(J10),N(I10)&gt;0),J10*100*I10+I10*'参数'!$C$16,""))</f>
        <v>181.3</v>
      </c>
      <c r="T10" s="53" t="str">
        <f>IF(AND(ISNUMBER(L10),ISNUMBER(M10),ISNUMBER(J10),N(I10)&gt;0),IF(E10="卖方",J10-M10,M10-J10)*100*I10-IF(ISNUMBER(Q10),Q10,P10),"")</f>
        <v/>
      </c>
      <c r="U10" s="45" t="str">
        <f>IF(AND(ISNUMBER(T10),N(S10)&gt;0),T10/S10,"")</f>
        <v/>
      </c>
      <c r="V10" s="31" t="inlineStr">
        <is>
          <t>给持仓买保护，离到期不到 7 天，标黄提醒</t>
        </is>
      </c>
    </row>
    <row r="11">
      <c r="A11" s="29" t="n"/>
      <c r="B11" s="30" t="n"/>
      <c r="C11" s="31" t="n"/>
      <c r="D11" s="32" t="n"/>
      <c r="E11" s="32" t="n"/>
      <c r="F11" s="54" t="n"/>
      <c r="G11" s="30" t="n"/>
      <c r="H11" s="42" t="str">
        <f>IF(AND(ISNUMBER(G11),ISNUMBER(B11)),G11-B11,"")</f>
        <v/>
      </c>
      <c r="I11" s="29" t="n"/>
      <c r="J11" s="54" t="n"/>
      <c r="K11" s="18" t="n"/>
      <c r="L11" s="30" t="n"/>
      <c r="M11" s="54" t="n"/>
      <c r="N11" s="18" t="n"/>
      <c r="O11" s="42" t="str">
        <f>IF(OR(ISNUMBER(L11),NOT(ISNUMBER(G11))),"",G11-$D$3)</f>
        <v/>
      </c>
      <c r="P11" s="20" t="str">
        <f>IF(N(I11)=0,"",I11*'参数'!$C$16*IF(ISNUMBER(L11),IF(N(M11)=0,1,2),1))</f>
        <v/>
      </c>
      <c r="Q11" s="23" t="n"/>
      <c r="R11" s="23" t="n"/>
      <c r="S11" s="20" t="str">
        <f>IF(ISNUMBER(R11),R11,IF(AND(E11="买方",ISNUMBER(J11),N(I11)&gt;0),J11*100*I11+I11*'参数'!$C$16,""))</f>
        <v/>
      </c>
      <c r="T11" s="53" t="str">
        <f>IF(AND(ISNUMBER(L11),ISNUMBER(M11),ISNUMBER(J11),N(I11)&gt;0),IF(E11="卖方",J11-M11,M11-J11)*100*I11-IF(ISNUMBER(Q11),Q11,P11),"")</f>
        <v/>
      </c>
      <c r="U11" s="45" t="str">
        <f>IF(AND(ISNUMBER(T11),N(S11)&gt;0),T11/S11,"")</f>
        <v/>
      </c>
      <c r="V11" s="31" t="n"/>
    </row>
    <row r="12">
      <c r="A12" s="29" t="n"/>
      <c r="B12" s="30" t="n"/>
      <c r="C12" s="31" t="n"/>
      <c r="D12" s="32" t="n"/>
      <c r="E12" s="32" t="n"/>
      <c r="F12" s="54" t="n"/>
      <c r="G12" s="30" t="n"/>
      <c r="H12" s="42" t="str">
        <f>IF(AND(ISNUMBER(G12),ISNUMBER(B12)),G12-B12,"")</f>
        <v/>
      </c>
      <c r="I12" s="29" t="n"/>
      <c r="J12" s="54" t="n"/>
      <c r="K12" s="18" t="n"/>
      <c r="L12" s="30" t="n"/>
      <c r="M12" s="54" t="n"/>
      <c r="N12" s="18" t="n"/>
      <c r="O12" s="42" t="str">
        <f>IF(OR(ISNUMBER(L12),NOT(ISNUMBER(G12))),"",G12-$D$3)</f>
        <v/>
      </c>
      <c r="P12" s="20" t="str">
        <f>IF(N(I12)=0,"",I12*'参数'!$C$16*IF(ISNUMBER(L12),IF(N(M12)=0,1,2),1))</f>
        <v/>
      </c>
      <c r="Q12" s="23" t="n"/>
      <c r="R12" s="23" t="n"/>
      <c r="S12" s="20" t="str">
        <f>IF(ISNUMBER(R12),R12,IF(AND(E12="买方",ISNUMBER(J12),N(I12)&gt;0),J12*100*I12+I12*'参数'!$C$16,""))</f>
        <v/>
      </c>
      <c r="T12" s="53" t="str">
        <f>IF(AND(ISNUMBER(L12),ISNUMBER(M12),ISNUMBER(J12),N(I12)&gt;0),IF(E12="卖方",J12-M12,M12-J12)*100*I12-IF(ISNUMBER(Q12),Q12,P12),"")</f>
        <v/>
      </c>
      <c r="U12" s="45" t="str">
        <f>IF(AND(ISNUMBER(T12),N(S12)&gt;0),T12/S12,"")</f>
        <v/>
      </c>
      <c r="V12" s="31" t="n"/>
    </row>
    <row r="13">
      <c r="A13" s="29" t="n"/>
      <c r="B13" s="30" t="n"/>
      <c r="C13" s="31" t="n"/>
      <c r="D13" s="32" t="n"/>
      <c r="E13" s="32" t="n"/>
      <c r="F13" s="54" t="n"/>
      <c r="G13" s="30" t="n"/>
      <c r="H13" s="42" t="str">
        <f>IF(AND(ISNUMBER(G13),ISNUMBER(B13)),G13-B13,"")</f>
        <v/>
      </c>
      <c r="I13" s="29" t="n"/>
      <c r="J13" s="54" t="n"/>
      <c r="K13" s="18" t="n"/>
      <c r="L13" s="30" t="n"/>
      <c r="M13" s="54" t="n"/>
      <c r="N13" s="18" t="n"/>
      <c r="O13" s="42" t="str">
        <f>IF(OR(ISNUMBER(L13),NOT(ISNUMBER(G13))),"",G13-$D$3)</f>
        <v/>
      </c>
      <c r="P13" s="20" t="str">
        <f>IF(N(I13)=0,"",I13*'参数'!$C$16*IF(ISNUMBER(L13),IF(N(M13)=0,1,2),1))</f>
        <v/>
      </c>
      <c r="Q13" s="23" t="n"/>
      <c r="R13" s="23" t="n"/>
      <c r="S13" s="20" t="str">
        <f>IF(ISNUMBER(R13),R13,IF(AND(E13="买方",ISNUMBER(J13),N(I13)&gt;0),J13*100*I13+I13*'参数'!$C$16,""))</f>
        <v/>
      </c>
      <c r="T13" s="53" t="str">
        <f>IF(AND(ISNUMBER(L13),ISNUMBER(M13),ISNUMBER(J13),N(I13)&gt;0),IF(E13="卖方",J13-M13,M13-J13)*100*I13-IF(ISNUMBER(Q13),Q13,P13),"")</f>
        <v/>
      </c>
      <c r="U13" s="45" t="str">
        <f>IF(AND(ISNUMBER(T13),N(S13)&gt;0),T13/S13,"")</f>
        <v/>
      </c>
      <c r="V13" s="31" t="n"/>
    </row>
    <row r="14">
      <c r="A14" s="29" t="n"/>
      <c r="B14" s="30" t="n"/>
      <c r="C14" s="31" t="n"/>
      <c r="D14" s="32" t="n"/>
      <c r="E14" s="32" t="n"/>
      <c r="F14" s="54" t="n"/>
      <c r="G14" s="30" t="n"/>
      <c r="H14" s="42" t="str">
        <f>IF(AND(ISNUMBER(G14),ISNUMBER(B14)),G14-B14,"")</f>
        <v/>
      </c>
      <c r="I14" s="29" t="n"/>
      <c r="J14" s="54" t="n"/>
      <c r="K14" s="18" t="n"/>
      <c r="L14" s="30" t="n"/>
      <c r="M14" s="54" t="n"/>
      <c r="N14" s="18" t="n"/>
      <c r="O14" s="42" t="str">
        <f>IF(OR(ISNUMBER(L14),NOT(ISNUMBER(G14))),"",G14-$D$3)</f>
        <v/>
      </c>
      <c r="P14" s="20" t="str">
        <f>IF(N(I14)=0,"",I14*'参数'!$C$16*IF(ISNUMBER(L14),IF(N(M14)=0,1,2),1))</f>
        <v/>
      </c>
      <c r="Q14" s="23" t="n"/>
      <c r="R14" s="23" t="n"/>
      <c r="S14" s="20" t="str">
        <f>IF(ISNUMBER(R14),R14,IF(AND(E14="买方",ISNUMBER(J14),N(I14)&gt;0),J14*100*I14+I14*'参数'!$C$16,""))</f>
        <v/>
      </c>
      <c r="T14" s="53" t="str">
        <f>IF(AND(ISNUMBER(L14),ISNUMBER(M14),ISNUMBER(J14),N(I14)&gt;0),IF(E14="卖方",J14-M14,M14-J14)*100*I14-IF(ISNUMBER(Q14),Q14,P14),"")</f>
        <v/>
      </c>
      <c r="U14" s="45" t="str">
        <f>IF(AND(ISNUMBER(T14),N(S14)&gt;0),T14/S14,"")</f>
        <v/>
      </c>
      <c r="V14" s="31" t="n"/>
    </row>
    <row r="15">
      <c r="A15" s="29" t="n"/>
      <c r="B15" s="30" t="n"/>
      <c r="C15" s="31" t="n"/>
      <c r="D15" s="32" t="n"/>
      <c r="E15" s="32" t="n"/>
      <c r="F15" s="54" t="n"/>
      <c r="G15" s="30" t="n"/>
      <c r="H15" s="42" t="str">
        <f>IF(AND(ISNUMBER(G15),ISNUMBER(B15)),G15-B15,"")</f>
        <v/>
      </c>
      <c r="I15" s="29" t="n"/>
      <c r="J15" s="54" t="n"/>
      <c r="K15" s="18" t="n"/>
      <c r="L15" s="30" t="n"/>
      <c r="M15" s="54" t="n"/>
      <c r="N15" s="18" t="n"/>
      <c r="O15" s="42" t="str">
        <f>IF(OR(ISNUMBER(L15),NOT(ISNUMBER(G15))),"",G15-$D$3)</f>
        <v/>
      </c>
      <c r="P15" s="20" t="str">
        <f>IF(N(I15)=0,"",I15*'参数'!$C$16*IF(ISNUMBER(L15),IF(N(M15)=0,1,2),1))</f>
        <v/>
      </c>
      <c r="Q15" s="23" t="n"/>
      <c r="R15" s="23" t="n"/>
      <c r="S15" s="20" t="str">
        <f>IF(ISNUMBER(R15),R15,IF(AND(E15="买方",ISNUMBER(J15),N(I15)&gt;0),J15*100*I15+I15*'参数'!$C$16,""))</f>
        <v/>
      </c>
      <c r="T15" s="53" t="str">
        <f>IF(AND(ISNUMBER(L15),ISNUMBER(M15),ISNUMBER(J15),N(I15)&gt;0),IF(E15="卖方",J15-M15,M15-J15)*100*I15-IF(ISNUMBER(Q15),Q15,P15),"")</f>
        <v/>
      </c>
      <c r="U15" s="45" t="str">
        <f>IF(AND(ISNUMBER(T15),N(S15)&gt;0),T15/S15,"")</f>
        <v/>
      </c>
      <c r="V15" s="31" t="n"/>
    </row>
    <row r="16">
      <c r="A16" s="29" t="n"/>
      <c r="B16" s="30" t="n"/>
      <c r="C16" s="31" t="n"/>
      <c r="D16" s="32" t="n"/>
      <c r="E16" s="32" t="n"/>
      <c r="F16" s="54" t="n"/>
      <c r="G16" s="30" t="n"/>
      <c r="H16" s="42" t="str">
        <f>IF(AND(ISNUMBER(G16),ISNUMBER(B16)),G16-B16,"")</f>
        <v/>
      </c>
      <c r="I16" s="29" t="n"/>
      <c r="J16" s="54" t="n"/>
      <c r="K16" s="18" t="n"/>
      <c r="L16" s="30" t="n"/>
      <c r="M16" s="54" t="n"/>
      <c r="N16" s="18" t="n"/>
      <c r="O16" s="42" t="str">
        <f>IF(OR(ISNUMBER(L16),NOT(ISNUMBER(G16))),"",G16-$D$3)</f>
        <v/>
      </c>
      <c r="P16" s="20" t="str">
        <f>IF(N(I16)=0,"",I16*'参数'!$C$16*IF(ISNUMBER(L16),IF(N(M16)=0,1,2),1))</f>
        <v/>
      </c>
      <c r="Q16" s="23" t="n"/>
      <c r="R16" s="23" t="n"/>
      <c r="S16" s="20" t="str">
        <f>IF(ISNUMBER(R16),R16,IF(AND(E16="买方",ISNUMBER(J16),N(I16)&gt;0),J16*100*I16+I16*'参数'!$C$16,""))</f>
        <v/>
      </c>
      <c r="T16" s="53" t="str">
        <f>IF(AND(ISNUMBER(L16),ISNUMBER(M16),ISNUMBER(J16),N(I16)&gt;0),IF(E16="卖方",J16-M16,M16-J16)*100*I16-IF(ISNUMBER(Q16),Q16,P16),"")</f>
        <v/>
      </c>
      <c r="U16" s="45" t="str">
        <f>IF(AND(ISNUMBER(T16),N(S16)&gt;0),T16/S16,"")</f>
        <v/>
      </c>
      <c r="V16" s="31" t="n"/>
    </row>
    <row r="17">
      <c r="A17" s="29" t="n"/>
      <c r="B17" s="30" t="n"/>
      <c r="C17" s="31" t="n"/>
      <c r="D17" s="32" t="n"/>
      <c r="E17" s="32" t="n"/>
      <c r="F17" s="54" t="n"/>
      <c r="G17" s="30" t="n"/>
      <c r="H17" s="42" t="str">
        <f>IF(AND(ISNUMBER(G17),ISNUMBER(B17)),G17-B17,"")</f>
        <v/>
      </c>
      <c r="I17" s="29" t="n"/>
      <c r="J17" s="54" t="n"/>
      <c r="K17" s="18" t="n"/>
      <c r="L17" s="30" t="n"/>
      <c r="M17" s="54" t="n"/>
      <c r="N17" s="18" t="n"/>
      <c r="O17" s="42" t="str">
        <f>IF(OR(ISNUMBER(L17),NOT(ISNUMBER(G17))),"",G17-$D$3)</f>
        <v/>
      </c>
      <c r="P17" s="20" t="str">
        <f>IF(N(I17)=0,"",I17*'参数'!$C$16*IF(ISNUMBER(L17),IF(N(M17)=0,1,2),1))</f>
        <v/>
      </c>
      <c r="Q17" s="23" t="n"/>
      <c r="R17" s="23" t="n"/>
      <c r="S17" s="20" t="str">
        <f>IF(ISNUMBER(R17),R17,IF(AND(E17="买方",ISNUMBER(J17),N(I17)&gt;0),J17*100*I17+I17*'参数'!$C$16,""))</f>
        <v/>
      </c>
      <c r="T17" s="53" t="str">
        <f>IF(AND(ISNUMBER(L17),ISNUMBER(M17),ISNUMBER(J17),N(I17)&gt;0),IF(E17="卖方",J17-M17,M17-J17)*100*I17-IF(ISNUMBER(Q17),Q17,P17),"")</f>
        <v/>
      </c>
      <c r="U17" s="45" t="str">
        <f>IF(AND(ISNUMBER(T17),N(S17)&gt;0),T17/S17,"")</f>
        <v/>
      </c>
      <c r="V17" s="31" t="n"/>
    </row>
    <row r="18">
      <c r="A18" s="29" t="n"/>
      <c r="B18" s="30" t="n"/>
      <c r="C18" s="31" t="n"/>
      <c r="D18" s="32" t="n"/>
      <c r="E18" s="32" t="n"/>
      <c r="F18" s="54" t="n"/>
      <c r="G18" s="30" t="n"/>
      <c r="H18" s="42" t="str">
        <f>IF(AND(ISNUMBER(G18),ISNUMBER(B18)),G18-B18,"")</f>
        <v/>
      </c>
      <c r="I18" s="29" t="n"/>
      <c r="J18" s="54" t="n"/>
      <c r="K18" s="18" t="n"/>
      <c r="L18" s="30" t="n"/>
      <c r="M18" s="54" t="n"/>
      <c r="N18" s="18" t="n"/>
      <c r="O18" s="42" t="str">
        <f>IF(OR(ISNUMBER(L18),NOT(ISNUMBER(G18))),"",G18-$D$3)</f>
        <v/>
      </c>
      <c r="P18" s="20" t="str">
        <f>IF(N(I18)=0,"",I18*'参数'!$C$16*IF(ISNUMBER(L18),IF(N(M18)=0,1,2),1))</f>
        <v/>
      </c>
      <c r="Q18" s="23" t="n"/>
      <c r="R18" s="23" t="n"/>
      <c r="S18" s="20" t="str">
        <f>IF(ISNUMBER(R18),R18,IF(AND(E18="买方",ISNUMBER(J18),N(I18)&gt;0),J18*100*I18+I18*'参数'!$C$16,""))</f>
        <v/>
      </c>
      <c r="T18" s="53" t="str">
        <f>IF(AND(ISNUMBER(L18),ISNUMBER(M18),ISNUMBER(J18),N(I18)&gt;0),IF(E18="卖方",J18-M18,M18-J18)*100*I18-IF(ISNUMBER(Q18),Q18,P18),"")</f>
        <v/>
      </c>
      <c r="U18" s="45" t="str">
        <f>IF(AND(ISNUMBER(T18),N(S18)&gt;0),T18/S18,"")</f>
        <v/>
      </c>
      <c r="V18" s="31" t="n"/>
    </row>
  </sheetData>
  <mergeCells count="12">
    <mergeCell ref="A2:V2"/>
    <mergeCell ref="L5:O5"/>
    <mergeCell ref="J3:K3"/>
    <mergeCell ref="L3:M3"/>
    <mergeCell ref="N3:O3"/>
    <mergeCell ref="T1:V1"/>
    <mergeCell ref="P5:U5"/>
    <mergeCell ref="A1:S1"/>
    <mergeCell ref="A3:C3"/>
    <mergeCell ref="D3:E3"/>
    <mergeCell ref="A5:K5"/>
    <mergeCell ref="G3:H3"/>
  </mergeCells>
  <conditionalFormatting sqref="T7:U18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L3:P3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O7:O18">
    <cfRule type="expression" priority="5" dxfId="4">
      <formula>AND(ISNUMBER($O7),$O7&lt;=7)</formula>
    </cfRule>
  </conditionalFormatting>
  <conditionalFormatting sqref="R7:R18">
    <cfRule type="expression" priority="6" dxfId="3">
      <formula>AND($E7="卖方",NOT(ISNUMBER($R7)))</formula>
    </cfRule>
  </conditionalFormatting>
  <dataValidations count="3">
    <dataValidation sqref="D7:D18" showDropDown="0" showInputMessage="0" showErrorMessage="1" allowBlank="1" errorTitle="不在选项里" error="请从下拉里选；要加新选项，先去参数页的下拉选项里加。" type="list" errorStyle="stop">
      <formula1>"看涨,看跌"</formula1>
    </dataValidation>
    <dataValidation sqref="E7:E18" showDropDown="0" showInputMessage="1" showErrorMessage="1" allowBlank="1" errorTitle="不在选项里" error="请从下拉里选；要加新选项，先去参数页的下拉选项里加。" promptTitle="怎么填" prompt="买方：先付权利金，最多亏掉权利金。卖方：先收权利金，风险可能远大于收到的钱，必须写计划最多亏。" type="list" errorStyle="stop">
      <formula1>"买方,卖方"</formula1>
    </dataValidation>
    <dataValidation sqref="B7:B18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</worksheet>
</file>

<file path=xl/worksheets/sheet12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I19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8" customWidth="1" min="3" max="3"/>
    <col width="7" customWidth="1" min="4" max="4"/>
    <col width="6" customWidth="1" min="5" max="5"/>
    <col width="12" customWidth="1" min="6" max="6"/>
    <col width="16" customWidth="1" min="7" max="7"/>
    <col width="26" customWidth="1" min="8" max="8"/>
  </cols>
  <sheetData>
    <row r="1" ht="30" customHeight="1">
      <c r="A1" s="13" t="inlineStr">
        <is>
          <t>示例 · 财报日历：持仓和观察名单</t>
        </is>
      </c>
      <c r="G1" s="14" t="inlineStr">
        <is>
          <t>TradeLearn · XtradingTime 交易内训</t>
        </is>
      </c>
    </row>
    <row r="2" ht="20" customHeight="1">
      <c r="A2" s="63" t="inlineStr">
        <is>
          <t>虚构示例，仅演示填法：股票和日期全部虚构。示例把「今天」定在 2030-05-20。</t>
        </is>
      </c>
    </row>
    <row r="3">
      <c r="A3" s="50" t="inlineStr">
        <is>
          <t>今天（默认今天，可以改）</t>
        </is>
      </c>
      <c r="B3" s="50" t="n"/>
      <c r="C3" s="30" t="n">
        <v>47623</v>
      </c>
      <c r="D3" s="30" t="n"/>
    </row>
    <row r="4" ht="6" customHeight="1"/>
    <row r="5" ht="18" customHeight="1">
      <c r="A5" s="28" t="inlineStr">
        <is>
          <t>财报</t>
        </is>
      </c>
      <c r="B5" s="28" t="n"/>
      <c r="C5" s="28" t="n"/>
      <c r="D5" s="28" t="n"/>
      <c r="E5" s="28" t="inlineStr">
        <is>
          <t>怎么处理</t>
        </is>
      </c>
      <c r="F5" s="28" t="n"/>
      <c r="G5" s="28" t="n"/>
      <c r="H5" s="28" t="n"/>
    </row>
    <row r="6" ht="41.8" customHeight="1">
      <c r="A6" s="26" t="inlineStr">
        <is>
          <t>股票</t>
        </is>
      </c>
      <c r="B6" s="26" t="inlineStr">
        <is>
          <t>财报日期</t>
        </is>
      </c>
      <c r="C6" s="26" t="inlineStr">
        <is>
          <t>盘前 / 盘后公布</t>
        </is>
      </c>
      <c r="D6" s="26" t="inlineStr">
        <is>
          <t>距今天（天）</t>
        </is>
      </c>
      <c r="E6" s="26" t="inlineStr">
        <is>
          <t>持仓吗</t>
        </is>
      </c>
      <c r="F6" s="26" t="inlineStr">
        <is>
          <t>怎么处理</t>
        </is>
      </c>
      <c r="G6" s="26" t="inlineStr">
        <is>
          <t>上几次财报后的跳空（自己查了填）</t>
        </is>
      </c>
      <c r="H6" s="26" t="inlineStr">
        <is>
          <t>备注</t>
        </is>
      </c>
    </row>
    <row r="7" ht="32" customHeight="1">
      <c r="A7" s="31" t="inlineStr">
        <is>
          <t>示例股甲</t>
        </is>
      </c>
      <c r="B7" s="30" t="n">
        <v>47631</v>
      </c>
      <c r="C7" s="32" t="inlineStr">
        <is>
          <t>盘后</t>
        </is>
      </c>
      <c r="D7" s="42">
        <f>IF(ISNUMBER(B7),B7-$C$3,"")</f>
        <v>8</v>
      </c>
      <c r="E7" s="32" t="inlineStr">
        <is>
          <t>持仓</t>
        </is>
      </c>
      <c r="F7" s="32" t="inlineStr">
        <is>
          <t>财报前减仓</t>
        </is>
      </c>
      <c r="G7" s="31" t="inlineStr">
        <is>
          <t>上几次财报后开盘跳空 4%～9%</t>
        </is>
      </c>
      <c r="H7" s="31" t="inlineStr">
        <is>
          <t>持仓 130 股，财报前一天收盘前减一半</t>
        </is>
      </c>
    </row>
    <row r="8" ht="18" customHeight="1">
      <c r="A8" s="31" t="inlineStr">
        <is>
          <t>示例股乙</t>
        </is>
      </c>
      <c r="B8" s="30" t="n">
        <v>47646</v>
      </c>
      <c r="C8" s="32" t="inlineStr">
        <is>
          <t>盘前</t>
        </is>
      </c>
      <c r="D8" s="42">
        <f>IF(ISNUMBER(B8),B8-$C$3,"")</f>
        <v>23</v>
      </c>
      <c r="E8" s="32" t="inlineStr">
        <is>
          <t>观察</t>
        </is>
      </c>
      <c r="F8" s="32" t="inlineStr">
        <is>
          <t>不持有过财报</t>
        </is>
      </c>
      <c r="G8" s="31" t="inlineStr"/>
      <c r="H8" s="31" t="inlineStr">
        <is>
          <t>观察名单</t>
        </is>
      </c>
    </row>
    <row r="9" ht="32" customHeight="1">
      <c r="A9" s="31" t="inlineStr">
        <is>
          <t>示例股丙</t>
        </is>
      </c>
      <c r="B9" s="30" t="n">
        <v>47633</v>
      </c>
      <c r="C9" s="32" t="inlineStr">
        <is>
          <t>盘后</t>
        </is>
      </c>
      <c r="D9" s="42">
        <f>IF(ISNUMBER(B9),B9-$C$3,"")</f>
        <v>10</v>
      </c>
      <c r="E9" s="32" t="inlineStr">
        <is>
          <t>观察</t>
        </is>
      </c>
      <c r="F9" s="32" t="inlineStr">
        <is>
          <t>不持有过财报</t>
        </is>
      </c>
      <c r="G9" s="31" t="inlineStr">
        <is>
          <t>跳空常在 10% 以上</t>
        </is>
      </c>
      <c r="H9" s="31" t="inlineStr">
        <is>
          <t>日内为主，不过夜</t>
        </is>
      </c>
    </row>
    <row r="10">
      <c r="A10" s="31" t="n"/>
      <c r="B10" s="30" t="n"/>
      <c r="C10" s="32" t="n"/>
      <c r="D10" s="42" t="str">
        <f>IF(ISNUMBER(B10),B10-$C$3,"")</f>
        <v/>
      </c>
      <c r="E10" s="32" t="n"/>
      <c r="F10" s="32" t="n"/>
      <c r="G10" s="31" t="n"/>
      <c r="H10" s="31" t="n"/>
    </row>
    <row r="11">
      <c r="A11" s="31" t="n"/>
      <c r="B11" s="30" t="n"/>
      <c r="C11" s="32" t="n"/>
      <c r="D11" s="42" t="str">
        <f>IF(ISNUMBER(B11),B11-$C$3,"")</f>
        <v/>
      </c>
      <c r="E11" s="32" t="n"/>
      <c r="F11" s="32" t="n"/>
      <c r="G11" s="31" t="n"/>
      <c r="H11" s="31" t="n"/>
    </row>
    <row r="12">
      <c r="A12" s="31" t="n"/>
      <c r="B12" s="30" t="n"/>
      <c r="C12" s="32" t="n"/>
      <c r="D12" s="42" t="str">
        <f>IF(ISNUMBER(B12),B12-$C$3,"")</f>
        <v/>
      </c>
      <c r="E12" s="32" t="n"/>
      <c r="F12" s="32" t="n"/>
      <c r="G12" s="31" t="n"/>
      <c r="H12" s="31" t="n"/>
    </row>
    <row r="13">
      <c r="A13" s="31" t="n"/>
      <c r="B13" s="30" t="n"/>
      <c r="C13" s="32" t="n"/>
      <c r="D13" s="42" t="str">
        <f>IF(ISNUMBER(B13),B13-$C$3,"")</f>
        <v/>
      </c>
      <c r="E13" s="32" t="n"/>
      <c r="F13" s="32" t="n"/>
      <c r="G13" s="31" t="n"/>
      <c r="H13" s="31" t="n"/>
    </row>
    <row r="14">
      <c r="A14" s="31" t="n"/>
      <c r="B14" s="30" t="n"/>
      <c r="C14" s="32" t="n"/>
      <c r="D14" s="42" t="str">
        <f>IF(ISNUMBER(B14),B14-$C$3,"")</f>
        <v/>
      </c>
      <c r="E14" s="32" t="n"/>
      <c r="F14" s="32" t="n"/>
      <c r="G14" s="31" t="n"/>
      <c r="H14" s="31" t="n"/>
    </row>
    <row r="15">
      <c r="A15" s="31" t="n"/>
      <c r="B15" s="30" t="n"/>
      <c r="C15" s="32" t="n"/>
      <c r="D15" s="42" t="str">
        <f>IF(ISNUMBER(B15),B15-$C$3,"")</f>
        <v/>
      </c>
      <c r="E15" s="32" t="n"/>
      <c r="F15" s="32" t="n"/>
      <c r="G15" s="31" t="n"/>
      <c r="H15" s="31" t="n"/>
    </row>
    <row r="16">
      <c r="A16" s="31" t="n"/>
      <c r="B16" s="30" t="n"/>
      <c r="C16" s="32" t="n"/>
      <c r="D16" s="42" t="str">
        <f>IF(ISNUMBER(B16),B16-$C$3,"")</f>
        <v/>
      </c>
      <c r="E16" s="32" t="n"/>
      <c r="F16" s="32" t="n"/>
      <c r="G16" s="31" t="n"/>
      <c r="H16" s="31" t="n"/>
    </row>
    <row r="17">
      <c r="A17" s="31" t="n"/>
      <c r="B17" s="30" t="n"/>
      <c r="C17" s="32" t="n"/>
      <c r="D17" s="42" t="str">
        <f>IF(ISNUMBER(B17),B17-$C$3,"")</f>
        <v/>
      </c>
      <c r="E17" s="32" t="n"/>
      <c r="F17" s="32" t="n"/>
      <c r="G17" s="31" t="n"/>
      <c r="H17" s="31" t="n"/>
    </row>
    <row r="18">
      <c r="A18" s="31" t="n"/>
      <c r="B18" s="30" t="n"/>
      <c r="C18" s="32" t="n"/>
      <c r="D18" s="42" t="str">
        <f>IF(ISNUMBER(B18),B18-$C$3,"")</f>
        <v/>
      </c>
      <c r="E18" s="32" t="n"/>
      <c r="F18" s="32" t="n"/>
      <c r="G18" s="31" t="n"/>
      <c r="H18" s="31" t="n"/>
    </row>
    <row r="19">
      <c r="A19" s="31" t="n"/>
      <c r="B19" s="30" t="n"/>
      <c r="C19" s="32" t="n"/>
      <c r="D19" s="42" t="str">
        <f>IF(ISNUMBER(B19),B19-$C$3,"")</f>
        <v/>
      </c>
      <c r="E19" s="32" t="n"/>
      <c r="F19" s="32" t="n"/>
      <c r="G19" s="31" t="n"/>
      <c r="H19" s="31" t="n"/>
    </row>
  </sheetData>
  <mergeCells count="7">
    <mergeCell ref="A5:D5"/>
    <mergeCell ref="A2:I2"/>
    <mergeCell ref="A1:F1"/>
    <mergeCell ref="C3:D3"/>
    <mergeCell ref="A3:B3"/>
    <mergeCell ref="E5:H5"/>
    <mergeCell ref="G1:I1"/>
  </mergeCells>
  <conditionalFormatting sqref="A7:H19">
    <cfRule type="expression" priority="1" dxfId="4">
      <formula>AND(ISNUMBER($D7),$D7&gt;=0,$D7&lt;=14)</formula>
    </cfRule>
  </conditionalFormatting>
  <dataValidations count="3">
    <dataValidation sqref="C7:C19" showDropDown="0" showInputMessage="0" showErrorMessage="1" allowBlank="1" errorTitle="不在选项里" error="请从下拉里选；要加新选项，先去参数页的下拉选项里加。" type="list" errorStyle="stop">
      <formula1>"盘前,盘后,没公布"</formula1>
    </dataValidation>
    <dataValidation sqref="E7:E19" showDropDown="0" showInputMessage="0" showErrorMessage="1" allowBlank="1" errorTitle="不在选项里" error="请从下拉里选；要加新选项，先去参数页的下拉选项里加。" type="list" errorStyle="stop">
      <formula1>"持仓,观察"</formula1>
    </dataValidation>
    <dataValidation sqref="F7:F19" showDropDown="0" showInputMessage="0" showErrorMessage="1" allowBlank="1" errorTitle="不在选项里" error="请从下拉里选；要加新选项，先去参数页的下拉选项里加。" type="list" errorStyle="warning">
      <formula1>'参数'!$J$22:$J$33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</worksheet>
</file>

<file path=xl/worksheets/sheet13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K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0" customWidth="1" min="3" max="3"/>
    <col width="7" customWidth="1" min="4" max="4"/>
    <col width="7" customWidth="1" min="5" max="5"/>
    <col width="24" customWidth="1" min="6" max="6"/>
    <col width="6" customWidth="1" min="7" max="7"/>
    <col width="8" customWidth="1" min="8" max="8"/>
    <col width="9" customWidth="1" min="9" max="9"/>
    <col width="30" customWidth="1" min="10" max="10"/>
    <col width="16" customWidth="1" min="11" max="11"/>
  </cols>
  <sheetData>
    <row r="1" ht="30" customHeight="1">
      <c r="A1" s="13" t="inlineStr">
        <is>
          <t>示例 · 每日记录：没交易的日子也写一行</t>
        </is>
      </c>
      <c r="I1" s="14" t="inlineStr">
        <is>
          <t>TradeLearn · XtradingTime 交易内训</t>
        </is>
      </c>
    </row>
    <row r="2" ht="20" customHeight="1">
      <c r="A2" s="63" t="inlineStr">
        <is>
          <t>虚构示例，仅演示填法：日期和数字全部虚构。</t>
        </is>
      </c>
    </row>
    <row r="3" ht="18" customHeight="1">
      <c r="A3" s="28" t="inlineStr">
        <is>
          <t>日期</t>
        </is>
      </c>
      <c r="B3" s="28" t="n"/>
      <c r="C3" s="28" t="inlineStr">
        <is>
          <t>今天</t>
        </is>
      </c>
      <c r="D3" s="28" t="n"/>
      <c r="E3" s="28" t="n"/>
      <c r="F3" s="28" t="n"/>
      <c r="G3" s="28" t="n"/>
      <c r="H3" s="28" t="n"/>
      <c r="I3" s="28" t="n"/>
      <c r="J3" s="28" t="inlineStr">
        <is>
          <t>明天</t>
        </is>
      </c>
      <c r="K3" s="28" t="n"/>
    </row>
    <row r="4" ht="41.8" customHeight="1">
      <c r="A4" s="26" t="inlineStr">
        <is>
          <t>日期</t>
        </is>
      </c>
      <c r="B4" s="26" t="inlineStr">
        <is>
          <t>星期</t>
        </is>
      </c>
      <c r="C4" s="26" t="inlineStr">
        <is>
          <t>今天做了什么</t>
        </is>
      </c>
      <c r="D4" s="26" t="inlineStr">
        <is>
          <t>看到几次机会</t>
        </is>
      </c>
      <c r="E4" s="26" t="inlineStr">
        <is>
          <t>下了几笔（自动）</t>
        </is>
      </c>
      <c r="F4" s="26" t="inlineStr">
        <is>
          <t>没做的原因（一句话）</t>
        </is>
      </c>
      <c r="G4" s="26" t="inlineStr">
        <is>
          <t>状态 1～5</t>
        </is>
      </c>
      <c r="H4" s="26" t="inlineStr">
        <is>
          <t>当日平仓净R</t>
        </is>
      </c>
      <c r="I4" s="26" t="inlineStr">
        <is>
          <t>停手线</t>
        </is>
      </c>
      <c r="J4" s="26" t="inlineStr">
        <is>
          <t>明天的条件（写成能检查的话）</t>
        </is>
      </c>
      <c r="K4" s="26" t="inlineStr">
        <is>
          <t>备注</t>
        </is>
      </c>
    </row>
    <row r="5" ht="18" customHeight="1">
      <c r="A5" s="30" t="n">
        <v>47609</v>
      </c>
      <c r="B5" s="41" t="str">
        <f>IF(ISNUMBER(A5),"周"&amp;CHOOSE(WEEKDAY(A5,2),"一","二","三","四","五","六","日"),"")</f>
        <v>周一</v>
      </c>
      <c r="C5" s="32" t="inlineStr">
        <is>
          <t>有成交</t>
        </is>
      </c>
      <c r="D5" s="29" t="n">
        <v>2</v>
      </c>
      <c r="E5" s="55">
        <f>IF(ISNUMBER(A5),COUNTIFS('例-交易记录'!$B$5:$B$304,A5,'例-交易记录'!$Q$5:$Q$304,"已执行"),"")</f>
        <v>1</v>
      </c>
      <c r="F5" s="31" t="inlineStr"/>
      <c r="G5" s="29" t="n">
        <v>4</v>
      </c>
      <c r="H5" s="56" t="str">
        <f>IF(NOT(ISNUMBER(A5)),"",IF(COUNTIFS('例-交易记录'!$S$5:$S$304,A5,'例-交易记录'!$Y$5:$Y$304,"已平仓")=0,"",SUMIFS('例-交易记录'!$AG$5:$AG$304,'例-交易记录'!$S$5:$S$304,A5,'例-交易记录'!$Y$5:$Y$304,"已平仓")))</f>
        <v/>
      </c>
      <c r="I5" s="41" t="str">
        <f>IF(NOT(ISNUMBER(H5)),"",IF(H5&lt;=-'参数'!$C$8,"触及停手线",""))</f>
        <v/>
      </c>
      <c r="J5" s="31" t="inlineStr">
        <is>
          <t>示例股乙到区间上沿才空</t>
        </is>
      </c>
      <c r="K5" s="31" t="n"/>
    </row>
    <row r="6" ht="18" customHeight="1">
      <c r="A6" s="30" t="n">
        <v>47610</v>
      </c>
      <c r="B6" s="41" t="str">
        <f>IF(ISNUMBER(A6),"周"&amp;CHOOSE(WEEKDAY(A6,2),"一","二","三","四","五","六","日"),"")</f>
        <v>周二</v>
      </c>
      <c r="C6" s="32" t="inlineStr">
        <is>
          <t>有成交</t>
        </is>
      </c>
      <c r="D6" s="29" t="n">
        <v>1</v>
      </c>
      <c r="E6" s="55">
        <f>IF(ISNUMBER(A6),COUNTIFS('例-交易记录'!$B$5:$B$304,A6,'例-交易记录'!$Q$5:$Q$304,"已执行"),"")</f>
        <v>1</v>
      </c>
      <c r="F6" s="31" t="inlineStr"/>
      <c r="G6" s="29" t="n">
        <v>4</v>
      </c>
      <c r="H6" s="56" t="str">
        <f>IF(NOT(ISNUMBER(A6)),"",IF(COUNTIFS('例-交易记录'!$S$5:$S$304,A6,'例-交易记录'!$Y$5:$Y$304,"已平仓")=0,"",SUMIFS('例-交易记录'!$AG$5:$AG$304,'例-交易记录'!$S$5:$S$304,A6,'例-交易记录'!$Y$5:$Y$304,"已平仓")))</f>
        <v/>
      </c>
      <c r="I6" s="41" t="str">
        <f>IF(NOT(ISNUMBER(H6)),"",IF(H6&lt;=-'参数'!$C$8,"触及停手线",""))</f>
        <v/>
      </c>
      <c r="J6" s="31" t="inlineStr">
        <is>
          <t>空单拿着，止损不动</t>
        </is>
      </c>
      <c r="K6" s="31" t="n"/>
    </row>
    <row r="7" ht="18" customHeight="1">
      <c r="A7" s="30" t="n">
        <v>47611</v>
      </c>
      <c r="B7" s="41" t="str">
        <f>IF(ISNUMBER(A7),"周"&amp;CHOOSE(WEEKDAY(A7,2),"一","二","三","四","五","六","日"),"")</f>
        <v>周三</v>
      </c>
      <c r="C7" s="32" t="inlineStr">
        <is>
          <t>有成交</t>
        </is>
      </c>
      <c r="D7" s="29" t="n">
        <v>2</v>
      </c>
      <c r="E7" s="55">
        <f>IF(ISNUMBER(A7),COUNTIFS('例-交易记录'!$B$5:$B$304,A7,'例-交易记录'!$Q$5:$Q$304,"已执行"),"")</f>
        <v>1</v>
      </c>
      <c r="F7" s="31" t="inlineStr"/>
      <c r="G7" s="29" t="n">
        <v>3</v>
      </c>
      <c r="H7" s="56">
        <f>IF(NOT(ISNUMBER(A7)),"",IF(COUNTIFS('例-交易记录'!$S$5:$S$304,A7,'例-交易记录'!$Y$5:$Y$304,"已平仓")=0,"",SUMIFS('例-交易记录'!$AG$5:$AG$304,'例-交易记录'!$S$5:$S$304,A7,'例-交易记录'!$Y$5:$Y$304,"已平仓")))</f>
        <v>-1.125</v>
      </c>
      <c r="I7" s="41" t="str">
        <f>IF(NOT(ISNUMBER(H7)),"",IF(H7&lt;=-'参数'!$C$8,"触及停手线",""))</f>
        <v/>
      </c>
      <c r="J7" s="31" t="inlineStr">
        <is>
          <t>日内单不过夜</t>
        </is>
      </c>
      <c r="K7" s="31" t="n"/>
    </row>
    <row r="8" ht="18" customHeight="1">
      <c r="A8" s="30" t="n">
        <v>47612</v>
      </c>
      <c r="B8" s="41" t="str">
        <f>IF(ISNUMBER(A8),"周"&amp;CHOOSE(WEEKDAY(A8,2),"一","二","三","四","五","六","日"),"")</f>
        <v>周四</v>
      </c>
      <c r="C8" s="32" t="inlineStr">
        <is>
          <t>有成交</t>
        </is>
      </c>
      <c r="D8" s="29" t="n">
        <v>2</v>
      </c>
      <c r="E8" s="55">
        <f>IF(ISNUMBER(A8),COUNTIFS('例-交易记录'!$B$5:$B$304,A8,'例-交易记录'!$Q$5:$Q$304,"已执行"),"")</f>
        <v>1</v>
      </c>
      <c r="F8" s="31" t="inlineStr"/>
      <c r="G8" s="29" t="n">
        <v>4</v>
      </c>
      <c r="H8" s="56">
        <f>IF(NOT(ISNUMBER(A8)),"",IF(COUNTIFS('例-交易记录'!$S$5:$S$304,A8,'例-交易记录'!$Y$5:$Y$304,"已平仓")=0,"",SUMIFS('例-交易记录'!$AG$5:$AG$304,'例-交易记录'!$S$5:$S$304,A8,'例-交易记录'!$Y$5:$Y$304,"已平仓")))</f>
        <v>4.23974358974359</v>
      </c>
      <c r="I8" s="41" t="str">
        <f>IF(NOT(ISNUMBER(H8)),"",IF(H8&lt;=-'参数'!$C$8,"触及停手线",""))</f>
        <v/>
      </c>
      <c r="J8" s="31" t="inlineStr">
        <is>
          <t>财报前一天想好怎么处理示例股甲</t>
        </is>
      </c>
      <c r="K8" s="31" t="n"/>
    </row>
    <row r="9" ht="18" customHeight="1">
      <c r="A9" s="30" t="n">
        <v>47613</v>
      </c>
      <c r="B9" s="41" t="str">
        <f>IF(ISNUMBER(A9),"周"&amp;CHOOSE(WEEKDAY(A9,2),"一","二","三","四","五","六","日"),"")</f>
        <v>周五</v>
      </c>
      <c r="C9" s="32" t="inlineStr">
        <is>
          <t>有成交</t>
        </is>
      </c>
      <c r="D9" s="29" t="n">
        <v>1</v>
      </c>
      <c r="E9" s="55">
        <f>IF(ISNUMBER(A9),COUNTIFS('例-交易记录'!$B$5:$B$304,A9,'例-交易记录'!$Q$5:$Q$304,"已执行"),"")</f>
        <v>1</v>
      </c>
      <c r="F9" s="31" t="inlineStr"/>
      <c r="G9" s="29" t="n">
        <v>3</v>
      </c>
      <c r="H9" s="56" t="str">
        <f>IF(NOT(ISNUMBER(A9)),"",IF(COUNTIFS('例-交易记录'!$S$5:$S$304,A9,'例-交易记录'!$Y$5:$Y$304,"已平仓")=0,"",SUMIFS('例-交易记录'!$AG$5:$AG$304,'例-交易记录'!$S$5:$S$304,A9,'例-交易记录'!$Y$5:$Y$304,"已平仓")))</f>
        <v/>
      </c>
      <c r="I9" s="41" t="str">
        <f>IF(NOT(ISNUMBER(H9)),"",IF(H9&lt;=-'参数'!$C$8,"触及停手线",""))</f>
        <v/>
      </c>
      <c r="J9" s="31" t="inlineStr">
        <is>
          <t>财报日前一天收盘前减半</t>
        </is>
      </c>
      <c r="K9" s="31" t="n"/>
    </row>
    <row r="10" ht="18" customHeight="1">
      <c r="A10" s="30" t="n">
        <v>47616</v>
      </c>
      <c r="B10" s="41" t="str">
        <f>IF(ISNUMBER(A10),"周"&amp;CHOOSE(WEEKDAY(A10,2),"一","二","三","四","五","六","日"),"")</f>
        <v>周一</v>
      </c>
      <c r="C10" s="32" t="inlineStr">
        <is>
          <t>挂单没成交</t>
        </is>
      </c>
      <c r="D10" s="29" t="n">
        <v>1</v>
      </c>
      <c r="E10" s="55">
        <f>IF(ISNUMBER(A10),COUNTIFS('例-交易记录'!$B$5:$B$304,A10,'例-交易记录'!$Q$5:$Q$304,"已执行"),"")</f>
        <v>0</v>
      </c>
      <c r="F10" s="31" t="inlineStr">
        <is>
          <t>盘前没成交，没追</t>
        </is>
      </c>
      <c r="G10" s="29" t="n">
        <v>4</v>
      </c>
      <c r="H10" s="56" t="str">
        <f>IF(NOT(ISNUMBER(A10)),"",IF(COUNTIFS('例-交易记录'!$S$5:$S$304,A10,'例-交易记录'!$Y$5:$Y$304,"已平仓")=0,"",SUMIFS('例-交易记录'!$AG$5:$AG$304,'例-交易记录'!$S$5:$S$304,A10,'例-交易记录'!$Y$5:$Y$304,"已平仓")))</f>
        <v/>
      </c>
      <c r="I10" s="41" t="str">
        <f>IF(NOT(ISNUMBER(H10)),"",IF(H10&lt;=-'参数'!$C$8,"触及停手线",""))</f>
        <v/>
      </c>
      <c r="J10" s="31" t="inlineStr">
        <is>
          <t>盘前单量太小就不做</t>
        </is>
      </c>
      <c r="K10" s="31" t="n"/>
    </row>
    <row r="11" ht="18" customHeight="1">
      <c r="A11" s="30" t="n">
        <v>47617</v>
      </c>
      <c r="B11" s="41" t="str">
        <f>IF(ISNUMBER(A11),"周"&amp;CHOOSE(WEEKDAY(A11,2),"一","二","三","四","五","六","日"),"")</f>
        <v>周二</v>
      </c>
      <c r="C11" s="32" t="inlineStr">
        <is>
          <t>没等到条件</t>
        </is>
      </c>
      <c r="D11" s="29" t="n">
        <v>2</v>
      </c>
      <c r="E11" s="55">
        <f>IF(ISNUMBER(A11),COUNTIFS('例-交易记录'!$B$5:$B$304,A11,'例-交易记录'!$Q$5:$Q$304,"已执行"),"")</f>
        <v>0</v>
      </c>
      <c r="F11" s="31" t="inlineStr">
        <is>
          <t>开会漏了一笔</t>
        </is>
      </c>
      <c r="G11" s="29" t="n">
        <v>3</v>
      </c>
      <c r="H11" s="56">
        <f>IF(NOT(ISNUMBER(A11)),"",IF(COUNTIFS('例-交易记录'!$S$5:$S$304,A11,'例-交易记录'!$Y$5:$Y$304,"已平仓")=0,"",SUMIFS('例-交易记录'!$AG$5:$AG$304,'例-交易记录'!$S$5:$S$304,A11,'例-交易记录'!$Y$5:$Y$304,"已平仓")))</f>
        <v>2.60666666666667</v>
      </c>
      <c r="I11" s="41" t="str">
        <f>IF(NOT(ISNUMBER(H11)),"",IF(H11&lt;=-'参数'!$C$8,"触及停手线",""))</f>
        <v/>
      </c>
      <c r="J11" s="31" t="inlineStr">
        <is>
          <t>会议日提前挂单</t>
        </is>
      </c>
      <c r="K11" s="31" t="n"/>
    </row>
    <row r="12" ht="18" customHeight="1">
      <c r="A12" s="30" t="n">
        <v>47618</v>
      </c>
      <c r="B12" s="41" t="str">
        <f>IF(ISNUMBER(A12),"周"&amp;CHOOSE(WEEKDAY(A12,2),"一","二","三","四","五","六","日"),"")</f>
        <v>周三</v>
      </c>
      <c r="C12" s="32" t="inlineStr">
        <is>
          <t>有成交</t>
        </is>
      </c>
      <c r="D12" s="29" t="n">
        <v>0</v>
      </c>
      <c r="E12" s="55">
        <f>IF(ISNUMBER(A12),COUNTIFS('例-交易记录'!$B$5:$B$304,A12,'例-交易记录'!$Q$5:$Q$304,"已执行"),"")</f>
        <v>0</v>
      </c>
      <c r="F12" s="31" t="inlineStr"/>
      <c r="G12" s="29" t="n">
        <v>2</v>
      </c>
      <c r="H12" s="56">
        <f>IF(NOT(ISNUMBER(A12)),"",IF(COUNTIFS('例-交易记录'!$S$5:$S$304,A12,'例-交易记录'!$Y$5:$Y$304,"已平仓")=0,"",SUMIFS('例-交易记录'!$AG$5:$AG$304,'例-交易记录'!$S$5:$S$304,A12,'例-交易记录'!$Y$5:$Y$304,"已平仓")))</f>
        <v>-2.135</v>
      </c>
      <c r="I12" s="41" t="str">
        <f>IF(NOT(ISNUMBER(H12)),"",IF(H12&lt;=-'参数'!$C$8,"触及停手线",""))</f>
        <v/>
      </c>
      <c r="J12" s="31" t="inlineStr">
        <is>
          <t>亏了一笔大的，明天只看不做</t>
        </is>
      </c>
      <c r="K12" s="31" t="n"/>
    </row>
    <row r="13" ht="18" customHeight="1">
      <c r="A13" s="30" t="n">
        <v>47619</v>
      </c>
      <c r="B13" s="41" t="str">
        <f>IF(ISNUMBER(A13),"周"&amp;CHOOSE(WEEKDAY(A13,2),"一","二","三","四","五","六","日"),"")</f>
        <v>周四</v>
      </c>
      <c r="C13" s="32" t="inlineStr">
        <is>
          <t>有成交</t>
        </is>
      </c>
      <c r="D13" s="29" t="n">
        <v>1</v>
      </c>
      <c r="E13" s="55">
        <f>IF(ISNUMBER(A13),COUNTIFS('例-交易记录'!$B$5:$B$304,A13,'例-交易记录'!$Q$5:$Q$304,"已执行"),"")</f>
        <v>1</v>
      </c>
      <c r="F13" s="31" t="inlineStr"/>
      <c r="G13" s="29" t="n">
        <v>3</v>
      </c>
      <c r="H13" s="56" t="str">
        <f>IF(NOT(ISNUMBER(A13)),"",IF(COUNTIFS('例-交易记录'!$S$5:$S$304,A13,'例-交易记录'!$Y$5:$Y$304,"已平仓")=0,"",SUMIFS('例-交易记录'!$AG$5:$AG$304,'例-交易记录'!$S$5:$S$304,A13,'例-交易记录'!$Y$5:$Y$304,"已平仓")))</f>
        <v/>
      </c>
      <c r="I13" s="41" t="str">
        <f>IF(NOT(ISNUMBER(H13)),"",IF(H13&lt;=-'参数'!$C$8,"触及停手线",""))</f>
        <v/>
      </c>
      <c r="J13" s="31" t="inlineStr">
        <is>
          <t>新仓先看财报日</t>
        </is>
      </c>
      <c r="K13" s="31" t="n"/>
    </row>
    <row r="14" ht="18" customHeight="1">
      <c r="A14" s="30" t="n">
        <v>47620</v>
      </c>
      <c r="B14" s="41" t="str">
        <f>IF(ISNUMBER(A14),"周"&amp;CHOOSE(WEEKDAY(A14,2),"一","二","三","四","五","六","日"),"")</f>
        <v>周五</v>
      </c>
      <c r="C14" s="32" t="inlineStr">
        <is>
          <t>按计划空仓</t>
        </is>
      </c>
      <c r="D14" s="29" t="n">
        <v>0</v>
      </c>
      <c r="E14" s="55">
        <f>IF(ISNUMBER(A14),COUNTIFS('例-交易记录'!$B$5:$B$304,A14,'例-交易记录'!$Q$5:$Q$304,"已执行"),"")</f>
        <v>0</v>
      </c>
      <c r="F14" s="31" t="inlineStr">
        <is>
          <t>周五不开新仓</t>
        </is>
      </c>
      <c r="G14" s="29" t="n">
        <v>4</v>
      </c>
      <c r="H14" s="56" t="str">
        <f>IF(NOT(ISNUMBER(A14)),"",IF(COUNTIFS('例-交易记录'!$S$5:$S$304,A14,'例-交易记录'!$Y$5:$Y$304,"已平仓")=0,"",SUMIFS('例-交易记录'!$AG$5:$AG$304,'例-交易记录'!$S$5:$S$304,A14,'例-交易记录'!$Y$5:$Y$304,"已平仓")))</f>
        <v/>
      </c>
      <c r="I14" s="41" t="str">
        <f>IF(NOT(ISNUMBER(H14)),"",IF(H14&lt;=-'参数'!$C$8,"触及停手线",""))</f>
        <v/>
      </c>
      <c r="J14" s="31" t="inlineStr">
        <is>
          <t>周末复盘</t>
        </is>
      </c>
      <c r="K14" s="31" t="n"/>
    </row>
    <row r="15">
      <c r="A15" s="30" t="n"/>
      <c r="B15" s="41" t="str">
        <f>IF(ISNUMBER(A15),"周"&amp;CHOOSE(WEEKDAY(A15,2),"一","二","三","四","五","六","日"),"")</f>
        <v/>
      </c>
      <c r="C15" s="32" t="n"/>
      <c r="D15" s="29" t="n"/>
      <c r="E15" s="55" t="str">
        <f>IF(ISNUMBER(A15),COUNTIFS('例-交易记录'!$B$5:$B$304,A15,'例-交易记录'!$Q$5:$Q$304,"已执行"),"")</f>
        <v/>
      </c>
      <c r="F15" s="31" t="n"/>
      <c r="G15" s="29" t="n"/>
      <c r="H15" s="56" t="str">
        <f>IF(NOT(ISNUMBER(A15)),"",IF(COUNTIFS('例-交易记录'!$S$5:$S$304,A15,'例-交易记录'!$Y$5:$Y$304,"已平仓")=0,"",SUMIFS('例-交易记录'!$AG$5:$AG$304,'例-交易记录'!$S$5:$S$304,A15,'例-交易记录'!$Y$5:$Y$304,"已平仓")))</f>
        <v/>
      </c>
      <c r="I15" s="41" t="str">
        <f>IF(NOT(ISNUMBER(H15)),"",IF(H15&lt;=-'参数'!$C$8,"触及停手线",""))</f>
        <v/>
      </c>
      <c r="J15" s="31" t="n"/>
      <c r="K15" s="31" t="n"/>
    </row>
    <row r="16">
      <c r="A16" s="30" t="n"/>
      <c r="B16" s="41" t="str">
        <f>IF(ISNUMBER(A16),"周"&amp;CHOOSE(WEEKDAY(A16,2),"一","二","三","四","五","六","日"),"")</f>
        <v/>
      </c>
      <c r="C16" s="32" t="n"/>
      <c r="D16" s="29" t="n"/>
      <c r="E16" s="55" t="str">
        <f>IF(ISNUMBER(A16),COUNTIFS('例-交易记录'!$B$5:$B$304,A16,'例-交易记录'!$Q$5:$Q$304,"已执行"),"")</f>
        <v/>
      </c>
      <c r="F16" s="31" t="n"/>
      <c r="G16" s="29" t="n"/>
      <c r="H16" s="56" t="str">
        <f>IF(NOT(ISNUMBER(A16)),"",IF(COUNTIFS('例-交易记录'!$S$5:$S$304,A16,'例-交易记录'!$Y$5:$Y$304,"已平仓")=0,"",SUMIFS('例-交易记录'!$AG$5:$AG$304,'例-交易记录'!$S$5:$S$304,A16,'例-交易记录'!$Y$5:$Y$304,"已平仓")))</f>
        <v/>
      </c>
      <c r="I16" s="41" t="str">
        <f>IF(NOT(ISNUMBER(H16)),"",IF(H16&lt;=-'参数'!$C$8,"触及停手线",""))</f>
        <v/>
      </c>
      <c r="J16" s="31" t="n"/>
      <c r="K16" s="31" t="n"/>
    </row>
    <row r="17">
      <c r="A17" s="30" t="n"/>
      <c r="B17" s="41" t="str">
        <f>IF(ISNUMBER(A17),"周"&amp;CHOOSE(WEEKDAY(A17,2),"一","二","三","四","五","六","日"),"")</f>
        <v/>
      </c>
      <c r="C17" s="32" t="n"/>
      <c r="D17" s="29" t="n"/>
      <c r="E17" s="55" t="str">
        <f>IF(ISNUMBER(A17),COUNTIFS('例-交易记录'!$B$5:$B$304,A17,'例-交易记录'!$Q$5:$Q$304,"已执行"),"")</f>
        <v/>
      </c>
      <c r="F17" s="31" t="n"/>
      <c r="G17" s="29" t="n"/>
      <c r="H17" s="56" t="str">
        <f>IF(NOT(ISNUMBER(A17)),"",IF(COUNTIFS('例-交易记录'!$S$5:$S$304,A17,'例-交易记录'!$Y$5:$Y$304,"已平仓")=0,"",SUMIFS('例-交易记录'!$AG$5:$AG$304,'例-交易记录'!$S$5:$S$304,A17,'例-交易记录'!$Y$5:$Y$304,"已平仓")))</f>
        <v/>
      </c>
      <c r="I17" s="41" t="str">
        <f>IF(NOT(ISNUMBER(H17)),"",IF(H17&lt;=-'参数'!$C$8,"触及停手线",""))</f>
        <v/>
      </c>
      <c r="J17" s="31" t="n"/>
      <c r="K17" s="31" t="n"/>
    </row>
    <row r="18">
      <c r="A18" s="30" t="n"/>
      <c r="B18" s="41" t="str">
        <f>IF(ISNUMBER(A18),"周"&amp;CHOOSE(WEEKDAY(A18,2),"一","二","三","四","五","六","日"),"")</f>
        <v/>
      </c>
      <c r="C18" s="32" t="n"/>
      <c r="D18" s="29" t="n"/>
      <c r="E18" s="55" t="str">
        <f>IF(ISNUMBER(A18),COUNTIFS('例-交易记录'!$B$5:$B$304,A18,'例-交易记录'!$Q$5:$Q$304,"已执行"),"")</f>
        <v/>
      </c>
      <c r="F18" s="31" t="n"/>
      <c r="G18" s="29" t="n"/>
      <c r="H18" s="56" t="str">
        <f>IF(NOT(ISNUMBER(A18)),"",IF(COUNTIFS('例-交易记录'!$S$5:$S$304,A18,'例-交易记录'!$Y$5:$Y$304,"已平仓")=0,"",SUMIFS('例-交易记录'!$AG$5:$AG$304,'例-交易记录'!$S$5:$S$304,A18,'例-交易记录'!$Y$5:$Y$304,"已平仓")))</f>
        <v/>
      </c>
      <c r="I18" s="41" t="str">
        <f>IF(NOT(ISNUMBER(H18)),"",IF(H18&lt;=-'参数'!$C$8,"触及停手线",""))</f>
        <v/>
      </c>
      <c r="J18" s="31" t="n"/>
      <c r="K18" s="31" t="n"/>
    </row>
    <row r="19">
      <c r="A19" s="30" t="n"/>
      <c r="B19" s="41" t="str">
        <f>IF(ISNUMBER(A19),"周"&amp;CHOOSE(WEEKDAY(A19,2),"一","二","三","四","五","六","日"),"")</f>
        <v/>
      </c>
      <c r="C19" s="32" t="n"/>
      <c r="D19" s="29" t="n"/>
      <c r="E19" s="55" t="str">
        <f>IF(ISNUMBER(A19),COUNTIFS('例-交易记录'!$B$5:$B$304,A19,'例-交易记录'!$Q$5:$Q$304,"已执行"),"")</f>
        <v/>
      </c>
      <c r="F19" s="31" t="n"/>
      <c r="G19" s="29" t="n"/>
      <c r="H19" s="56" t="str">
        <f>IF(NOT(ISNUMBER(A19)),"",IF(COUNTIFS('例-交易记录'!$S$5:$S$304,A19,'例-交易记录'!$Y$5:$Y$304,"已平仓")=0,"",SUMIFS('例-交易记录'!$AG$5:$AG$304,'例-交易记录'!$S$5:$S$304,A19,'例-交易记录'!$Y$5:$Y$304,"已平仓")))</f>
        <v/>
      </c>
      <c r="I19" s="41" t="str">
        <f>IF(NOT(ISNUMBER(H19)),"",IF(H19&lt;=-'参数'!$C$8,"触及停手线",""))</f>
        <v/>
      </c>
      <c r="J19" s="31" t="n"/>
      <c r="K19" s="31" t="n"/>
    </row>
    <row r="20">
      <c r="A20" s="30" t="n"/>
      <c r="B20" s="41" t="str">
        <f>IF(ISNUMBER(A20),"周"&amp;CHOOSE(WEEKDAY(A20,2),"一","二","三","四","五","六","日"),"")</f>
        <v/>
      </c>
      <c r="C20" s="32" t="n"/>
      <c r="D20" s="29" t="n"/>
      <c r="E20" s="55" t="str">
        <f>IF(ISNUMBER(A20),COUNTIFS('例-交易记录'!$B$5:$B$304,A20,'例-交易记录'!$Q$5:$Q$304,"已执行"),"")</f>
        <v/>
      </c>
      <c r="F20" s="31" t="n"/>
      <c r="G20" s="29" t="n"/>
      <c r="H20" s="56" t="str">
        <f>IF(NOT(ISNUMBER(A20)),"",IF(COUNTIFS('例-交易记录'!$S$5:$S$304,A20,'例-交易记录'!$Y$5:$Y$304,"已平仓")=0,"",SUMIFS('例-交易记录'!$AG$5:$AG$304,'例-交易记录'!$S$5:$S$304,A20,'例-交易记录'!$Y$5:$Y$304,"已平仓")))</f>
        <v/>
      </c>
      <c r="I20" s="41" t="str">
        <f>IF(NOT(ISNUMBER(H20)),"",IF(H20&lt;=-'参数'!$C$8,"触及停手线",""))</f>
        <v/>
      </c>
      <c r="J20" s="31" t="n"/>
      <c r="K20" s="31" t="n"/>
    </row>
    <row r="21">
      <c r="A21" s="30" t="n"/>
      <c r="B21" s="41" t="str">
        <f>IF(ISNUMBER(A21),"周"&amp;CHOOSE(WEEKDAY(A21,2),"一","二","三","四","五","六","日"),"")</f>
        <v/>
      </c>
      <c r="C21" s="32" t="n"/>
      <c r="D21" s="29" t="n"/>
      <c r="E21" s="55" t="str">
        <f>IF(ISNUMBER(A21),COUNTIFS('例-交易记录'!$B$5:$B$304,A21,'例-交易记录'!$Q$5:$Q$304,"已执行"),"")</f>
        <v/>
      </c>
      <c r="F21" s="31" t="n"/>
      <c r="G21" s="29" t="n"/>
      <c r="H21" s="56" t="str">
        <f>IF(NOT(ISNUMBER(A21)),"",IF(COUNTIFS('例-交易记录'!$S$5:$S$304,A21,'例-交易记录'!$Y$5:$Y$304,"已平仓")=0,"",SUMIFS('例-交易记录'!$AG$5:$AG$304,'例-交易记录'!$S$5:$S$304,A21,'例-交易记录'!$Y$5:$Y$304,"已平仓")))</f>
        <v/>
      </c>
      <c r="I21" s="41" t="str">
        <f>IF(NOT(ISNUMBER(H21)),"",IF(H21&lt;=-'参数'!$C$8,"触及停手线",""))</f>
        <v/>
      </c>
      <c r="J21" s="31" t="n"/>
      <c r="K21" s="31" t="n"/>
    </row>
    <row r="22">
      <c r="A22" s="30" t="n"/>
      <c r="B22" s="41" t="str">
        <f>IF(ISNUMBER(A22),"周"&amp;CHOOSE(WEEKDAY(A22,2),"一","二","三","四","五","六","日"),"")</f>
        <v/>
      </c>
      <c r="C22" s="32" t="n"/>
      <c r="D22" s="29" t="n"/>
      <c r="E22" s="55" t="str">
        <f>IF(ISNUMBER(A22),COUNTIFS('例-交易记录'!$B$5:$B$304,A22,'例-交易记录'!$Q$5:$Q$304,"已执行"),"")</f>
        <v/>
      </c>
      <c r="F22" s="31" t="n"/>
      <c r="G22" s="29" t="n"/>
      <c r="H22" s="56" t="str">
        <f>IF(NOT(ISNUMBER(A22)),"",IF(COUNTIFS('例-交易记录'!$S$5:$S$304,A22,'例-交易记录'!$Y$5:$Y$304,"已平仓")=0,"",SUMIFS('例-交易记录'!$AG$5:$AG$304,'例-交易记录'!$S$5:$S$304,A22,'例-交易记录'!$Y$5:$Y$304,"已平仓")))</f>
        <v/>
      </c>
      <c r="I22" s="41" t="str">
        <f>IF(NOT(ISNUMBER(H22)),"",IF(H22&lt;=-'参数'!$C$8,"触及停手线",""))</f>
        <v/>
      </c>
      <c r="J22" s="31" t="n"/>
      <c r="K22" s="31" t="n"/>
    </row>
    <row r="23">
      <c r="A23" s="30" t="n"/>
      <c r="B23" s="41" t="str">
        <f>IF(ISNUMBER(A23),"周"&amp;CHOOSE(WEEKDAY(A23,2),"一","二","三","四","五","六","日"),"")</f>
        <v/>
      </c>
      <c r="C23" s="32" t="n"/>
      <c r="D23" s="29" t="n"/>
      <c r="E23" s="55" t="str">
        <f>IF(ISNUMBER(A23),COUNTIFS('例-交易记录'!$B$5:$B$304,A23,'例-交易记录'!$Q$5:$Q$304,"已执行"),"")</f>
        <v/>
      </c>
      <c r="F23" s="31" t="n"/>
      <c r="G23" s="29" t="n"/>
      <c r="H23" s="56" t="str">
        <f>IF(NOT(ISNUMBER(A23)),"",IF(COUNTIFS('例-交易记录'!$S$5:$S$304,A23,'例-交易记录'!$Y$5:$Y$304,"已平仓")=0,"",SUMIFS('例-交易记录'!$AG$5:$AG$304,'例-交易记录'!$S$5:$S$304,A23,'例-交易记录'!$Y$5:$Y$304,"已平仓")))</f>
        <v/>
      </c>
      <c r="I23" s="41" t="str">
        <f>IF(NOT(ISNUMBER(H23)),"",IF(H23&lt;=-'参数'!$C$8,"触及停手线",""))</f>
        <v/>
      </c>
      <c r="J23" s="31" t="n"/>
      <c r="K23" s="31" t="n"/>
    </row>
    <row r="24">
      <c r="A24" s="30" t="n"/>
      <c r="B24" s="41" t="str">
        <f>IF(ISNUMBER(A24),"周"&amp;CHOOSE(WEEKDAY(A24,2),"一","二","三","四","五","六","日"),"")</f>
        <v/>
      </c>
      <c r="C24" s="32" t="n"/>
      <c r="D24" s="29" t="n"/>
      <c r="E24" s="55" t="str">
        <f>IF(ISNUMBER(A24),COUNTIFS('例-交易记录'!$B$5:$B$304,A24,'例-交易记录'!$Q$5:$Q$304,"已执行"),"")</f>
        <v/>
      </c>
      <c r="F24" s="31" t="n"/>
      <c r="G24" s="29" t="n"/>
      <c r="H24" s="56" t="str">
        <f>IF(NOT(ISNUMBER(A24)),"",IF(COUNTIFS('例-交易记录'!$S$5:$S$304,A24,'例-交易记录'!$Y$5:$Y$304,"已平仓")=0,"",SUMIFS('例-交易记录'!$AG$5:$AG$304,'例-交易记录'!$S$5:$S$304,A24,'例-交易记录'!$Y$5:$Y$304,"已平仓")))</f>
        <v/>
      </c>
      <c r="I24" s="41" t="str">
        <f>IF(NOT(ISNUMBER(H24)),"",IF(H24&lt;=-'参数'!$C$8,"触及停手线",""))</f>
        <v/>
      </c>
      <c r="J24" s="31" t="n"/>
      <c r="K24" s="31" t="n"/>
    </row>
  </sheetData>
  <mergeCells count="6">
    <mergeCell ref="J3:K3"/>
    <mergeCell ref="C3:I3"/>
    <mergeCell ref="I1:K1"/>
    <mergeCell ref="A2:K2"/>
    <mergeCell ref="A1:H1"/>
    <mergeCell ref="A3:B3"/>
  </mergeCells>
  <conditionalFormatting sqref="H5:H2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I5:I24">
    <cfRule type="cellIs" priority="3" operator="equal" dxfId="6">
      <formula>"触及停手线"</formula>
    </cfRule>
  </conditionalFormatting>
  <dataValidations count="3">
    <dataValidation sqref="A5:A2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:C24" showDropDown="0" showInputMessage="0" showErrorMessage="1" allowBlank="1" errorTitle="不在选项里" error="请从下拉里选；要加新选项，先去参数页的下拉选项里加。" type="list" errorStyle="warning">
      <formula1>'参数'!$G$22:$G$33</formula1>
    </dataValidation>
    <dataValidation sqref="G5:G24" showDropDown="0" showInputMessage="0" showErrorMessage="1" allowBlank="1" errorTitle="格式不对" error="状态打分填 1 到 5：1 很差，5 很好。" type="custom" errorStyle="stop">
      <formula1>AND(G5&gt;=1,G5&lt;=5)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</worksheet>
</file>

<file path=xl/worksheets/sheet14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L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hidden="1" width="6" customWidth="1" min="12" max="12"/>
  </cols>
  <sheetData>
    <row r="1" ht="30" customHeight="1">
      <c r="A1" s="13" t="inlineStr">
        <is>
          <t>示例 · 周复盘：先看过程，再看成绩</t>
        </is>
      </c>
      <c r="H1" s="14" t="inlineStr">
        <is>
          <t>TradeLearn · XtradingTime 交易内训</t>
        </is>
      </c>
    </row>
    <row r="2" ht="20" customHeight="1">
      <c r="A2" s="63" t="inlineStr">
        <is>
          <t>虚构示例，仅演示填法：统计来自示例页的虚构交易。</t>
        </is>
      </c>
    </row>
    <row r="4">
      <c r="B4" s="50" t="inlineStr">
        <is>
          <t>统计区间：开始日期</t>
        </is>
      </c>
      <c r="C4" s="30" t="n">
        <v>47609</v>
      </c>
      <c r="D4" s="57" t="inlineStr">
        <is>
          <t>结束日期</t>
        </is>
      </c>
      <c r="E4" s="30" t="n">
        <v>47620</v>
      </c>
      <c r="F4" s="19" t="inlineStr">
        <is>
          <t>一周就填周一和周日；月复盘就填月初和月底。</t>
        </is>
      </c>
      <c r="G4" s="19" t="n"/>
      <c r="H4" s="19" t="n"/>
      <c r="I4" s="19" t="n"/>
      <c r="J4" s="19" t="n"/>
    </row>
    <row r="6">
      <c r="B6" s="15" t="inlineStr">
        <is>
          <t>1. 这几天的每日记录（区间里的前 7 天）</t>
        </is>
      </c>
    </row>
    <row r="7">
      <c r="B7" s="26" t="inlineStr">
        <is>
          <t>日期</t>
        </is>
      </c>
      <c r="C7" s="26" t="inlineStr">
        <is>
          <t>星期</t>
        </is>
      </c>
      <c r="D7" s="26" t="inlineStr">
        <is>
          <t>今天做了什么</t>
        </is>
      </c>
      <c r="E7" s="26" t="inlineStr">
        <is>
          <t>看到几次机会</t>
        </is>
      </c>
      <c r="F7" s="26" t="inlineStr">
        <is>
          <t>下了几笔</t>
        </is>
      </c>
      <c r="G7" s="26" t="inlineStr">
        <is>
          <t>状态</t>
        </is>
      </c>
      <c r="H7" s="26" t="inlineStr">
        <is>
          <t>当日平仓净R</t>
        </is>
      </c>
      <c r="I7" s="26" t="inlineStr">
        <is>
          <t>明天的条件</t>
        </is>
      </c>
      <c r="J7" s="26" t="n"/>
    </row>
    <row r="8">
      <c r="B8" s="51">
        <f>IF(ISNUMBER($C$4),IF($C$4+0&lt;=$E$4,$C$4+0,""),"")</f>
        <v>47609.0</v>
      </c>
      <c r="C8" s="41" t="str">
        <f>IF(ISNUMBER(B8),"周"&amp;CHOOSE(WEEKDAY(B8,2),"一","二","三","四","五","六","日"),"")</f>
        <v>周一</v>
      </c>
      <c r="D8" s="49" t="str">
        <f>IF(ISNUMBER($B8),IFERROR(T(VLOOKUP($B8,'例-每日记录'!$A$5:$K$264,3,FALSE)),"未记"),"")</f>
        <v>有成交</v>
      </c>
      <c r="E8" s="55">
        <f>IF(ISNUMBER($B8),IFERROR(IF(ISNUMBER(VLOOKUP($B8,'例-每日记录'!$A$5:$K$264,4,FALSE)),VLOOKUP($B8,'例-每日记录'!$A$5:$K$264,4,FALSE),""),""),"")</f>
        <v>2</v>
      </c>
      <c r="F8" s="55">
        <f>IF(ISNUMBER($B8),IFERROR(VLOOKUP($B8,'例-每日记录'!$A$5:$K$264,5,FALSE),""),"")</f>
        <v>1</v>
      </c>
      <c r="G8" s="55">
        <f>IF(ISNUMBER($B8),IFERROR(IF(ISNUMBER(VLOOKUP($B8,'例-每日记录'!$A$5:$K$264,7,FALSE)),VLOOKUP($B8,'例-每日记录'!$A$5:$K$264,7,FALSE),""),""),"")</f>
        <v>4</v>
      </c>
      <c r="H8" s="56" t="str">
        <f>IF(ISNUMBER($B8),IFERROR(VLOOKUP($B8,'例-每日记录'!$A$5:$K$264,8,FALSE),""),"")</f>
        <v/>
      </c>
      <c r="I8" s="58" t="str">
        <f>IF(ISNUMBER($B8),IFERROR(T(VLOOKUP($B8,'例-每日记录'!$A$5:$K$264,10,FALSE)),""),"")</f>
        <v>示例股乙到区间上沿才空</v>
      </c>
      <c r="J8" s="58" t="n"/>
    </row>
    <row r="9">
      <c r="B9" s="51">
        <f>IF(ISNUMBER($C$4),IF($C$4+1&lt;=$E$4,$C$4+1,""),"")</f>
        <v>47610.0</v>
      </c>
      <c r="C9" s="41" t="str">
        <f>IF(ISNUMBER(B9),"周"&amp;CHOOSE(WEEKDAY(B9,2),"一","二","三","四","五","六","日"),"")</f>
        <v>周二</v>
      </c>
      <c r="D9" s="49" t="str">
        <f>IF(ISNUMBER($B9),IFERROR(T(VLOOKUP($B9,'例-每日记录'!$A$5:$K$264,3,FALSE)),"未记"),"")</f>
        <v>有成交</v>
      </c>
      <c r="E9" s="55">
        <f>IF(ISNUMBER($B9),IFERROR(IF(ISNUMBER(VLOOKUP($B9,'例-每日记录'!$A$5:$K$264,4,FALSE)),VLOOKUP($B9,'例-每日记录'!$A$5:$K$264,4,FALSE),""),""),"")</f>
        <v>1</v>
      </c>
      <c r="F9" s="55">
        <f>IF(ISNUMBER($B9),IFERROR(VLOOKUP($B9,'例-每日记录'!$A$5:$K$264,5,FALSE),""),"")</f>
        <v>1</v>
      </c>
      <c r="G9" s="55">
        <f>IF(ISNUMBER($B9),IFERROR(IF(ISNUMBER(VLOOKUP($B9,'例-每日记录'!$A$5:$K$264,7,FALSE)),VLOOKUP($B9,'例-每日记录'!$A$5:$K$264,7,FALSE),""),""),"")</f>
        <v>4</v>
      </c>
      <c r="H9" s="56" t="str">
        <f>IF(ISNUMBER($B9),IFERROR(VLOOKUP($B9,'例-每日记录'!$A$5:$K$264,8,FALSE),""),"")</f>
        <v/>
      </c>
      <c r="I9" s="58" t="str">
        <f>IF(ISNUMBER($B9),IFERROR(T(VLOOKUP($B9,'例-每日记录'!$A$5:$K$264,10,FALSE)),""),"")</f>
        <v>空单拿着，止损不动</v>
      </c>
      <c r="J9" s="58" t="n"/>
    </row>
    <row r="10">
      <c r="B10" s="51">
        <f>IF(ISNUMBER($C$4),IF($C$4+2&lt;=$E$4,$C$4+2,""),"")</f>
        <v>47611.0</v>
      </c>
      <c r="C10" s="41" t="str">
        <f>IF(ISNUMBER(B10),"周"&amp;CHOOSE(WEEKDAY(B10,2),"一","二","三","四","五","六","日"),"")</f>
        <v>周三</v>
      </c>
      <c r="D10" s="49" t="str">
        <f>IF(ISNUMBER($B10),IFERROR(T(VLOOKUP($B10,'例-每日记录'!$A$5:$K$264,3,FALSE)),"未记"),"")</f>
        <v>有成交</v>
      </c>
      <c r="E10" s="55">
        <f>IF(ISNUMBER($B10),IFERROR(IF(ISNUMBER(VLOOKUP($B10,'例-每日记录'!$A$5:$K$264,4,FALSE)),VLOOKUP($B10,'例-每日记录'!$A$5:$K$264,4,FALSE),""),""),"")</f>
        <v>2</v>
      </c>
      <c r="F10" s="55">
        <f>IF(ISNUMBER($B10),IFERROR(VLOOKUP($B10,'例-每日记录'!$A$5:$K$264,5,FALSE),""),"")</f>
        <v>1</v>
      </c>
      <c r="G10" s="55">
        <f>IF(ISNUMBER($B10),IFERROR(IF(ISNUMBER(VLOOKUP($B10,'例-每日记录'!$A$5:$K$264,7,FALSE)),VLOOKUP($B10,'例-每日记录'!$A$5:$K$264,7,FALSE),""),""),"")</f>
        <v>3</v>
      </c>
      <c r="H10" s="56">
        <f>IF(ISNUMBER($B10),IFERROR(VLOOKUP($B10,'例-每日记录'!$A$5:$K$264,8,FALSE),""),"")</f>
        <v>-1.125</v>
      </c>
      <c r="I10" s="58" t="str">
        <f>IF(ISNUMBER($B10),IFERROR(T(VLOOKUP($B10,'例-每日记录'!$A$5:$K$264,10,FALSE)),""),"")</f>
        <v>日内单不过夜</v>
      </c>
      <c r="J10" s="58" t="n"/>
    </row>
    <row r="11">
      <c r="B11" s="51">
        <f>IF(ISNUMBER($C$4),IF($C$4+3&lt;=$E$4,$C$4+3,""),"")</f>
        <v>47612.0</v>
      </c>
      <c r="C11" s="41" t="str">
        <f>IF(ISNUMBER(B11),"周"&amp;CHOOSE(WEEKDAY(B11,2),"一","二","三","四","五","六","日"),"")</f>
        <v>周四</v>
      </c>
      <c r="D11" s="49" t="str">
        <f>IF(ISNUMBER($B11),IFERROR(T(VLOOKUP($B11,'例-每日记录'!$A$5:$K$264,3,FALSE)),"未记"),"")</f>
        <v>有成交</v>
      </c>
      <c r="E11" s="55">
        <f>IF(ISNUMBER($B11),IFERROR(IF(ISNUMBER(VLOOKUP($B11,'例-每日记录'!$A$5:$K$264,4,FALSE)),VLOOKUP($B11,'例-每日记录'!$A$5:$K$264,4,FALSE),""),""),"")</f>
        <v>2</v>
      </c>
      <c r="F11" s="55">
        <f>IF(ISNUMBER($B11),IFERROR(VLOOKUP($B11,'例-每日记录'!$A$5:$K$264,5,FALSE),""),"")</f>
        <v>1</v>
      </c>
      <c r="G11" s="55">
        <f>IF(ISNUMBER($B11),IFERROR(IF(ISNUMBER(VLOOKUP($B11,'例-每日记录'!$A$5:$K$264,7,FALSE)),VLOOKUP($B11,'例-每日记录'!$A$5:$K$264,7,FALSE),""),""),"")</f>
        <v>4</v>
      </c>
      <c r="H11" s="56">
        <f>IF(ISNUMBER($B11),IFERROR(VLOOKUP($B11,'例-每日记录'!$A$5:$K$264,8,FALSE),""),"")</f>
        <v>4.23974358974359</v>
      </c>
      <c r="I11" s="58" t="str">
        <f>IF(ISNUMBER($B11),IFERROR(T(VLOOKUP($B11,'例-每日记录'!$A$5:$K$264,10,FALSE)),""),"")</f>
        <v>财报前一天想好怎么处理示例股甲</v>
      </c>
      <c r="J11" s="58" t="n"/>
    </row>
    <row r="12">
      <c r="B12" s="51">
        <f>IF(ISNUMBER($C$4),IF($C$4+4&lt;=$E$4,$C$4+4,""),"")</f>
        <v>47613.0</v>
      </c>
      <c r="C12" s="41" t="str">
        <f>IF(ISNUMBER(B12),"周"&amp;CHOOSE(WEEKDAY(B12,2),"一","二","三","四","五","六","日"),"")</f>
        <v>周五</v>
      </c>
      <c r="D12" s="49" t="str">
        <f>IF(ISNUMBER($B12),IFERROR(T(VLOOKUP($B12,'例-每日记录'!$A$5:$K$264,3,FALSE)),"未记"),"")</f>
        <v>有成交</v>
      </c>
      <c r="E12" s="55">
        <f>IF(ISNUMBER($B12),IFERROR(IF(ISNUMBER(VLOOKUP($B12,'例-每日记录'!$A$5:$K$264,4,FALSE)),VLOOKUP($B12,'例-每日记录'!$A$5:$K$264,4,FALSE),""),""),"")</f>
        <v>1</v>
      </c>
      <c r="F12" s="55">
        <f>IF(ISNUMBER($B12),IFERROR(VLOOKUP($B12,'例-每日记录'!$A$5:$K$264,5,FALSE),""),"")</f>
        <v>1</v>
      </c>
      <c r="G12" s="55">
        <f>IF(ISNUMBER($B12),IFERROR(IF(ISNUMBER(VLOOKUP($B12,'例-每日记录'!$A$5:$K$264,7,FALSE)),VLOOKUP($B12,'例-每日记录'!$A$5:$K$264,7,FALSE),""),""),"")</f>
        <v>3</v>
      </c>
      <c r="H12" s="56" t="str">
        <f>IF(ISNUMBER($B12),IFERROR(VLOOKUP($B12,'例-每日记录'!$A$5:$K$264,8,FALSE),""),"")</f>
        <v/>
      </c>
      <c r="I12" s="58" t="str">
        <f>IF(ISNUMBER($B12),IFERROR(T(VLOOKUP($B12,'例-每日记录'!$A$5:$K$264,10,FALSE)),""),"")</f>
        <v>财报日前一天收盘前减半</v>
      </c>
      <c r="J12" s="58" t="n"/>
    </row>
    <row r="13">
      <c r="B13" s="51">
        <f>IF(ISNUMBER($C$4),IF($C$4+5&lt;=$E$4,$C$4+5,""),"")</f>
        <v>47614.0</v>
      </c>
      <c r="C13" s="41" t="str">
        <f>IF(ISNUMBER(B13),"周"&amp;CHOOSE(WEEKDAY(B13,2),"一","二","三","四","五","六","日"),"")</f>
        <v>周六</v>
      </c>
      <c r="D13" s="49" t="str">
        <f>IF(ISNUMBER($B13),IFERROR(T(VLOOKUP($B13,'例-每日记录'!$A$5:$K$264,3,FALSE)),"未记"),"")</f>
        <v>未记</v>
      </c>
      <c r="E13" s="55" t="str">
        <f>IF(ISNUMBER($B13),IFERROR(IF(ISNUMBER(VLOOKUP($B13,'例-每日记录'!$A$5:$K$264,4,FALSE)),VLOOKUP($B13,'例-每日记录'!$A$5:$K$264,4,FALSE),""),""),"")</f>
        <v/>
      </c>
      <c r="F13" s="55" t="str">
        <f>IF(ISNUMBER($B13),IFERROR(VLOOKUP($B13,'例-每日记录'!$A$5:$K$264,5,FALSE),""),"")</f>
        <v/>
      </c>
      <c r="G13" s="55" t="str">
        <f>IF(ISNUMBER($B13),IFERROR(IF(ISNUMBER(VLOOKUP($B13,'例-每日记录'!$A$5:$K$264,7,FALSE)),VLOOKUP($B13,'例-每日记录'!$A$5:$K$264,7,FALSE),""),""),"")</f>
        <v/>
      </c>
      <c r="H13" s="56" t="str">
        <f>IF(ISNUMBER($B13),IFERROR(VLOOKUP($B13,'例-每日记录'!$A$5:$K$264,8,FALSE),""),"")</f>
        <v/>
      </c>
      <c r="I13" s="58" t="str">
        <f>IF(ISNUMBER($B13),IFERROR(T(VLOOKUP($B13,'例-每日记录'!$A$5:$K$264,10,FALSE)),""),"")</f>
        <v/>
      </c>
      <c r="J13" s="58" t="n"/>
    </row>
    <row r="14">
      <c r="B14" s="51">
        <f>IF(ISNUMBER($C$4),IF($C$4+6&lt;=$E$4,$C$4+6,""),"")</f>
        <v>47615.0</v>
      </c>
      <c r="C14" s="41" t="str">
        <f>IF(ISNUMBER(B14),"周"&amp;CHOOSE(WEEKDAY(B14,2),"一","二","三","四","五","六","日"),"")</f>
        <v>周日</v>
      </c>
      <c r="D14" s="49" t="str">
        <f>IF(ISNUMBER($B14),IFERROR(T(VLOOKUP($B14,'例-每日记录'!$A$5:$K$264,3,FALSE)),"未记"),"")</f>
        <v>未记</v>
      </c>
      <c r="E14" s="55" t="str">
        <f>IF(ISNUMBER($B14),IFERROR(IF(ISNUMBER(VLOOKUP($B14,'例-每日记录'!$A$5:$K$264,4,FALSE)),VLOOKUP($B14,'例-每日记录'!$A$5:$K$264,4,FALSE),""),""),"")</f>
        <v/>
      </c>
      <c r="F14" s="55" t="str">
        <f>IF(ISNUMBER($B14),IFERROR(VLOOKUP($B14,'例-每日记录'!$A$5:$K$264,5,FALSE),""),"")</f>
        <v/>
      </c>
      <c r="G14" s="55" t="str">
        <f>IF(ISNUMBER($B14),IFERROR(IF(ISNUMBER(VLOOKUP($B14,'例-每日记录'!$A$5:$K$264,7,FALSE)),VLOOKUP($B14,'例-每日记录'!$A$5:$K$264,7,FALSE),""),""),"")</f>
        <v/>
      </c>
      <c r="H14" s="56" t="str">
        <f>IF(ISNUMBER($B14),IFERROR(VLOOKUP($B14,'例-每日记录'!$A$5:$K$264,8,FALSE),""),"")</f>
        <v/>
      </c>
      <c r="I14" s="58" t="str">
        <f>IF(ISNUMBER($B14),IFERROR(T(VLOOKUP($B14,'例-每日记录'!$A$5:$K$264,10,FALSE)),""),"")</f>
        <v/>
      </c>
      <c r="J14" s="58" t="n"/>
    </row>
    <row r="16">
      <c r="B16" s="15" t="inlineStr">
        <is>
          <t>2. 成绩与执行</t>
        </is>
      </c>
    </row>
    <row r="17">
      <c r="B17" s="26" t="inlineStr">
        <is>
          <t>指标</t>
        </is>
      </c>
      <c r="C17" s="26" t="inlineStr">
        <is>
          <t>本区间</t>
        </is>
      </c>
      <c r="D17" s="26" t="inlineStr">
        <is>
          <t>全部记录</t>
        </is>
      </c>
      <c r="E17" s="26" t="inlineStr">
        <is>
          <t>怎么看</t>
        </is>
      </c>
      <c r="F17" s="26" t="n"/>
      <c r="G17" s="26" t="n"/>
      <c r="H17" s="26" t="n"/>
      <c r="I17" s="26" t="n"/>
      <c r="J17" s="26" t="n"/>
    </row>
    <row r="18">
      <c r="B18" s="16" t="inlineStr">
        <is>
          <t>写了计划的笔数</t>
        </is>
      </c>
      <c r="C18" s="59">
        <f>IF(AND(ISNUMBER($C$4),ISNUMBER($E$4)),COUNTIFS('例-交易记录'!$B$5:$B$304,"&gt;="&amp;$C$4,'例-交易记录'!$B$5:$B$304,"&lt;="&amp;$E$4),"")</f>
        <v>8</v>
      </c>
      <c r="D18" s="59">
        <f>COUNT('例-交易记录'!$B$5:$B$304)</f>
        <v>8</v>
      </c>
      <c r="E18" s="19" t="inlineStr">
        <is>
          <t>按计划日期算。计划少不一定是坏事，没机会就不做。</t>
        </is>
      </c>
      <c r="F18" s="19" t="n"/>
      <c r="G18" s="19" t="n"/>
      <c r="H18" s="19" t="n"/>
      <c r="I18" s="19" t="n"/>
      <c r="J18" s="19" t="n"/>
    </row>
    <row r="19">
      <c r="B19" s="16" t="inlineStr">
        <is>
          <t>其中已执行</t>
        </is>
      </c>
      <c r="C19" s="59">
        <f>IF(AND(ISNUMBER($C$4),ISNUMBER($E$4)),COUNTIFS('例-交易记录'!$B$5:$B$304,"&gt;="&amp;$C$4,'例-交易记录'!$B$5:$B$304,"&lt;="&amp;$E$4,'例-交易记录'!$Q$5:$Q$304,"已执行"),"")</f>
        <v>6</v>
      </c>
      <c r="D19" s="59">
        <f>COUNTIF('例-交易记录'!$Q$5:$Q$304,"已执行")</f>
        <v>6</v>
      </c>
      <c r="E19" s="19" t="inlineStr"/>
      <c r="F19" s="19" t="n"/>
      <c r="G19" s="19" t="n"/>
      <c r="H19" s="19" t="n"/>
      <c r="I19" s="19" t="n"/>
      <c r="J19" s="19" t="n"/>
    </row>
    <row r="20">
      <c r="B20" s="16" t="inlineStr">
        <is>
          <t>未成交</t>
        </is>
      </c>
      <c r="C20" s="59">
        <f>IF(AND(ISNUMBER($C$4),ISNUMBER($E$4)),COUNTIFS('例-交易记录'!$B$5:$B$304,"&gt;="&amp;$C$4,'例-交易记录'!$B$5:$B$304,"&lt;="&amp;$E$4,'例-交易记录'!$Q$5:$Q$304,"未成交"),"")</f>
        <v>1</v>
      </c>
      <c r="D20" s="59">
        <f>COUNTIF('例-交易记录'!$Q$5:$Q$304,"未成交")</f>
        <v>1</v>
      </c>
      <c r="E20" s="19" t="inlineStr">
        <is>
          <t>挂了没成交，不算胜率，也不算错。</t>
        </is>
      </c>
      <c r="F20" s="19" t="n"/>
      <c r="G20" s="19" t="n"/>
      <c r="H20" s="19" t="n"/>
      <c r="I20" s="19" t="n"/>
      <c r="J20" s="19" t="n"/>
    </row>
    <row r="21">
      <c r="B21" s="16" t="inlineStr">
        <is>
          <t>主动放弃</t>
        </is>
      </c>
      <c r="C21" s="59">
        <f>IF(AND(ISNUMBER($C$4),ISNUMBER($E$4)),COUNTIFS('例-交易记录'!$B$5:$B$304,"&gt;="&amp;$C$4,'例-交易记录'!$B$5:$B$304,"&lt;="&amp;$E$4,'例-交易记录'!$Q$5:$Q$304,"主动放弃"),"")</f>
        <v>0</v>
      </c>
      <c r="D21" s="59">
        <f>COUNTIF('例-交易记录'!$Q$5:$Q$304,"主动放弃")</f>
        <v>0</v>
      </c>
      <c r="E21" s="19" t="inlineStr">
        <is>
          <t>按规则不做，也是执行。</t>
        </is>
      </c>
      <c r="F21" s="19" t="n"/>
      <c r="G21" s="19" t="n"/>
      <c r="H21" s="19" t="n"/>
      <c r="I21" s="19" t="n"/>
      <c r="J21" s="19" t="n"/>
    </row>
    <row r="22">
      <c r="B22" s="16" t="inlineStr">
        <is>
          <t>漏单</t>
        </is>
      </c>
      <c r="C22" s="59">
        <f>IF(AND(ISNUMBER($C$4),ISNUMBER($E$4)),COUNTIFS('例-交易记录'!$B$5:$B$304,"&gt;="&amp;$C$4,'例-交易记录'!$B$5:$B$304,"&lt;="&amp;$E$4,'例-交易记录'!$Q$5:$Q$304,"漏单"),"")</f>
        <v>1</v>
      </c>
      <c r="D22" s="59">
        <f>COUNTIF('例-交易记录'!$Q$5:$Q$304,"漏单")</f>
        <v>1</v>
      </c>
      <c r="E22" s="19" t="inlineStr">
        <is>
          <t>该做没做。多了先修提醒和流程，别先改信号。</t>
        </is>
      </c>
      <c r="F22" s="19" t="n"/>
      <c r="G22" s="19" t="n"/>
      <c r="H22" s="19" t="n"/>
      <c r="I22" s="19" t="n"/>
      <c r="J22" s="19" t="n"/>
    </row>
    <row r="23">
      <c r="B23" s="16" t="inlineStr">
        <is>
          <t>已平仓笔数</t>
        </is>
      </c>
      <c r="C23" s="59">
        <f>IF(AND(ISNUMBER($C$4),ISNUMBER($E$4)),COUNTIFS('例-交易记录'!$S$5:$S$304,"&gt;="&amp;$C$4,'例-交易记录'!$S$5:$S$304,"&lt;="&amp;$E$4,'例-交易记录'!$Y$5:$Y$304,"已平仓"),"")</f>
        <v>5</v>
      </c>
      <c r="D23" s="59">
        <f>COUNTIF('例-交易记录'!$Y$5:$Y$304,"已平仓")</f>
        <v>5</v>
      </c>
      <c r="E23" s="19" t="inlineStr">
        <is>
          <t>下面的成绩只算这些。持仓中的不算。</t>
        </is>
      </c>
      <c r="F23" s="19" t="n"/>
      <c r="G23" s="19" t="n"/>
      <c r="H23" s="19" t="n"/>
      <c r="I23" s="19" t="n"/>
      <c r="J23" s="19" t="n"/>
    </row>
    <row r="24">
      <c r="B24" s="16" t="inlineStr">
        <is>
          <t>盈利笔数</t>
        </is>
      </c>
      <c r="C24" s="59">
        <f>IF(AND(ISNUMBER($C$4),ISNUMBER($E$4)),COUNTIFS('例-交易记录'!$S$5:$S$304,"&gt;="&amp;$C$4,'例-交易记录'!$S$5:$S$304,"&lt;="&amp;$E$4,'例-交易记录'!$Y$5:$Y$304,"已平仓",'例-交易记录'!$AG$5:$AG$304,"&gt;0"),"")</f>
        <v>3</v>
      </c>
      <c r="D24" s="59">
        <f>COUNTIFS('例-交易记录'!$Y$5:$Y$304,"已平仓",'例-交易记录'!$AG$5:$AG$304,"&gt;0")</f>
        <v>3</v>
      </c>
      <c r="E24" s="19" t="inlineStr">
        <is>
          <t>按净R算，扣完费用还赚才算盈利。</t>
        </is>
      </c>
      <c r="F24" s="19" t="n"/>
      <c r="G24" s="19" t="n"/>
      <c r="H24" s="19" t="n"/>
      <c r="I24" s="19" t="n"/>
      <c r="J24" s="19" t="n"/>
    </row>
    <row r="25">
      <c r="B25" s="16" t="inlineStr">
        <is>
          <t>亏损笔数</t>
        </is>
      </c>
      <c r="C25" s="59">
        <f>IF(AND(ISNUMBER($C$4),ISNUMBER($E$4)),COUNTIFS('例-交易记录'!$S$5:$S$304,"&gt;="&amp;$C$4,'例-交易记录'!$S$5:$S$304,"&lt;="&amp;$E$4,'例-交易记录'!$Y$5:$Y$304,"已平仓",'例-交易记录'!$AG$5:$AG$304,"&lt;0"),"")</f>
        <v>2</v>
      </c>
      <c r="D25" s="59">
        <f>COUNTIFS('例-交易记录'!$Y$5:$Y$304,"已平仓",'例-交易记录'!$AG$5:$AG$304,"&lt;0")</f>
        <v>2</v>
      </c>
      <c r="E25" s="19" t="inlineStr"/>
      <c r="F25" s="19" t="n"/>
      <c r="G25" s="19" t="n"/>
      <c r="H25" s="19" t="n"/>
      <c r="I25" s="19" t="n"/>
      <c r="J25" s="19" t="n"/>
    </row>
    <row r="26">
      <c r="B26" s="16" t="inlineStr">
        <is>
          <t>胜率</t>
        </is>
      </c>
      <c r="C26" s="60">
        <f>IF(AND(ISNUMBER($C$4),ISNUMBER($E$4)),IF(N(C23)&gt;0,C24/C23,""),"")</f>
        <v>0.6</v>
      </c>
      <c r="D26" s="60">
        <f>IF(N(D23)&gt;0,D24/D23,"")</f>
        <v>0.6</v>
      </c>
      <c r="E26" s="19" t="inlineStr">
        <is>
          <t>只看胜率会被骗，要和下面两行一起看。</t>
        </is>
      </c>
      <c r="F26" s="19" t="n"/>
      <c r="G26" s="19" t="n"/>
      <c r="H26" s="19" t="n"/>
      <c r="I26" s="19" t="n"/>
      <c r="J26" s="19" t="n"/>
    </row>
    <row r="27">
      <c r="B27" s="16" t="inlineStr">
        <is>
          <t>平均盈利（R）</t>
        </is>
      </c>
      <c r="C27" s="56">
        <f>IF(AND(ISNUMBER($C$4),ISNUMBER($E$4)),IF(N(C24)&gt;0,SUMIFS('例-交易记录'!$AG$5:$AG$304,'例-交易记录'!$S$5:$S$304,"&gt;="&amp;$C$4,'例-交易记录'!$S$5:$S$304,"&lt;="&amp;$E$4,'例-交易记录'!$Y$5:$Y$304,"已平仓",'例-交易记录'!$AG$5:$AG$304,"&gt;0")/C24,""),"")</f>
        <v>2.28213675213675</v>
      </c>
      <c r="D27" s="56">
        <f>IF(N(D24)&gt;0,SUMIFS('例-交易记录'!$AG$5:$AG$304,'例-交易记录'!$Y$5:$Y$304,"已平仓",'例-交易记录'!$AG$5:$AG$304,"&gt;0")/D24,"")</f>
        <v>2.28213675213675</v>
      </c>
      <c r="E27" s="19" t="inlineStr"/>
      <c r="F27" s="19" t="n"/>
      <c r="G27" s="19" t="n"/>
      <c r="H27" s="19" t="n"/>
      <c r="I27" s="19" t="n"/>
      <c r="J27" s="19" t="n"/>
    </row>
    <row r="28">
      <c r="B28" s="16" t="inlineStr">
        <is>
          <t>平均亏损（R）</t>
        </is>
      </c>
      <c r="C28" s="56">
        <f>IF(AND(ISNUMBER($C$4),ISNUMBER($E$4)),IF(N(C25)&gt;0,SUMIFS('例-交易记录'!$AG$5:$AG$304,'例-交易记录'!$S$5:$S$304,"&gt;="&amp;$C$4,'例-交易记录'!$S$5:$S$304,"&lt;="&amp;$E$4,'例-交易记录'!$Y$5:$Y$304,"已平仓",'例-交易记录'!$AG$5:$AG$304,"&lt;0")/C25,""),"")</f>
        <v>-1.63</v>
      </c>
      <c r="D28" s="56">
        <f>IF(N(D25)&gt;0,SUMIFS('例-交易记录'!$AG$5:$AG$304,'例-交易记录'!$Y$5:$Y$304,"已平仓",'例-交易记录'!$AG$5:$AG$304,"&lt;0")/D25,"")</f>
        <v>-1.63</v>
      </c>
      <c r="E28" s="19" t="inlineStr">
        <is>
          <t>平均亏损超过 1R，说明止损常被跳空或扛单打穿。</t>
        </is>
      </c>
      <c r="F28" s="19" t="n"/>
      <c r="G28" s="19" t="n"/>
      <c r="H28" s="19" t="n"/>
      <c r="I28" s="19" t="n"/>
      <c r="J28" s="19" t="n"/>
    </row>
    <row r="29">
      <c r="B29" s="16" t="inlineStr">
        <is>
          <t>每笔平均净R（期望）</t>
        </is>
      </c>
      <c r="C29" s="56">
        <f>IF(AND(ISNUMBER($C$4),ISNUMBER($E$4)),IF(N(C23)&gt;0,SUMIFS('例-交易记录'!$AG$5:$AG$304,'例-交易记录'!$S$5:$S$304,"&gt;="&amp;$C$4,'例-交易记录'!$S$5:$S$304,"&lt;="&amp;$E$4,'例-交易记录'!$Y$5:$Y$304,"已平仓")/C23,""),"")</f>
        <v>0.717282051282052</v>
      </c>
      <c r="D29" s="56">
        <f>IF(N(D23)&gt;0,SUMIFS('例-交易记录'!$AG$5:$AG$304,'例-交易记录'!$Y$5:$Y$304,"已平仓")/D23,"")</f>
        <v>0.717282051282052</v>
      </c>
      <c r="E29" s="19" t="inlineStr">
        <is>
          <t>最重要的一个数。笔数少时只当参考。</t>
        </is>
      </c>
      <c r="F29" s="19" t="n"/>
      <c r="G29" s="19" t="n"/>
      <c r="H29" s="19" t="n"/>
      <c r="I29" s="19" t="n"/>
      <c r="J29" s="19" t="n"/>
    </row>
    <row r="30">
      <c r="B30" s="16" t="inlineStr">
        <is>
          <t>合计毛R（不扣费用）</t>
        </is>
      </c>
      <c r="C30" s="56">
        <f>IF(AND(ISNUMBER($C$4),ISNUMBER($E$4)),IF(N(C23)&gt;0,SUMIFS('例-交易记录'!$AF$5:$AF$304,'例-交易记录'!$S$5:$S$304,"&gt;="&amp;$C$4,'例-交易记录'!$S$5:$S$304,"&lt;="&amp;$E$4,'例-交易记录'!$Y$5:$Y$304,"已平仓"),""),"")</f>
        <v>3.68333333333333</v>
      </c>
      <c r="D30" s="56">
        <f>IF(N(D23)&gt;0,SUMIFS('例-交易记录'!$AF$5:$AF$304,'例-交易记录'!$Y$5:$Y$304,"已平仓"),"")</f>
        <v>3.68333333333333</v>
      </c>
      <c r="E30" s="19" t="inlineStr"/>
      <c r="F30" s="19" t="n"/>
      <c r="G30" s="19" t="n"/>
      <c r="H30" s="19" t="n"/>
      <c r="I30" s="19" t="n"/>
      <c r="J30" s="19" t="n"/>
    </row>
    <row r="31">
      <c r="B31" s="16" t="inlineStr">
        <is>
          <t>合计净R（扣完费用）</t>
        </is>
      </c>
      <c r="C31" s="56">
        <f>IF(AND(ISNUMBER($C$4),ISNUMBER($E$4)),IF(N(C23)&gt;0,SUMIFS('例-交易记录'!$AG$5:$AG$304,'例-交易记录'!$S$5:$S$304,"&gt;="&amp;$C$4,'例-交易记录'!$S$5:$S$304,"&lt;="&amp;$E$4,'例-交易记录'!$Y$5:$Y$304,"已平仓"),""),"")</f>
        <v>3.58641025641026</v>
      </c>
      <c r="D31" s="56">
        <f>IF(N(D23)&gt;0,SUMIFS('例-交易记录'!$AG$5:$AG$304,'例-交易记录'!$Y$5:$Y$304,"已平仓"),"")</f>
        <v>3.58641025641026</v>
      </c>
      <c r="E31" s="19" t="inlineStr"/>
      <c r="F31" s="19" t="n"/>
      <c r="G31" s="19" t="n"/>
      <c r="H31" s="19" t="n"/>
      <c r="I31" s="19" t="n"/>
      <c r="J31" s="19" t="n"/>
    </row>
    <row r="32">
      <c r="B32" s="16" t="inlineStr">
        <is>
          <t>费用吃掉的R</t>
        </is>
      </c>
      <c r="C32" s="61">
        <f>IF(AND(ISNUMBER($C$4),ISNUMBER($E$4)),IF(N(C23)&gt;0,C30-C31,""),"")</f>
        <v>0.0969230769230771</v>
      </c>
      <c r="D32" s="61">
        <f>IF(N(D23)&gt;0,D30-D31,"")</f>
        <v>0.0969230769230771</v>
      </c>
      <c r="E32" s="19" t="inlineStr">
        <is>
          <t>做得越勤，这一行越大。</t>
        </is>
      </c>
      <c r="F32" s="19" t="n"/>
      <c r="G32" s="19" t="n"/>
      <c r="H32" s="19" t="n"/>
      <c r="I32" s="19" t="n"/>
      <c r="J32" s="19" t="n"/>
    </row>
    <row r="33">
      <c r="B33" s="16" t="inlineStr">
        <is>
          <t>合计净盈亏（美元）</t>
        </is>
      </c>
      <c r="C33" s="44">
        <f>IF(AND(ISNUMBER($C$4),ISNUMBER($E$4)),IF(N(C23)&gt;0,SUMIFS('例-交易记录'!$AE$5:$AE$304,'例-交易记录'!$S$5:$S$304,"&gt;="&amp;$C$4,'例-交易记录'!$S$5:$S$304,"&lt;="&amp;$E$4,'例-交易记录'!$Y$5:$Y$304,"已平仓"),""),"")</f>
        <v>646.2</v>
      </c>
      <c r="D33" s="44">
        <f>IF(N(D23)&gt;0,SUMIFS('例-交易记录'!$AE$5:$AE$304,'例-交易记录'!$Y$5:$Y$304,"已平仓"),"")</f>
        <v>646.2</v>
      </c>
      <c r="E33" s="19" t="inlineStr"/>
      <c r="F33" s="19" t="n"/>
      <c r="G33" s="19" t="n"/>
      <c r="H33" s="19" t="n"/>
      <c r="I33" s="19" t="n"/>
      <c r="J33" s="19" t="n"/>
    </row>
    <row r="34">
      <c r="B34" s="16" t="inlineStr">
        <is>
          <t>合计费用（美元）</t>
        </is>
      </c>
      <c r="C34" s="43">
        <f>IF(AND(ISNUMBER($C$4),ISNUMBER($E$4)),IF(N(C23)&gt;0,SUMIFS('例-交易记录'!$AD$5:$AD$304,'例-交易记录'!$S$5:$S$304,"&gt;="&amp;$C$4,'例-交易记录'!$S$5:$S$304,"&lt;="&amp;$E$4,'例-交易记录'!$Y$5:$Y$304,"已平仓"),""),"")</f>
        <v>17.8</v>
      </c>
      <c r="D34" s="43">
        <f>IF(N(D23)&gt;0,SUMIFS('例-交易记录'!$AD$5:$AD$304,'例-交易记录'!$Y$5:$Y$304,"已平仓"),"")</f>
        <v>17.8</v>
      </c>
      <c r="E34" s="19" t="inlineStr"/>
      <c r="F34" s="19" t="n"/>
      <c r="G34" s="19" t="n"/>
      <c r="H34" s="19" t="n"/>
      <c r="I34" s="19" t="n"/>
      <c r="J34" s="19" t="n"/>
    </row>
    <row r="35">
      <c r="B35" s="16" t="inlineStr">
        <is>
          <t>过程 A（完全照计划）</t>
        </is>
      </c>
      <c r="C35" s="59">
        <f>IF(AND(ISNUMBER($C$4),ISNUMBER($E$4)),COUNTIFS('例-交易记录'!$S$5:$S$304,"&gt;="&amp;$C$4,'例-交易记录'!$S$5:$S$304,"&lt;="&amp;$E$4,'例-交易记录'!$Y$5:$Y$304,"已平仓",'例-交易记录'!$AJ$5:$AJ$304,"A"),"")</f>
        <v>3</v>
      </c>
      <c r="D35" s="59">
        <f>COUNTIFS('例-交易记录'!$Y$5:$Y$304,"已平仓",'例-交易记录'!$AJ$5:$AJ$304,"A")</f>
        <v>3</v>
      </c>
      <c r="E35" s="19" t="inlineStr"/>
      <c r="F35" s="19" t="n"/>
      <c r="G35" s="19" t="n"/>
      <c r="H35" s="19" t="n"/>
      <c r="I35" s="19" t="n"/>
      <c r="J35" s="19" t="n"/>
    </row>
    <row r="36">
      <c r="B36" s="16" t="inlineStr">
        <is>
          <t>过程 B（小偏差）</t>
        </is>
      </c>
      <c r="C36" s="59">
        <f>IF(AND(ISNUMBER($C$4),ISNUMBER($E$4)),COUNTIFS('例-交易记录'!$S$5:$S$304,"&gt;="&amp;$C$4,'例-交易记录'!$S$5:$S$304,"&lt;="&amp;$E$4,'例-交易记录'!$Y$5:$Y$304,"已平仓",'例-交易记录'!$AJ$5:$AJ$304,"B"),"")</f>
        <v>1</v>
      </c>
      <c r="D36" s="59">
        <f>COUNTIFS('例-交易记录'!$Y$5:$Y$304,"已平仓",'例-交易记录'!$AJ$5:$AJ$304,"B")</f>
        <v>1</v>
      </c>
      <c r="E36" s="19" t="inlineStr"/>
      <c r="F36" s="19" t="n"/>
      <c r="G36" s="19" t="n"/>
      <c r="H36" s="19" t="n"/>
      <c r="I36" s="19" t="n"/>
      <c r="J36" s="19" t="n"/>
    </row>
    <row r="37">
      <c r="B37" s="16" t="inlineStr">
        <is>
          <t>过程 C（违反一条规则）</t>
        </is>
      </c>
      <c r="C37" s="59">
        <f>IF(AND(ISNUMBER($C$4),ISNUMBER($E$4)),COUNTIFS('例-交易记录'!$S$5:$S$304,"&gt;="&amp;$C$4,'例-交易记录'!$S$5:$S$304,"&lt;="&amp;$E$4,'例-交易记录'!$Y$5:$Y$304,"已平仓",'例-交易记录'!$AJ$5:$AJ$304,"C"),"")</f>
        <v>1</v>
      </c>
      <c r="D37" s="59">
        <f>COUNTIFS('例-交易记录'!$Y$5:$Y$304,"已平仓",'例-交易记录'!$AJ$5:$AJ$304,"C")</f>
        <v>1</v>
      </c>
      <c r="E37" s="19" t="inlineStr"/>
      <c r="F37" s="19" t="n"/>
      <c r="G37" s="19" t="n"/>
      <c r="H37" s="19" t="n"/>
      <c r="I37" s="19" t="n"/>
      <c r="J37" s="19" t="n"/>
    </row>
    <row r="38">
      <c r="B38" s="16" t="inlineStr">
        <is>
          <t>过程 D（没计划就下单）</t>
        </is>
      </c>
      <c r="C38" s="59">
        <f>IF(AND(ISNUMBER($C$4),ISNUMBER($E$4)),COUNTIFS('例-交易记录'!$S$5:$S$304,"&gt;="&amp;$C$4,'例-交易记录'!$S$5:$S$304,"&lt;="&amp;$E$4,'例-交易记录'!$Y$5:$Y$304,"已平仓",'例-交易记录'!$AJ$5:$AJ$304,"D"),"")</f>
        <v>0</v>
      </c>
      <c r="D38" s="59">
        <f>COUNTIFS('例-交易记录'!$Y$5:$Y$304,"已平仓",'例-交易记录'!$AJ$5:$AJ$304,"D")</f>
        <v>0</v>
      </c>
      <c r="E38" s="19" t="inlineStr"/>
      <c r="F38" s="19" t="n"/>
      <c r="G38" s="19" t="n"/>
      <c r="H38" s="19" t="n"/>
      <c r="I38" s="19" t="n"/>
      <c r="J38" s="19" t="n"/>
    </row>
    <row r="39">
      <c r="B39" s="16" t="inlineStr">
        <is>
          <t>A 档占比</t>
        </is>
      </c>
      <c r="C39" s="60">
        <f>IF(AND(ISNUMBER($C$4),ISNUMBER($E$4)),IF(N(C23)&gt;0,C35/C23,""),"")</f>
        <v>0.6</v>
      </c>
      <c r="D39" s="60">
        <f>IF(N(D23)&gt;0,D35/D23,"")</f>
        <v>0.6</v>
      </c>
      <c r="E39" s="19" t="inlineStr">
        <is>
          <t>这个比例在涨，说明执行在变好，哪怕这周亏了钱。</t>
        </is>
      </c>
      <c r="F39" s="19" t="n"/>
      <c r="G39" s="19" t="n"/>
      <c r="H39" s="19" t="n"/>
      <c r="I39" s="19" t="n"/>
      <c r="J39" s="19" t="n"/>
    </row>
    <row r="40">
      <c r="B40" s="16" t="inlineStr">
        <is>
          <t>赚了钱的坏交易（C/D 档却赚了）</t>
        </is>
      </c>
      <c r="C40" s="59">
        <f>IF(AND(ISNUMBER($C$4),ISNUMBER($E$4)),COUNTIFS('例-交易记录'!$S$5:$S$304,"&gt;="&amp;$C$4,'例-交易记录'!$S$5:$S$304,"&lt;="&amp;$E$4,'例-交易记录'!$Y$5:$Y$304,"已平仓",'例-交易记录'!$AJ$5:$AJ$304,"C",'例-交易记录'!$AG$5:$AG$304,"&gt;0")+COUNTIFS('例-交易记录'!$S$5:$S$304,"&gt;="&amp;$C$4,'例-交易记录'!$S$5:$S$304,"&lt;="&amp;$E$4,'例-交易记录'!$Y$5:$Y$304,"已平仓",'例-交易记录'!$AJ$5:$AJ$304,"D",'例-交易记录'!$AG$5:$AG$304,"&gt;0"),"")</f>
        <v>0</v>
      </c>
      <c r="D40" s="59">
        <f>COUNTIFS('例-交易记录'!$Y$5:$Y$304,"已平仓",'例-交易记录'!$AJ$5:$AJ$304,"C",'例-交易记录'!$AG$5:$AG$304,"&gt;0")+COUNTIFS('例-交易记录'!$Y$5:$Y$304,"已平仓",'例-交易记录'!$AJ$5:$AJ$304,"D",'例-交易记录'!$AG$5:$AG$304,"&gt;0")</f>
        <v>0</v>
      </c>
      <c r="E40" s="19" t="inlineStr">
        <is>
          <t>最需要复盘的一类：它会让你下次继续违规。</t>
        </is>
      </c>
      <c r="F40" s="19" t="n"/>
      <c r="G40" s="19" t="n"/>
      <c r="H40" s="19" t="n"/>
      <c r="I40" s="19" t="n"/>
      <c r="J40" s="19" t="n"/>
    </row>
    <row r="41">
      <c r="B41" s="16" t="inlineStr">
        <is>
          <t>照计划做的（A/B）每笔平均净R</t>
        </is>
      </c>
      <c r="C41" s="56">
        <f>IF(AND(ISNUMBER($C$4),ISNUMBER($E$4)),IF(N(C35)+N(C36)&gt;0,(SUMIFS('例-交易记录'!$AG$5:$AG$304,'例-交易记录'!$S$5:$S$304,"&gt;="&amp;$C$4,'例-交易记录'!$S$5:$S$304,"&lt;="&amp;$E$4,'例-交易记录'!$Y$5:$Y$304,"已平仓",'例-交易记录'!$AJ$5:$AJ$304,"A")+SUMIFS('例-交易记录'!$AG$5:$AG$304,'例-交易记录'!$S$5:$S$304,"&gt;="&amp;$C$4,'例-交易记录'!$S$5:$S$304,"&lt;="&amp;$E$4,'例-交易记录'!$Y$5:$Y$304,"已平仓",'例-交易记录'!$AJ$5:$AJ$304,"B"))/(C35+C36),""),"")</f>
        <v>1.43035256410256</v>
      </c>
      <c r="D41" s="56">
        <f>IF(N(D35)+N(D36)&gt;0,(SUMIFS('例-交易记录'!$AG$5:$AG$304,'例-交易记录'!$Y$5:$Y$304,"已平仓",'例-交易记录'!$AJ$5:$AJ$304,"A")+SUMIFS('例-交易记录'!$AG$5:$AG$304,'例-交易记录'!$Y$5:$Y$304,"已平仓",'例-交易记录'!$AJ$5:$AJ$304,"B"))/(D35+D36),"")</f>
        <v>1.43035256410256</v>
      </c>
      <c r="E41" s="19" t="inlineStr">
        <is>
          <t>和下一行比：规则本身赚不赚钱，先看照做的这些。</t>
        </is>
      </c>
      <c r="F41" s="19" t="n"/>
      <c r="G41" s="19" t="n"/>
      <c r="H41" s="19" t="n"/>
      <c r="I41" s="19" t="n"/>
      <c r="J41" s="19" t="n"/>
    </row>
    <row r="42">
      <c r="B42" s="16" t="inlineStr">
        <is>
          <t>违规的（C/D）每笔平均净R</t>
        </is>
      </c>
      <c r="C42" s="56">
        <f>IF(AND(ISNUMBER($C$4),ISNUMBER($E$4)),IF(N(C37)+N(C38)&gt;0,(SUMIFS('例-交易记录'!$AG$5:$AG$304,'例-交易记录'!$S$5:$S$304,"&gt;="&amp;$C$4,'例-交易记录'!$S$5:$S$304,"&lt;="&amp;$E$4,'例-交易记录'!$Y$5:$Y$304,"已平仓",'例-交易记录'!$AJ$5:$AJ$304,"C")+SUMIFS('例-交易记录'!$AG$5:$AG$304,'例-交易记录'!$S$5:$S$304,"&gt;="&amp;$C$4,'例-交易记录'!$S$5:$S$304,"&lt;="&amp;$E$4,'例-交易记录'!$Y$5:$Y$304,"已平仓",'例-交易记录'!$AJ$5:$AJ$304,"D"))/(C37+C38),""),"")</f>
        <v>-2.135</v>
      </c>
      <c r="D42" s="56">
        <f>IF(N(D37)+N(D38)&gt;0,(SUMIFS('例-交易记录'!$AG$5:$AG$304,'例-交易记录'!$Y$5:$Y$304,"已平仓",'例-交易记录'!$AJ$5:$AJ$304,"C")+SUMIFS('例-交易记录'!$AG$5:$AG$304,'例-交易记录'!$Y$5:$Y$304,"已平仓",'例-交易记录'!$AJ$5:$AJ$304,"D"))/(D37+D38),"")</f>
        <v>-2.135</v>
      </c>
      <c r="E42" s="19" t="inlineStr"/>
      <c r="F42" s="19" t="n"/>
      <c r="G42" s="19" t="n"/>
      <c r="H42" s="19" t="n"/>
      <c r="I42" s="19" t="n"/>
      <c r="J42" s="19" t="n"/>
    </row>
    <row r="43">
      <c r="B43" s="16" t="inlineStr">
        <is>
          <t>持仓中（现在）</t>
        </is>
      </c>
      <c r="C43" s="59">
        <f>IF(AND(ISNUMBER($C$4),ISNUMBER($E$4)),COUNTIF('例-交易记录'!$Y$5:$Y$304,"持仓中"),"")</f>
        <v>1</v>
      </c>
      <c r="D43" s="59">
        <f>COUNTIF('例-交易记录'!$Y$5:$Y$304,"持仓中")</f>
        <v>1</v>
      </c>
      <c r="E43" s="19" t="inlineStr">
        <is>
          <t>没平仓的不进成绩。</t>
        </is>
      </c>
      <c r="F43" s="19" t="n"/>
      <c r="G43" s="19" t="n"/>
      <c r="H43" s="19" t="n"/>
      <c r="I43" s="19" t="n"/>
      <c r="J43" s="19" t="n"/>
    </row>
    <row r="44">
      <c r="B44" s="16" t="inlineStr">
        <is>
          <t>最大回撤（R，全部记录）</t>
        </is>
      </c>
      <c r="C44" s="61" t="str">
        <f>""</f>
        <v/>
      </c>
      <c r="D44" s="61">
        <f>IF(COUNT('例-交易记录'!$AN$5:$AN$304)=0,"",MAX('例-交易记录'!$AN$5:$AN$304))</f>
        <v>2.135</v>
      </c>
      <c r="E44" s="19" t="inlineStr">
        <is>
          <t>按交易记录的先后顺序累计净R，从最高点往下最多回了几 R。</t>
        </is>
      </c>
      <c r="F44" s="19" t="n"/>
      <c r="G44" s="19" t="n"/>
      <c r="H44" s="19" t="n"/>
      <c r="I44" s="19" t="n"/>
      <c r="J44" s="19" t="n"/>
    </row>
    <row r="45">
      <c r="B45" s="16" t="inlineStr">
        <is>
          <t>最大单笔亏损（R，全部记录）</t>
        </is>
      </c>
      <c r="C45" s="56" t="str">
        <f>""</f>
        <v/>
      </c>
      <c r="D45" s="56">
        <f>IF(COUNT('例-交易记录'!$AG$5:$AG$304)=0,"",MIN('例-交易记录'!$AG$5:$AG$304))</f>
        <v>-2.135</v>
      </c>
      <c r="E45" s="19" t="inlineStr">
        <is>
          <t>超过 -2R 的单，逐笔回去看是跳空、滑点还是扛单。</t>
        </is>
      </c>
      <c r="F45" s="19" t="n"/>
      <c r="G45" s="19" t="n"/>
      <c r="H45" s="19" t="n"/>
      <c r="I45" s="19" t="n"/>
      <c r="J45" s="19" t="n"/>
    </row>
    <row r="47">
      <c r="B47" s="15" t="inlineStr">
        <is>
          <t>3. 偏差标签：最常犯的是哪一个</t>
        </is>
      </c>
    </row>
    <row r="48">
      <c r="B48" s="26" t="inlineStr">
        <is>
          <t>标签</t>
        </is>
      </c>
      <c r="C48" s="26" t="inlineStr">
        <is>
          <t>本区间笔数</t>
        </is>
      </c>
      <c r="D48" s="26" t="inlineStr">
        <is>
          <t>全部笔数</t>
        </is>
      </c>
      <c r="E48" s="26" t="inlineStr">
        <is>
          <t>全部合计净R</t>
        </is>
      </c>
      <c r="F48" s="26" t="inlineStr">
        <is>
          <t>提示</t>
        </is>
      </c>
    </row>
    <row r="49">
      <c r="B49" s="62" t="str">
        <f>T('参数'!$F$22)</f>
        <v>无</v>
      </c>
      <c r="C49" s="59">
        <f>IF(OR(B49="",NOT(AND(ISNUMBER($C$4),ISNUMBER($E$4)))),"",COUNTIFS('例-交易记录'!$S$5:$S$304,"&gt;="&amp;$C$4,'例-交易记录'!$S$5:$S$304,"&lt;="&amp;$E$4,'例-交易记录'!$Y$5:$Y$304,"已平仓",'例-交易记录'!$AK$5:$AK$304,B49))</f>
        <v>3</v>
      </c>
      <c r="D49" s="59">
        <f>IF(B49="","",COUNTIFS('例-交易记录'!$Y$5:$Y$304,"已平仓",'例-交易记录'!$AK$5:$AK$304,B49))</f>
        <v>3</v>
      </c>
      <c r="E49" s="56">
        <f>IF(B49="","",SUMIFS('例-交易记录'!$AG$5:$AG$304,'例-交易记录'!$Y$5:$Y$304,"已平仓",'例-交易记录'!$AK$5:$AK$304,B49))</f>
        <v>4.37141025641025</v>
      </c>
      <c r="F49" s="41" t="str">
        <f>IF(AND(B49&lt;&gt;"",B49&lt;&gt;"无",N(C49)&gt;0,N(C49)=MAX($L$49:$L$58)),"本区间最多","")</f>
        <v/>
      </c>
      <c r="L49" s="42">
        <f>IF(OR(B49="",B49="无"),0,N(C49))</f>
        <v>0</v>
      </c>
    </row>
    <row r="50">
      <c r="B50" s="62" t="str">
        <f>T('参数'!$F$23)</f>
        <v>追单</v>
      </c>
      <c r="C50" s="59">
        <f>IF(OR(B50="",NOT(AND(ISNUMBER($C$4),ISNUMBER($E$4)))),"",COUNTIFS('例-交易记录'!$S$5:$S$304,"&gt;="&amp;$C$4,'例-交易记录'!$S$5:$S$304,"&lt;="&amp;$E$4,'例-交易记录'!$Y$5:$Y$304,"已平仓",'例-交易记录'!$AK$5:$AK$304,B50))</f>
        <v>0</v>
      </c>
      <c r="D50" s="59">
        <f>IF(B50="","",COUNTIFS('例-交易记录'!$Y$5:$Y$304,"已平仓",'例-交易记录'!$AK$5:$AK$304,B50))</f>
        <v>0</v>
      </c>
      <c r="E50" s="56">
        <f>IF(B50="","",SUMIFS('例-交易记录'!$AG$5:$AG$304,'例-交易记录'!$Y$5:$Y$304,"已平仓",'例-交易记录'!$AK$5:$AK$304,B50))</f>
        <v>0</v>
      </c>
      <c r="F50" s="41" t="str">
        <f>IF(AND(B50&lt;&gt;"",B50&lt;&gt;"无",N(C50)&gt;0,N(C50)=MAX($L$49:$L$58)),"本区间最多","")</f>
        <v/>
      </c>
      <c r="L50" s="42">
        <f>IF(OR(B50="",B50="无"),0,N(C50))</f>
        <v>0</v>
      </c>
    </row>
    <row r="51">
      <c r="B51" s="62" t="str">
        <f>T('参数'!$F$24)</f>
        <v>扛单</v>
      </c>
      <c r="C51" s="59">
        <f>IF(OR(B51="",NOT(AND(ISNUMBER($C$4),ISNUMBER($E$4)))),"",COUNTIFS('例-交易记录'!$S$5:$S$304,"&gt;="&amp;$C$4,'例-交易记录'!$S$5:$S$304,"&lt;="&amp;$E$4,'例-交易记录'!$Y$5:$Y$304,"已平仓",'例-交易记录'!$AK$5:$AK$304,B51))</f>
        <v>0</v>
      </c>
      <c r="D51" s="59">
        <f>IF(B51="","",COUNTIFS('例-交易记录'!$Y$5:$Y$304,"已平仓",'例-交易记录'!$AK$5:$AK$304,B51))</f>
        <v>0</v>
      </c>
      <c r="E51" s="56">
        <f>IF(B51="","",SUMIFS('例-交易记录'!$AG$5:$AG$304,'例-交易记录'!$Y$5:$Y$304,"已平仓",'例-交易记录'!$AK$5:$AK$304,B51))</f>
        <v>0</v>
      </c>
      <c r="F51" s="41" t="str">
        <f>IF(AND(B51&lt;&gt;"",B51&lt;&gt;"无",N(C51)&gt;0,N(C51)=MAX($L$49:$L$58)),"本区间最多","")</f>
        <v/>
      </c>
      <c r="L51" s="42">
        <f>IF(OR(B51="",B51="无"),0,N(C51))</f>
        <v>0</v>
      </c>
    </row>
    <row r="52">
      <c r="B52" s="62" t="str">
        <f>T('参数'!$F$25)</f>
        <v>提前跑</v>
      </c>
      <c r="C52" s="59">
        <f>IF(OR(B52="",NOT(AND(ISNUMBER($C$4),ISNUMBER($E$4)))),"",COUNTIFS('例-交易记录'!$S$5:$S$304,"&gt;="&amp;$C$4,'例-交易记录'!$S$5:$S$304,"&lt;="&amp;$E$4,'例-交易记录'!$Y$5:$Y$304,"已平仓",'例-交易记录'!$AK$5:$AK$304,B52))</f>
        <v>1</v>
      </c>
      <c r="D52" s="59">
        <f>IF(B52="","",COUNTIFS('例-交易记录'!$Y$5:$Y$304,"已平仓",'例-交易记录'!$AK$5:$AK$304,B52))</f>
        <v>1</v>
      </c>
      <c r="E52" s="56">
        <f>IF(B52="","",SUMIFS('例-交易记录'!$AG$5:$AG$304,'例-交易记录'!$Y$5:$Y$304,"已平仓",'例-交易记录'!$AK$5:$AK$304,B52))</f>
        <v>1.35</v>
      </c>
      <c r="F52" s="41" t="str">
        <f>IF(AND(B52&lt;&gt;"",B52&lt;&gt;"无",N(C52)&gt;0,N(C52)=MAX($L$49:$L$58)),"本区间最多","")</f>
        <v>本区间最多</v>
      </c>
      <c r="L52" s="42">
        <f>IF(OR(B52="",B52="无"),0,N(C52))</f>
        <v>1</v>
      </c>
    </row>
    <row r="53">
      <c r="B53" s="62" t="str">
        <f>T('参数'!$F$26)</f>
        <v>加仓回本</v>
      </c>
      <c r="C53" s="59">
        <f>IF(OR(B53="",NOT(AND(ISNUMBER($C$4),ISNUMBER($E$4)))),"",COUNTIFS('例-交易记录'!$S$5:$S$304,"&gt;="&amp;$C$4,'例-交易记录'!$S$5:$S$304,"&lt;="&amp;$E$4,'例-交易记录'!$Y$5:$Y$304,"已平仓",'例-交易记录'!$AK$5:$AK$304,B53))</f>
        <v>0</v>
      </c>
      <c r="D53" s="59">
        <f>IF(B53="","",COUNTIFS('例-交易记录'!$Y$5:$Y$304,"已平仓",'例-交易记录'!$AK$5:$AK$304,B53))</f>
        <v>0</v>
      </c>
      <c r="E53" s="56">
        <f>IF(B53="","",SUMIFS('例-交易记录'!$AG$5:$AG$304,'例-交易记录'!$Y$5:$Y$304,"已平仓",'例-交易记录'!$AK$5:$AK$304,B53))</f>
        <v>0</v>
      </c>
      <c r="F53" s="41" t="str">
        <f>IF(AND(B53&lt;&gt;"",B53&lt;&gt;"无",N(C53)&gt;0,N(C53)=MAX($L$49:$L$58)),"本区间最多","")</f>
        <v/>
      </c>
      <c r="L53" s="42">
        <f>IF(OR(B53="",B53="无"),0,N(C53))</f>
        <v>0</v>
      </c>
    </row>
    <row r="54">
      <c r="B54" s="62" t="str">
        <f>T('参数'!$F$27)</f>
        <v>没计划</v>
      </c>
      <c r="C54" s="59">
        <f>IF(OR(B54="",NOT(AND(ISNUMBER($C$4),ISNUMBER($E$4)))),"",COUNTIFS('例-交易记录'!$S$5:$S$304,"&gt;="&amp;$C$4,'例-交易记录'!$S$5:$S$304,"&lt;="&amp;$E$4,'例-交易记录'!$Y$5:$Y$304,"已平仓",'例-交易记录'!$AK$5:$AK$304,B54))</f>
        <v>1</v>
      </c>
      <c r="D54" s="59">
        <f>IF(B54="","",COUNTIFS('例-交易记录'!$Y$5:$Y$304,"已平仓",'例-交易记录'!$AK$5:$AK$304,B54))</f>
        <v>1</v>
      </c>
      <c r="E54" s="56">
        <f>IF(B54="","",SUMIFS('例-交易记录'!$AG$5:$AG$304,'例-交易记录'!$Y$5:$Y$304,"已平仓",'例-交易记录'!$AK$5:$AK$304,B54))</f>
        <v>-2.135</v>
      </c>
      <c r="F54" s="41" t="str">
        <f>IF(AND(B54&lt;&gt;"",B54&lt;&gt;"无",N(C54)&gt;0,N(C54)=MAX($L$49:$L$58)),"本区间最多","")</f>
        <v>本区间最多</v>
      </c>
      <c r="L54" s="42">
        <f>IF(OR(B54="",B54="无"),0,N(C54))</f>
        <v>1</v>
      </c>
    </row>
    <row r="55">
      <c r="B55" s="62" t="str">
        <f>T('参数'!$F$28)</f>
        <v>超仓位</v>
      </c>
      <c r="C55" s="59">
        <f>IF(OR(B55="",NOT(AND(ISNUMBER($C$4),ISNUMBER($E$4)))),"",COUNTIFS('例-交易记录'!$S$5:$S$304,"&gt;="&amp;$C$4,'例-交易记录'!$S$5:$S$304,"&lt;="&amp;$E$4,'例-交易记录'!$Y$5:$Y$304,"已平仓",'例-交易记录'!$AK$5:$AK$304,B55))</f>
        <v>0</v>
      </c>
      <c r="D55" s="59">
        <f>IF(B55="","",COUNTIFS('例-交易记录'!$Y$5:$Y$304,"已平仓",'例-交易记录'!$AK$5:$AK$304,B55))</f>
        <v>0</v>
      </c>
      <c r="E55" s="56">
        <f>IF(B55="","",SUMIFS('例-交易记录'!$AG$5:$AG$304,'例-交易记录'!$Y$5:$Y$304,"已平仓",'例-交易记录'!$AK$5:$AK$304,B55))</f>
        <v>0</v>
      </c>
      <c r="F55" s="41" t="str">
        <f>IF(AND(B55&lt;&gt;"",B55&lt;&gt;"无",N(C55)&gt;0,N(C55)=MAX($L$49:$L$58)),"本区间最多","")</f>
        <v/>
      </c>
      <c r="L55" s="42">
        <f>IF(OR(B55="",B55="无"),0,N(C55))</f>
        <v>0</v>
      </c>
    </row>
    <row r="56">
      <c r="B56" s="62" t="str">
        <f>T('参数'!$F$29)</f>
        <v>止损挪远</v>
      </c>
      <c r="C56" s="59">
        <f>IF(OR(B56="",NOT(AND(ISNUMBER($C$4),ISNUMBER($E$4)))),"",COUNTIFS('例-交易记录'!$S$5:$S$304,"&gt;="&amp;$C$4,'例-交易记录'!$S$5:$S$304,"&lt;="&amp;$E$4,'例-交易记录'!$Y$5:$Y$304,"已平仓",'例-交易记录'!$AK$5:$AK$304,B56))</f>
        <v>0</v>
      </c>
      <c r="D56" s="59">
        <f>IF(B56="","",COUNTIFS('例-交易记录'!$Y$5:$Y$304,"已平仓",'例-交易记录'!$AK$5:$AK$304,B56))</f>
        <v>0</v>
      </c>
      <c r="E56" s="56">
        <f>IF(B56="","",SUMIFS('例-交易记录'!$AG$5:$AG$304,'例-交易记录'!$Y$5:$Y$304,"已平仓",'例-交易记录'!$AK$5:$AK$304,B56))</f>
        <v>0</v>
      </c>
      <c r="F56" s="41" t="str">
        <f>IF(AND(B56&lt;&gt;"",B56&lt;&gt;"无",N(C56)&gt;0,N(C56)=MAX($L$49:$L$58)),"本区间最多","")</f>
        <v/>
      </c>
      <c r="L56" s="42">
        <f>IF(OR(B56="",B56="无"),0,N(C56))</f>
        <v>0</v>
      </c>
    </row>
    <row r="57">
      <c r="B57" s="62" t="str">
        <f>T('参数'!$F$30)</f>
        <v>盘中改计划</v>
      </c>
      <c r="C57" s="59">
        <f>IF(OR(B57="",NOT(AND(ISNUMBER($C$4),ISNUMBER($E$4)))),"",COUNTIFS('例-交易记录'!$S$5:$S$304,"&gt;="&amp;$C$4,'例-交易记录'!$S$5:$S$304,"&lt;="&amp;$E$4,'例-交易记录'!$Y$5:$Y$304,"已平仓",'例-交易记录'!$AK$5:$AK$304,B57))</f>
        <v>0</v>
      </c>
      <c r="D57" s="59">
        <f>IF(B57="","",COUNTIFS('例-交易记录'!$Y$5:$Y$304,"已平仓",'例-交易记录'!$AK$5:$AK$304,B57))</f>
        <v>0</v>
      </c>
      <c r="E57" s="56">
        <f>IF(B57="","",SUMIFS('例-交易记录'!$AG$5:$AG$304,'例-交易记录'!$Y$5:$Y$304,"已平仓",'例-交易记录'!$AK$5:$AK$304,B57))</f>
        <v>0</v>
      </c>
      <c r="F57" s="41" t="str">
        <f>IF(AND(B57&lt;&gt;"",B57&lt;&gt;"无",N(C57)&gt;0,N(C57)=MAX($L$49:$L$58)),"本区间最多","")</f>
        <v/>
      </c>
      <c r="L57" s="42">
        <f>IF(OR(B57="",B57="无"),0,N(C57))</f>
        <v>0</v>
      </c>
    </row>
    <row r="58">
      <c r="B58" s="62" t="str">
        <f>T('参数'!$F$31)</f>
        <v>其他</v>
      </c>
      <c r="C58" s="59">
        <f>IF(OR(B58="",NOT(AND(ISNUMBER($C$4),ISNUMBER($E$4)))),"",COUNTIFS('例-交易记录'!$S$5:$S$304,"&gt;="&amp;$C$4,'例-交易记录'!$S$5:$S$304,"&lt;="&amp;$E$4,'例-交易记录'!$Y$5:$Y$304,"已平仓",'例-交易记录'!$AK$5:$AK$304,B58))</f>
        <v>0</v>
      </c>
      <c r="D58" s="59">
        <f>IF(B58="","",COUNTIFS('例-交易记录'!$Y$5:$Y$304,"已平仓",'例-交易记录'!$AK$5:$AK$304,B58))</f>
        <v>0</v>
      </c>
      <c r="E58" s="56">
        <f>IF(B58="","",SUMIFS('例-交易记录'!$AG$5:$AG$304,'例-交易记录'!$Y$5:$Y$304,"已平仓",'例-交易记录'!$AK$5:$AK$304,B58))</f>
        <v>0</v>
      </c>
      <c r="F58" s="41" t="str">
        <f>IF(AND(B58&lt;&gt;"",B58&lt;&gt;"无",N(C58)&gt;0,N(C58)=MAX($L$49:$L$58)),"本区间最多","")</f>
        <v/>
      </c>
      <c r="L58" s="42">
        <f>IF(OR(B58="",B58="无"),0,N(C58))</f>
        <v>0</v>
      </c>
    </row>
    <row r="60">
      <c r="B60" s="15" t="inlineStr">
        <is>
          <t>4. 分组看（全部已平仓记录；少于 10 笔只看不下结论）</t>
        </is>
      </c>
    </row>
    <row r="61">
      <c r="B61" s="26" t="inlineStr">
        <is>
          <t>策略</t>
        </is>
      </c>
      <c r="C61" s="26" t="inlineStr">
        <is>
          <t>笔数</t>
        </is>
      </c>
      <c r="D61" s="26" t="inlineStr">
        <is>
          <t>胜率</t>
        </is>
      </c>
      <c r="E61" s="26" t="inlineStr">
        <is>
          <t>每笔平均净R</t>
        </is>
      </c>
      <c r="F61" s="26" t="inlineStr">
        <is>
          <t>合计净R</t>
        </is>
      </c>
      <c r="G61" s="26" t="inlineStr">
        <is>
          <t>样本</t>
        </is>
      </c>
    </row>
    <row r="62">
      <c r="B62" s="62" t="str">
        <f>T('参数'!$B$22)</f>
        <v>突破</v>
      </c>
      <c r="C62" s="59">
        <f>IF(B62="","",COUNTIFS('例-交易记录'!$Y$5:$Y$304,"已平仓",'例-交易记录'!$D$5:$D$304,B62))</f>
        <v>2</v>
      </c>
      <c r="D62" s="60">
        <f>IF(N(C62)&gt;0,COUNTIFS('例-交易记录'!$Y$5:$Y$304,"已平仓",'例-交易记录'!$D$5:$D$304,B62,'例-交易记录'!$AG$5:$AG$304,"&gt;0")/C62,"")</f>
        <v>0.5</v>
      </c>
      <c r="E62" s="56">
        <f>IF(N(C62)&gt;0,SUMIFS('例-交易记录'!$AG$5:$AG$304,'例-交易记录'!$Y$5:$Y$304,"已平仓",'例-交易记录'!$D$5:$D$304,B62)/C62,"")</f>
        <v>0.882371794871793</v>
      </c>
      <c r="F62" s="56">
        <f>IF(N(C62)&gt;0,SUMIFS('例-交易记录'!$AG$5:$AG$304,'例-交易记录'!$Y$5:$Y$304,"已平仓",'例-交易记录'!$D$5:$D$304,B62),"")</f>
        <v>1.76474358974359</v>
      </c>
      <c r="G62" s="41" t="str">
        <f>IF(N(C62)=0,"",IF(C62&lt;10,"样本太少",""))</f>
        <v>样本太少</v>
      </c>
    </row>
    <row r="63">
      <c r="B63" s="62" t="str">
        <f>T('参数'!$B$23)</f>
        <v>回踩</v>
      </c>
      <c r="C63" s="59">
        <f>IF(B63="","",COUNTIFS('例-交易记录'!$Y$5:$Y$304,"已平仓",'例-交易记录'!$D$5:$D$304,B63))</f>
        <v>1</v>
      </c>
      <c r="D63" s="60">
        <f>IF(N(C63)&gt;0,COUNTIFS('例-交易记录'!$Y$5:$Y$304,"已平仓",'例-交易记录'!$D$5:$D$304,B63,'例-交易记录'!$AG$5:$AG$304,"&gt;0")/C63,"")</f>
        <v>1</v>
      </c>
      <c r="E63" s="56">
        <f>IF(N(C63)&gt;0,SUMIFS('例-交易记录'!$AG$5:$AG$304,'例-交易记录'!$Y$5:$Y$304,"已平仓",'例-交易记录'!$D$5:$D$304,B63)/C63,"")</f>
        <v>1.35</v>
      </c>
      <c r="F63" s="56">
        <f>IF(N(C63)&gt;0,SUMIFS('例-交易记录'!$AG$5:$AG$304,'例-交易记录'!$Y$5:$Y$304,"已平仓",'例-交易记录'!$D$5:$D$304,B63),"")</f>
        <v>1.35</v>
      </c>
      <c r="G63" s="41" t="str">
        <f>IF(N(C63)=0,"",IF(C63&lt;10,"样本太少",""))</f>
        <v>样本太少</v>
      </c>
    </row>
    <row r="64">
      <c r="B64" s="62" t="str">
        <f>T('参数'!$B$24)</f>
        <v>区间反转</v>
      </c>
      <c r="C64" s="59">
        <f>IF(B64="","",COUNTIFS('例-交易记录'!$Y$5:$Y$304,"已平仓",'例-交易记录'!$D$5:$D$304,B64))</f>
        <v>1</v>
      </c>
      <c r="D64" s="60">
        <f>IF(N(C64)&gt;0,COUNTIFS('例-交易记录'!$Y$5:$Y$304,"已平仓",'例-交易记录'!$D$5:$D$304,B64,'例-交易记录'!$AG$5:$AG$304,"&gt;0")/C64,"")</f>
        <v>1</v>
      </c>
      <c r="E64" s="56">
        <f>IF(N(C64)&gt;0,SUMIFS('例-交易记录'!$AG$5:$AG$304,'例-交易记录'!$Y$5:$Y$304,"已平仓",'例-交易记录'!$D$5:$D$304,B64)/C64,"")</f>
        <v>2.60666666666667</v>
      </c>
      <c r="F64" s="56">
        <f>IF(N(C64)&gt;0,SUMIFS('例-交易记录'!$AG$5:$AG$304,'例-交易记录'!$Y$5:$Y$304,"已平仓",'例-交易记录'!$D$5:$D$304,B64),"")</f>
        <v>2.60666666666667</v>
      </c>
      <c r="G64" s="41" t="str">
        <f>IF(N(C64)=0,"",IF(C64&lt;10,"样本太少",""))</f>
        <v>样本太少</v>
      </c>
    </row>
    <row r="65">
      <c r="B65" s="62" t="str">
        <f>T('参数'!$B$25)</f>
        <v>趋势跟随</v>
      </c>
      <c r="C65" s="59">
        <f>IF(B65="","",COUNTIFS('例-交易记录'!$Y$5:$Y$304,"已平仓",'例-交易记录'!$D$5:$D$304,B65))</f>
        <v>1</v>
      </c>
      <c r="D65" s="60">
        <f>IF(N(C65)&gt;0,COUNTIFS('例-交易记录'!$Y$5:$Y$304,"已平仓",'例-交易记录'!$D$5:$D$304,B65,'例-交易记录'!$AG$5:$AG$304,"&gt;0")/C65,"")</f>
        <v>0</v>
      </c>
      <c r="E65" s="56">
        <f>IF(N(C65)&gt;0,SUMIFS('例-交易记录'!$AG$5:$AG$304,'例-交易记录'!$Y$5:$Y$304,"已平仓",'例-交易记录'!$D$5:$D$304,B65)/C65,"")</f>
        <v>-2.135</v>
      </c>
      <c r="F65" s="56">
        <f>IF(N(C65)&gt;0,SUMIFS('例-交易记录'!$AG$5:$AG$304,'例-交易记录'!$Y$5:$Y$304,"已平仓",'例-交易记录'!$D$5:$D$304,B65),"")</f>
        <v>-2.135</v>
      </c>
      <c r="G65" s="41" t="str">
        <f>IF(N(C65)=0,"",IF(C65&lt;10,"样本太少",""))</f>
        <v>样本太少</v>
      </c>
    </row>
    <row r="66">
      <c r="B66" s="62" t="str">
        <f>T('参数'!$B$26)</f>
        <v>其他</v>
      </c>
      <c r="C66" s="59">
        <f>IF(B66="","",COUNTIFS('例-交易记录'!$Y$5:$Y$304,"已平仓",'例-交易记录'!$D$5:$D$304,B66))</f>
        <v>0</v>
      </c>
      <c r="D66" s="60" t="str">
        <f>IF(N(C66)&gt;0,COUNTIFS('例-交易记录'!$Y$5:$Y$304,"已平仓",'例-交易记录'!$D$5:$D$304,B66,'例-交易记录'!$AG$5:$AG$304,"&gt;0")/C66,"")</f>
        <v/>
      </c>
      <c r="E66" s="56" t="str">
        <f>IF(N(C66)&gt;0,SUMIFS('例-交易记录'!$AG$5:$AG$304,'例-交易记录'!$Y$5:$Y$304,"已平仓",'例-交易记录'!$D$5:$D$304,B66)/C66,"")</f>
        <v/>
      </c>
      <c r="F66" s="56" t="str">
        <f>IF(N(C66)&gt;0,SUMIFS('例-交易记录'!$AG$5:$AG$304,'例-交易记录'!$Y$5:$Y$304,"已平仓",'例-交易记录'!$D$5:$D$304,B66),"")</f>
        <v/>
      </c>
      <c r="G66" s="41" t="str">
        <f>IF(N(C66)=0,"",IF(C66&lt;10,"样本太少",""))</f>
        <v/>
      </c>
    </row>
    <row r="67">
      <c r="B67" s="62" t="str">
        <f>T('参数'!$B$27)</f>
        <v/>
      </c>
      <c r="C67" s="59" t="str">
        <f>IF(B67="","",COUNTIFS('例-交易记录'!$Y$5:$Y$304,"已平仓",'例-交易记录'!$D$5:$D$304,B67))</f>
        <v/>
      </c>
      <c r="D67" s="60" t="str">
        <f>IF(N(C67)&gt;0,COUNTIFS('例-交易记录'!$Y$5:$Y$304,"已平仓",'例-交易记录'!$D$5:$D$304,B67,'例-交易记录'!$AG$5:$AG$304,"&gt;0")/C67,"")</f>
        <v/>
      </c>
      <c r="E67" s="56" t="str">
        <f>IF(N(C67)&gt;0,SUMIFS('例-交易记录'!$AG$5:$AG$304,'例-交易记录'!$Y$5:$Y$304,"已平仓",'例-交易记录'!$D$5:$D$304,B67)/C67,"")</f>
        <v/>
      </c>
      <c r="F67" s="56" t="str">
        <f>IF(N(C67)&gt;0,SUMIFS('例-交易记录'!$AG$5:$AG$304,'例-交易记录'!$Y$5:$Y$304,"已平仓",'例-交易记录'!$D$5:$D$304,B67),"")</f>
        <v/>
      </c>
      <c r="G67" s="41" t="str">
        <f>IF(N(C67)=0,"",IF(C67&lt;10,"样本太少",""))</f>
        <v/>
      </c>
    </row>
    <row r="68">
      <c r="B68" s="62" t="str">
        <f>T('参数'!$B$28)</f>
        <v/>
      </c>
      <c r="C68" s="59" t="str">
        <f>IF(B68="","",COUNTIFS('例-交易记录'!$Y$5:$Y$304,"已平仓",'例-交易记录'!$D$5:$D$304,B68))</f>
        <v/>
      </c>
      <c r="D68" s="60" t="str">
        <f>IF(N(C68)&gt;0,COUNTIFS('例-交易记录'!$Y$5:$Y$304,"已平仓",'例-交易记录'!$D$5:$D$304,B68,'例-交易记录'!$AG$5:$AG$304,"&gt;0")/C68,"")</f>
        <v/>
      </c>
      <c r="E68" s="56" t="str">
        <f>IF(N(C68)&gt;0,SUMIFS('例-交易记录'!$AG$5:$AG$304,'例-交易记录'!$Y$5:$Y$304,"已平仓",'例-交易记录'!$D$5:$D$304,B68)/C68,"")</f>
        <v/>
      </c>
      <c r="F68" s="56" t="str">
        <f>IF(N(C68)&gt;0,SUMIFS('例-交易记录'!$AG$5:$AG$304,'例-交易记录'!$Y$5:$Y$304,"已平仓",'例-交易记录'!$D$5:$D$304,B68),"")</f>
        <v/>
      </c>
      <c r="G68" s="41" t="str">
        <f>IF(N(C68)=0,"",IF(C68&lt;10,"样本太少",""))</f>
        <v/>
      </c>
    </row>
    <row r="69">
      <c r="B69" s="62" t="str">
        <f>T('参数'!$B$29)</f>
        <v/>
      </c>
      <c r="C69" s="59" t="str">
        <f>IF(B69="","",COUNTIFS('例-交易记录'!$Y$5:$Y$304,"已平仓",'例-交易记录'!$D$5:$D$304,B69))</f>
        <v/>
      </c>
      <c r="D69" s="60" t="str">
        <f>IF(N(C69)&gt;0,COUNTIFS('例-交易记录'!$Y$5:$Y$304,"已平仓",'例-交易记录'!$D$5:$D$304,B69,'例-交易记录'!$AG$5:$AG$304,"&gt;0")/C69,"")</f>
        <v/>
      </c>
      <c r="E69" s="56" t="str">
        <f>IF(N(C69)&gt;0,SUMIFS('例-交易记录'!$AG$5:$AG$304,'例-交易记录'!$Y$5:$Y$304,"已平仓",'例-交易记录'!$D$5:$D$304,B69)/C69,"")</f>
        <v/>
      </c>
      <c r="F69" s="56" t="str">
        <f>IF(N(C69)&gt;0,SUMIFS('例-交易记录'!$AG$5:$AG$304,'例-交易记录'!$Y$5:$Y$304,"已平仓",'例-交易记录'!$D$5:$D$304,B69),"")</f>
        <v/>
      </c>
      <c r="G69" s="41" t="str">
        <f>IF(N(C69)=0,"",IF(C69&lt;10,"样本太少",""))</f>
        <v/>
      </c>
    </row>
    <row r="71">
      <c r="B71" s="26" t="inlineStr">
        <is>
          <t>开仓时段</t>
        </is>
      </c>
      <c r="C71" s="26" t="inlineStr">
        <is>
          <t>笔数</t>
        </is>
      </c>
      <c r="D71" s="26" t="inlineStr">
        <is>
          <t>胜率</t>
        </is>
      </c>
      <c r="E71" s="26" t="inlineStr">
        <is>
          <t>每笔平均净R</t>
        </is>
      </c>
      <c r="F71" s="26" t="inlineStr">
        <is>
          <t>合计净R</t>
        </is>
      </c>
      <c r="G71" s="26" t="inlineStr">
        <is>
          <t>样本</t>
        </is>
      </c>
    </row>
    <row r="72">
      <c r="B72" s="62" t="str">
        <f>T('参数'!$I$22)</f>
        <v>盘前</v>
      </c>
      <c r="C72" s="59">
        <f>IF(B72="","",COUNTIFS('例-交易记录'!$Y$5:$Y$304,"已平仓",'例-交易记录'!$T$5:$T$304,B72))</f>
        <v>0</v>
      </c>
      <c r="D72" s="60" t="str">
        <f>IF(N(C72)&gt;0,COUNTIFS('例-交易记录'!$Y$5:$Y$304,"已平仓",'例-交易记录'!$T$5:$T$304,B72,'例-交易记录'!$AG$5:$AG$304,"&gt;0")/C72,"")</f>
        <v/>
      </c>
      <c r="E72" s="56" t="str">
        <f>IF(N(C72)&gt;0,SUMIFS('例-交易记录'!$AG$5:$AG$304,'例-交易记录'!$Y$5:$Y$304,"已平仓",'例-交易记录'!$T$5:$T$304,B72)/C72,"")</f>
        <v/>
      </c>
      <c r="F72" s="56" t="str">
        <f>IF(N(C72)&gt;0,SUMIFS('例-交易记录'!$AG$5:$AG$304,'例-交易记录'!$Y$5:$Y$304,"已平仓",'例-交易记录'!$T$5:$T$304,B72),"")</f>
        <v/>
      </c>
      <c r="G72" s="41" t="str">
        <f>IF(N(C72)=0,"",IF(C72&lt;10,"样本太少",""))</f>
        <v/>
      </c>
    </row>
    <row r="73">
      <c r="B73" s="62" t="str">
        <f>T('参数'!$I$23)</f>
        <v>常规</v>
      </c>
      <c r="C73" s="59">
        <f>IF(B73="","",COUNTIFS('例-交易记录'!$Y$5:$Y$304,"已平仓",'例-交易记录'!$T$5:$T$304,B73))</f>
        <v>5</v>
      </c>
      <c r="D73" s="60">
        <f>IF(N(C73)&gt;0,COUNTIFS('例-交易记录'!$Y$5:$Y$304,"已平仓",'例-交易记录'!$T$5:$T$304,B73,'例-交易记录'!$AG$5:$AG$304,"&gt;0")/C73,"")</f>
        <v>0.6</v>
      </c>
      <c r="E73" s="56">
        <f>IF(N(C73)&gt;0,SUMIFS('例-交易记录'!$AG$5:$AG$304,'例-交易记录'!$Y$5:$Y$304,"已平仓",'例-交易记录'!$T$5:$T$304,B73)/C73,"")</f>
        <v>0.717282051282052</v>
      </c>
      <c r="F73" s="56">
        <f>IF(N(C73)&gt;0,SUMIFS('例-交易记录'!$AG$5:$AG$304,'例-交易记录'!$Y$5:$Y$304,"已平仓",'例-交易记录'!$T$5:$T$304,B73),"")</f>
        <v>3.58641025641026</v>
      </c>
      <c r="G73" s="41" t="str">
        <f>IF(N(C73)=0,"",IF(C73&lt;10,"样本太少",""))</f>
        <v>样本太少</v>
      </c>
    </row>
    <row r="74">
      <c r="B74" s="62" t="str">
        <f>T('参数'!$I$24)</f>
        <v>盘后</v>
      </c>
      <c r="C74" s="59">
        <f>IF(B74="","",COUNTIFS('例-交易记录'!$Y$5:$Y$304,"已平仓",'例-交易记录'!$T$5:$T$304,B74))</f>
        <v>0</v>
      </c>
      <c r="D74" s="60" t="str">
        <f>IF(N(C74)&gt;0,COUNTIFS('例-交易记录'!$Y$5:$Y$304,"已平仓",'例-交易记录'!$T$5:$T$304,B74,'例-交易记录'!$AG$5:$AG$304,"&gt;0")/C74,"")</f>
        <v/>
      </c>
      <c r="E74" s="56" t="str">
        <f>IF(N(C74)&gt;0,SUMIFS('例-交易记录'!$AG$5:$AG$304,'例-交易记录'!$Y$5:$Y$304,"已平仓",'例-交易记录'!$T$5:$T$304,B74)/C74,"")</f>
        <v/>
      </c>
      <c r="F74" s="56" t="str">
        <f>IF(N(C74)&gt;0,SUMIFS('例-交易记录'!$AG$5:$AG$304,'例-交易记录'!$Y$5:$Y$304,"已平仓",'例-交易记录'!$T$5:$T$304,B74),"")</f>
        <v/>
      </c>
      <c r="G74" s="41" t="str">
        <f>IF(N(C74)=0,"",IF(C74&lt;10,"样本太少",""))</f>
        <v/>
      </c>
    </row>
    <row r="76">
      <c r="B76" s="15" t="inlineStr">
        <is>
          <t>5. 下周只改一处</t>
        </is>
      </c>
    </row>
    <row r="77" ht="34" customHeight="1">
      <c r="B77" s="50" t="inlineStr">
        <is>
          <t>本区间最多的偏差是什么，发生在什么情况下</t>
        </is>
      </c>
      <c r="C77" s="31" t="inlineStr">
        <is>
          <t>一笔 C 档：示例股甲持仓过财报，没按计划在财报前减仓，财报后低开在止损下方，亏了 2R 多。</t>
        </is>
      </c>
      <c r="D77" s="31" t="n"/>
      <c r="E77" s="31" t="n"/>
      <c r="F77" s="31" t="n"/>
      <c r="G77" s="31" t="n"/>
      <c r="H77" s="31" t="n"/>
      <c r="I77" s="31" t="n"/>
      <c r="J77" s="31" t="n"/>
    </row>
    <row r="78" ht="34" customHeight="1">
      <c r="B78" s="50" t="inlineStr">
        <is>
          <t>下周只练的一个动作（写成能检查的规则）</t>
        </is>
      </c>
      <c r="C78" s="31" t="inlineStr">
        <is>
          <t>持仓股在财报日前一天收盘前减一半；剩下的按跳空情景重算，超过 2R 就全减。</t>
        </is>
      </c>
      <c r="D78" s="31" t="n"/>
      <c r="E78" s="31" t="n"/>
      <c r="F78" s="31" t="n"/>
      <c r="G78" s="31" t="n"/>
      <c r="H78" s="31" t="n"/>
      <c r="I78" s="31" t="n"/>
      <c r="J78" s="31" t="n"/>
    </row>
    <row r="79" ht="34" customHeight="1">
      <c r="B79" s="50" t="inlineStr">
        <is>
          <t>下周不做的情况</t>
        </is>
      </c>
      <c r="C79" s="31" t="inlineStr">
        <is>
          <t>盘前成交量太小的单不追；财报日前三天不开新仓。</t>
        </is>
      </c>
      <c r="D79" s="31" t="n"/>
      <c r="E79" s="31" t="n"/>
      <c r="F79" s="31" t="n"/>
      <c r="G79" s="31" t="n"/>
      <c r="H79" s="31" t="n"/>
      <c r="I79" s="31" t="n"/>
      <c r="J79" s="31" t="n"/>
    </row>
    <row r="80" ht="34" customHeight="1">
      <c r="B80" s="50" t="inlineStr">
        <is>
          <t>上一次定的那一处，这次做到了吗</t>
        </is>
      </c>
      <c r="C80" s="31" t="inlineStr">
        <is>
          <t>上次定的是「日内单不过夜」：两笔日内都当天走了，做到了。</t>
        </is>
      </c>
      <c r="D80" s="31" t="n"/>
      <c r="E80" s="31" t="n"/>
      <c r="F80" s="31" t="n"/>
      <c r="G80" s="31" t="n"/>
      <c r="H80" s="31" t="n"/>
      <c r="I80" s="31" t="n"/>
      <c r="J80" s="31" t="n"/>
    </row>
  </sheetData>
  <mergeCells count="45">
    <mergeCell ref="C78:J78"/>
    <mergeCell ref="E19:J19"/>
    <mergeCell ref="E28:J28"/>
    <mergeCell ref="C77:J77"/>
    <mergeCell ref="E40:J40"/>
    <mergeCell ref="I11:J11"/>
    <mergeCell ref="E31:J31"/>
    <mergeCell ref="E34:J34"/>
    <mergeCell ref="E30:J30"/>
    <mergeCell ref="C79:J79"/>
    <mergeCell ref="E36:J36"/>
    <mergeCell ref="I7:J7"/>
    <mergeCell ref="E27:J27"/>
    <mergeCell ref="E45:J45"/>
    <mergeCell ref="E26:J26"/>
    <mergeCell ref="E44:J44"/>
    <mergeCell ref="C80:J80"/>
    <mergeCell ref="E25:J25"/>
    <mergeCell ref="E29:J29"/>
    <mergeCell ref="I12:J12"/>
    <mergeCell ref="E35:J35"/>
    <mergeCell ref="A1:G1"/>
    <mergeCell ref="E32:J32"/>
    <mergeCell ref="E41:J41"/>
    <mergeCell ref="E22:J22"/>
    <mergeCell ref="E37:J37"/>
    <mergeCell ref="E18:J18"/>
    <mergeCell ref="E43:J43"/>
    <mergeCell ref="I14:J14"/>
    <mergeCell ref="I8:J8"/>
    <mergeCell ref="E21:J21"/>
    <mergeCell ref="H1:J1"/>
    <mergeCell ref="E33:J33"/>
    <mergeCell ref="E24:J24"/>
    <mergeCell ref="E42:J42"/>
    <mergeCell ref="I10:J10"/>
    <mergeCell ref="E17:J17"/>
    <mergeCell ref="E23:J23"/>
    <mergeCell ref="E39:J39"/>
    <mergeCell ref="I13:J13"/>
    <mergeCell ref="A2:J2"/>
    <mergeCell ref="E20:J20"/>
    <mergeCell ref="E38:J38"/>
    <mergeCell ref="I9:J9"/>
    <mergeCell ref="F4:J4"/>
  </mergeCells>
  <conditionalFormatting sqref="H8:H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7:D27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C28:D28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C29:D29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C30:D30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C31:D31">
    <cfRule type="cellIs" priority="11" operator="greaterThan" dxfId="0">
      <formula>0</formula>
    </cfRule>
    <cfRule type="cellIs" priority="12" operator="lessThan" dxfId="1">
      <formula>0</formula>
    </cfRule>
  </conditionalFormatting>
  <conditionalFormatting sqref="C33:D33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C41:D41">
    <cfRule type="cellIs" priority="15" operator="greaterThan" dxfId="0">
      <formula>0</formula>
    </cfRule>
    <cfRule type="cellIs" priority="16" operator="lessThan" dxfId="1">
      <formula>0</formula>
    </cfRule>
  </conditionalFormatting>
  <conditionalFormatting sqref="C42:D42">
    <cfRule type="cellIs" priority="17" operator="greaterThan" dxfId="0">
      <formula>0</formula>
    </cfRule>
    <cfRule type="cellIs" priority="18" operator="lessThan" dxfId="1">
      <formula>0</formula>
    </cfRule>
  </conditionalFormatting>
  <conditionalFormatting sqref="C45:D45">
    <cfRule type="cellIs" priority="19" operator="greaterThan" dxfId="0">
      <formula>0</formula>
    </cfRule>
    <cfRule type="cellIs" priority="20" operator="lessThan" dxfId="1">
      <formula>0</formula>
    </cfRule>
  </conditionalFormatting>
  <conditionalFormatting sqref="C40:D40">
    <cfRule type="cellIs" priority="21" operator="greaterThan" dxfId="5">
      <formula>0</formula>
    </cfRule>
  </conditionalFormatting>
  <conditionalFormatting sqref="F49:F58">
    <cfRule type="cellIs" priority="22" operator="equal" dxfId="5">
      <formula>"本区间最多"</formula>
    </cfRule>
  </conditionalFormatting>
  <conditionalFormatting sqref="E49:E58">
    <cfRule type="cellIs" priority="23" operator="greaterThan" dxfId="0">
      <formula>0</formula>
    </cfRule>
    <cfRule type="cellIs" priority="24" operator="lessThan" dxfId="1">
      <formula>0</formula>
    </cfRule>
  </conditionalFormatting>
  <conditionalFormatting sqref="E62:F69">
    <cfRule type="cellIs" priority="25" operator="greaterThan" dxfId="0">
      <formula>0</formula>
    </cfRule>
    <cfRule type="cellIs" priority="26" operator="lessThan" dxfId="1">
      <formula>0</formula>
    </cfRule>
  </conditionalFormatting>
  <conditionalFormatting sqref="E72:F74">
    <cfRule type="cellIs" priority="27" operator="greaterThan" dxfId="0">
      <formula>0</formula>
    </cfRule>
    <cfRule type="cellIs" priority="28" operator="lessThan" dxfId="1">
      <formula>0</formula>
    </cfRule>
  </conditionalFormatting>
  <dataValidations count="2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4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trade1469.com/templates/us-stock-journal/?src=tpl-us&amp;R&amp;"Microsoft YaHei"&amp;8 第 &amp;P 页，共 &amp;N 页</oddFooter>
    <evenHeader/>
    <evenFooter>&amp;L&amp;"Microsoft YaHei"&amp;8 TradeLearn · XtradingTime 交易内训&amp;C&amp;"Microsoft YaHei"&amp;8 trade1469.com/templates/us-stock-journal/?src=tpl-us&amp;R&amp;"Microsoft YaHei"&amp;8 第 &amp;P 页，共 &amp;N 页</evenFooter>
    <firstHeader/>
    <firstFooter/>
  </headerFooter>
  <rowBreaks count="1" manualBreakCount="1">
    <brk id="59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TradeLearn · XtradingTime 交易内训</dc:creator>
  <dc:title xmlns:dc="http://purl.org/dc/elements/1.1/">美股交易日志</dc:title>
  <dc:subject xmlns:dc="http://purl.org/dc/elements/1.1/">美股交易日志：财报日、盘前盘后、日内交易次数、借券费与期权页</dc:subject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2026-10-13T09:13:26Z</dcterms:modified>
  <cp:keywords>美股交易日志, 美股交易记录表, 期权交易日志, 复盘模板</cp:keywords>
</cp:coreProperties>
</file>