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参数" sheetId="2" state="visible" r:id="rId2"/>
    <sheet xmlns:r="http://schemas.openxmlformats.org/officeDocument/2006/relationships" name="交易记录" sheetId="3" state="visible" r:id="rId3"/>
    <sheet xmlns:r="http://schemas.openxmlformats.org/officeDocument/2006/relationships" name="成交明细" sheetId="4" state="visible" r:id="rId4"/>
    <sheet xmlns:r="http://schemas.openxmlformats.org/officeDocument/2006/relationships" name="每日记录" sheetId="5" state="visible" r:id="rId5"/>
    <sheet xmlns:r="http://schemas.openxmlformats.org/officeDocument/2006/relationships" name="周复盘" sheetId="6" state="visible" r:id="rId6"/>
    <sheet xmlns:r="http://schemas.openxmlformats.org/officeDocument/2006/relationships" name="例-交易记录" sheetId="7" state="visible" r:id="rId7"/>
    <sheet xmlns:r="http://schemas.openxmlformats.org/officeDocument/2006/relationships" name="例-成交明细" sheetId="8" state="visible" r:id="rId8"/>
    <sheet xmlns:r="http://schemas.openxmlformats.org/officeDocument/2006/relationships" name="例-每日记录" sheetId="9" state="visible" r:id="rId9"/>
    <sheet xmlns:r="http://schemas.openxmlformats.org/officeDocument/2006/relationships" name="例-周复盘" sheetId="10" state="visible" r:id="rId10"/>
  </sheets>
  <definedNames>
    <definedName name="_xlnm.Print_Area" localSheetId="0">'使用说明'!$A$1:$D$58</definedName>
    <definedName name="_xlnm.Print_Area" localSheetId="1">'参数'!$A$1:$K$48</definedName>
    <definedName name="_xlnm.Print_Titles" localSheetId="2">'交易记录'!$3:$4,'交易记录'!$A:$C</definedName>
    <definedName name="_xlnm.Print_Area" localSheetId="2">'交易记录'!$A$1:$AJ$29</definedName>
    <definedName name="_xlnm.Print_Titles" localSheetId="3">'成交明细'!$3:$4</definedName>
    <definedName name="_xlnm.Print_Area" localSheetId="3">'成交明细'!$A$1:$O$29</definedName>
    <definedName name="_xlnm.Print_Titles" localSheetId="4">'每日记录'!$3:$4</definedName>
    <definedName name="_xlnm.Print_Area" localSheetId="4">'每日记录'!$A$1:$K$34</definedName>
    <definedName name="_xlnm.Print_Area" localSheetId="5">'周复盘'!$A$1:$J$87</definedName>
    <definedName name="_xlnm.Print_Titles" localSheetId="6">'例-交易记录'!$3:$4,'例-交易记录'!$A:$C</definedName>
    <definedName name="_xlnm.Print_Area" localSheetId="6">'例-交易记录'!$A$1:$AJ$15</definedName>
    <definedName name="_xlnm.Print_Titles" localSheetId="7">'例-成交明细'!$3:$4</definedName>
    <definedName name="_xlnm.Print_Area" localSheetId="7">'例-成交明细'!$A$1:$O$22</definedName>
    <definedName name="_xlnm.Print_Titles" localSheetId="8">'例-每日记录'!$3:$4</definedName>
    <definedName name="_xlnm.Print_Area" localSheetId="8">'例-每日记录'!$A$1:$K$15</definedName>
    <definedName name="_xlnm.Print_Area" localSheetId="9">'例-周复盘'!$A$1:$J$105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0.0%"/>
    <numFmt numFmtId="165" formatCode="0.0"/>
    <numFmt numFmtId="166" formatCode="0.000%"/>
    <numFmt numFmtId="167" formatCode="0.0000"/>
    <numFmt numFmtId="168" formatCode="hh:mm"/>
    <numFmt numFmtId="169" formatCode="yyyy-mm-dd"/>
    <numFmt numFmtId="170" formatCode="0.00##"/>
    <numFmt numFmtId="171" formatCode="#,##0.####"/>
    <numFmt numFmtId="172" formatCode="+#,##0.00;-#,##0.00;0.00"/>
    <numFmt numFmtId="173" formatCode="+0.00&quot;R&quot;;-0.00&quot;R&quot;;0.00&quot;R&quot;"/>
    <numFmt numFmtId="174" formatCode="+0.00##;-0.00##;0"/>
    <numFmt numFmtId="175" formatCode="0.00&quot;R&quot;"/>
    <numFmt numFmtId="176" formatCode="+#,##0.00;-#,##0.00;0"/>
  </numFmts>
  <fonts count="16">
    <font>
      <name val="Calibri"/>
      <family val="2"/>
      <color theme="1"/>
      <sz val="11"/>
      <scheme val="minor"/>
    </font>
    <font>
      <name val="Microsoft YaHei"/>
      <b val="1"/>
      <color rgb="009D4616"/>
      <sz val="18"/>
    </font>
    <font>
      <name val="Microsoft YaHei"/>
      <color rgb="005E574D"/>
      <sz val="9"/>
    </font>
    <font>
      <name val="Microsoft YaHei"/>
      <b val="1"/>
      <color rgb="009D4616"/>
      <sz val="12"/>
    </font>
    <font>
      <name val="Microsoft YaHei"/>
      <color rgb="001F1B16"/>
      <sz val="10"/>
    </font>
    <font>
      <name val="Microsoft YaHei"/>
      <b val="1"/>
      <color rgb="00FFFFFF"/>
      <sz val="9"/>
    </font>
    <font>
      <name val="Microsoft YaHei"/>
      <b val="1"/>
      <color rgb="001F1B16"/>
      <sz val="10"/>
    </font>
    <font>
      <name val="Microsoft YaHei"/>
      <color rgb="005E574D"/>
      <sz val="10"/>
    </font>
    <font>
      <name val="Microsoft YaHei"/>
      <color rgb="000000FF"/>
      <sz val="10"/>
      <u val="single"/>
    </font>
    <font>
      <name val="Microsoft YaHei"/>
      <b val="1"/>
      <color rgb="009D4616"/>
      <sz val="15"/>
    </font>
    <font>
      <name val="Microsoft YaHei"/>
      <color rgb="005E574D"/>
      <sz val="8"/>
    </font>
    <font>
      <name val="Microsoft YaHei"/>
      <b val="1"/>
      <color rgb="009D4616"/>
      <sz val="11"/>
    </font>
    <font>
      <name val="Microsoft YaHei"/>
      <color rgb="000000FF"/>
      <sz val="10"/>
    </font>
    <font>
      <name val="Microsoft YaHei"/>
      <b val="1"/>
      <color rgb="007C350E"/>
      <sz val="9"/>
    </font>
    <font>
      <name val="Microsoft YaHei"/>
      <color rgb="00008000"/>
      <sz val="10"/>
    </font>
    <font>
      <name val="Microsoft YaHei"/>
      <b val="1"/>
      <color rgb="007C350E"/>
      <sz val="10"/>
    </font>
  </fonts>
  <fills count="6">
    <fill>
      <patternFill/>
    </fill>
    <fill>
      <patternFill patternType="gray125"/>
    </fill>
    <fill>
      <patternFill patternType="solid">
        <fgColor rgb="009D4616"/>
        <bgColor rgb="009D4616"/>
      </patternFill>
    </fill>
    <fill>
      <patternFill patternType="solid">
        <fgColor rgb="00F3EFE8"/>
        <bgColor rgb="00F3EFE8"/>
      </patternFill>
    </fill>
    <fill>
      <patternFill patternType="solid">
        <fgColor rgb="00EFE3D3"/>
        <bgColor rgb="00EFE3D3"/>
      </patternFill>
    </fill>
    <fill>
      <patternFill patternType="solid">
        <fgColor rgb="00FBE3D2"/>
        <bgColor rgb="00FBE3D2"/>
      </patternFill>
    </fill>
  </fills>
  <borders count="6">
    <border>
      <left/>
      <right/>
      <top/>
      <bottom/>
      <diagonal/>
    </border>
    <border>
      <bottom style="thin">
        <color rgb="009D4616"/>
      </bottom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  <border>
      <left/>
      <right/>
      <top style="thin">
        <color rgb="00D9CFBF"/>
      </top>
      <bottom/>
      <diagonal/>
    </border>
    <border>
      <left/>
      <right style="thin">
        <color rgb="00D9CFBF"/>
      </right>
      <top style="thin">
        <color rgb="00D9CFBF"/>
      </top>
      <bottom/>
      <diagonal/>
    </border>
    <border>
      <left/>
      <right style="thin">
        <color rgb="00D9CFBF"/>
      </right>
      <top style="thin">
        <color rgb="00D9CFBF"/>
      </top>
      <bottom style="thin">
        <color rgb="00D9CFBF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 wrapText="1"/>
    </xf>
    <xf numFmtId="3" fontId="12" fillId="0" borderId="2" applyAlignment="1" pivotButton="0" quotePrefix="0" xfId="0">
      <alignment horizontal="center" vertical="center"/>
    </xf>
    <xf numFmtId="164" fontId="12" fillId="0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4" fontId="4" fillId="3" borderId="2" applyAlignment="1" pivotButton="0" quotePrefix="0" xfId="0">
      <alignment horizontal="center" vertical="center"/>
    </xf>
    <xf numFmtId="165" fontId="12" fillId="0" borderId="2" applyAlignment="1" pivotButton="0" quotePrefix="0" xfId="0">
      <alignment horizontal="center" vertical="center"/>
    </xf>
    <xf numFmtId="4" fontId="12" fillId="0" borderId="2" applyAlignment="1" pivotButton="0" quotePrefix="0" xfId="0">
      <alignment horizontal="center" vertical="center"/>
    </xf>
    <xf numFmtId="166" fontId="12" fillId="0" borderId="2" applyAlignment="1" pivotButton="0" quotePrefix="0" xfId="0">
      <alignment horizontal="center" vertical="center"/>
    </xf>
    <xf numFmtId="167" fontId="12" fillId="0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/>
    </xf>
    <xf numFmtId="168" fontId="12" fillId="0" borderId="2" applyAlignment="1" pivotButton="0" quotePrefix="0" xfId="0">
      <alignment horizontal="center" vertical="center"/>
    </xf>
    <xf numFmtId="0" fontId="13" fillId="4" borderId="2" applyAlignment="1" pivotButton="0" quotePrefix="0" xfId="0">
      <alignment horizontal="center" vertical="center"/>
    </xf>
    <xf numFmtId="1" fontId="12" fillId="0" borderId="2" applyAlignment="1" pivotButton="0" quotePrefix="0" xfId="0">
      <alignment horizontal="center" vertical="center"/>
    </xf>
    <xf numFmtId="169" fontId="12" fillId="0" borderId="2" applyAlignment="1" pivotButton="0" quotePrefix="0" xfId="0">
      <alignment horizontal="center" vertical="center"/>
    </xf>
    <xf numFmtId="0" fontId="12" fillId="0" borderId="2" applyAlignment="1" pivotButton="0" quotePrefix="0" xfId="0">
      <alignment horizontal="left" vertical="center" wrapText="1"/>
    </xf>
    <xf numFmtId="0" fontId="12" fillId="0" borderId="2" applyAlignment="1" pivotButton="0" quotePrefix="0" xfId="0">
      <alignment horizontal="center" vertical="center"/>
    </xf>
    <xf numFmtId="170" fontId="12" fillId="0" borderId="2" applyAlignment="1" pivotButton="0" quotePrefix="0" xfId="0">
      <alignment horizontal="center" vertical="center"/>
    </xf>
    <xf numFmtId="165" fontId="4" fillId="3" borderId="2" applyAlignment="1" pivotButton="0" quotePrefix="0" xfId="0">
      <alignment horizontal="center" vertical="center"/>
    </xf>
    <xf numFmtId="171" fontId="14" fillId="3" borderId="2" applyAlignment="1" pivotButton="0" quotePrefix="0" xfId="0">
      <alignment horizontal="center" vertical="center"/>
    </xf>
    <xf numFmtId="171" fontId="12" fillId="0" borderId="2" applyAlignment="1" pivotButton="0" quotePrefix="0" xfId="0">
      <alignment horizontal="center" vertical="center"/>
    </xf>
    <xf numFmtId="169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center" vertical="center"/>
    </xf>
    <xf numFmtId="170" fontId="14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" fontId="14" fillId="3" borderId="2" applyAlignment="1" pivotButton="0" quotePrefix="0" xfId="0">
      <alignment horizontal="center" vertical="center"/>
    </xf>
    <xf numFmtId="172" fontId="14" fillId="3" borderId="2" applyAlignment="1" pivotButton="0" quotePrefix="0" xfId="0">
      <alignment horizontal="center" vertical="center"/>
    </xf>
    <xf numFmtId="173" fontId="4" fillId="3" borderId="2" applyAlignment="1" pivotButton="0" quotePrefix="0" xfId="0">
      <alignment horizontal="center" vertical="center"/>
    </xf>
    <xf numFmtId="174" fontId="4" fillId="3" borderId="2" applyAlignment="1" pivotButton="0" quotePrefix="0" xfId="0">
      <alignment horizontal="center" vertical="center"/>
    </xf>
    <xf numFmtId="175" fontId="4" fillId="3" borderId="2" applyAlignment="1" pivotButton="0" quotePrefix="0" xfId="0">
      <alignment horizontal="center" vertical="center"/>
    </xf>
    <xf numFmtId="176" fontId="4" fillId="3" borderId="2" applyAlignment="1" pivotButton="0" quotePrefix="0" xfId="0">
      <alignment horizontal="center" vertical="center"/>
    </xf>
    <xf numFmtId="1" fontId="14" fillId="3" borderId="2" applyAlignment="1" pivotButton="0" quotePrefix="0" xfId="0">
      <alignment horizontal="center" vertical="center"/>
    </xf>
    <xf numFmtId="173" fontId="14" fillId="3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/>
    </xf>
    <xf numFmtId="169" fontId="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 shrinkToFit="1"/>
    </xf>
    <xf numFmtId="3" fontId="14" fillId="3" borderId="2" applyAlignment="1" pivotButton="0" quotePrefix="0" xfId="0">
      <alignment horizontal="center" vertical="center"/>
    </xf>
    <xf numFmtId="164" fontId="14" fillId="3" borderId="2" applyAlignment="1" pivotButton="0" quotePrefix="0" xfId="0">
      <alignment horizontal="center" vertical="center"/>
    </xf>
    <xf numFmtId="175" fontId="14" fillId="3" borderId="2" applyAlignment="1" pivotButton="0" quotePrefix="0" xfId="0">
      <alignment horizontal="center" vertical="center"/>
    </xf>
    <xf numFmtId="0" fontId="14" fillId="3" borderId="2" applyAlignment="1" pivotButton="0" quotePrefix="0" xfId="0">
      <alignment horizontal="left" vertical="center"/>
    </xf>
    <xf numFmtId="1" fontId="4" fillId="3" borderId="2" applyAlignment="1" pivotButton="0" quotePrefix="0" xfId="0">
      <alignment horizontal="center" vertical="center"/>
    </xf>
    <xf numFmtId="0" fontId="15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color rgb="001E8449"/>
      </font>
    </dxf>
    <dxf>
      <font>
        <color rgb="00C0392B"/>
      </font>
    </dxf>
    <dxf>
      <fill>
        <patternFill patternType="solid">
          <fgColor rgb="00FCE9C8"/>
          <bgColor rgb="00FCE9C8"/>
        </patternFill>
      </fill>
    </dxf>
    <dxf>
      <fill>
        <patternFill patternType="solid">
          <fgColor rgb="00F6C7BE"/>
          <bgColor rgb="00F6C7BE"/>
        </patternFill>
      </fill>
    </dxf>
    <dxf>
      <fill>
        <patternFill patternType="solid">
          <fgColor rgb="00FFF4D6"/>
          <bgColor rgb="00FFF4D6"/>
        </patternFill>
      </fill>
    </dxf>
    <dxf>
      <fill>
        <patternFill patternType="solid">
          <fgColor rgb="00FFE08A"/>
          <bgColor rgb="00FFE08A"/>
        </patternFill>
      </fill>
    </dxf>
    <dxf>
      <font>
        <b val="1"/>
        <color rgb="00C0392B"/>
      </font>
      <fill>
        <patternFill patternType="solid">
          <fgColor rgb="00F6C7BE"/>
          <bgColor rgb="00F6C7B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累计净R（按交易记录顺序）</a:t>
            </a:r>
          </a:p>
        </rich>
      </tx>
    </title>
    <plotArea>
      <lineChart>
        <grouping val="standard"/>
        <ser>
          <idx val="0"/>
          <order val="0"/>
          <tx>
            <strRef>
              <f>'例-交易记录'!AI4</f>
            </strRef>
          </tx>
          <spPr>
            <a:ln xmlns:a="http://schemas.openxmlformats.org/drawingml/2006/main" w="28575">
              <a:solidFill>
                <a:srgbClr val="9D461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9D4616"/>
              </a:solidFill>
              <a:ln xmlns:a="http://schemas.openxmlformats.org/drawingml/2006/main">
                <a:solidFill>
                  <a:srgbClr val="9D4616"/>
                </a:solidFill>
                <a:prstDash val="solid"/>
              </a:ln>
            </spPr>
          </marker>
          <cat>
            <numRef>
              <f>'例-交易记录'!$A$5:$A$14</f>
            </numRef>
          </cat>
          <val>
            <numRef>
              <f>'例-交易记录'!$AI$5:$AI$14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交易编号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88</row>
      <rowOff>0</rowOff>
    </from>
    <ext cx="64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1469.com/docs/review/?src=tpl-journal" TargetMode="External" Id="rId1"/><Relationship Type="http://schemas.openxmlformats.org/officeDocument/2006/relationships/hyperlink" Target="https://trade1469.com/docs/risk/?src=tpl-journal" TargetMode="External" Id="rId2"/><Relationship Type="http://schemas.openxmlformats.org/officeDocument/2006/relationships/hyperlink" Target="https://trade1469.com/trader/t13-7.html?src=tpl-journal" TargetMode="External" Id="rId3"/><Relationship Type="http://schemas.openxmlformats.org/officeDocument/2006/relationships/hyperlink" Target="https://trade1469.com/trader/t1-19.html?src=tpl-journal" TargetMode="External" Id="rId4"/><Relationship Type="http://schemas.openxmlformats.org/officeDocument/2006/relationships/hyperlink" Target="https://trade1469.com/trade-flow/03.html?src=tpl-journal" TargetMode="External" Id="rId5"/><Relationship Type="http://schemas.openxmlformats.org/officeDocument/2006/relationships/hyperlink" Target="https://trade1469.com/templates/review-dashboard/?src=tpl-journal" TargetMode="External" Id="rId6"/><Relationship Type="http://schemas.openxmlformats.org/officeDocument/2006/relationships/hyperlink" Target="https://trade1469.com/trader/chapter13.html?src=tpl-journal" TargetMode="External" Id="rId7"/><Relationship Type="http://schemas.openxmlformats.org/officeDocument/2006/relationships/hyperlink" Target="https://trade1469.com/templates/trading-journal/?src=tpl-journal" TargetMode="External" Id="rId8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B1:D5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52" customWidth="1" min="4" max="4"/>
  </cols>
  <sheetData>
    <row r="1" ht="34" customHeight="1">
      <c r="B1" s="1" t="inlineStr">
        <is>
          <t>交易日志模板</t>
        </is>
      </c>
    </row>
    <row r="2">
      <c r="B2" s="2" t="inlineStr">
        <is>
          <t>TradeLearn · XtradingTime 交易内训 · v1.0 · 任何市场通用 · 免费使用，可以按自己的习惯改</t>
        </is>
      </c>
    </row>
    <row r="4" ht="24" customHeight="1">
      <c r="B4" s="3" t="inlineStr">
        <is>
          <t>这份表管什么</t>
        </is>
      </c>
      <c r="C4" s="4" t="n"/>
      <c r="D4" s="4" t="n"/>
    </row>
    <row r="5" ht="32" customHeight="1">
      <c r="B5" s="5" t="inlineStr">
        <is>
          <t>期货、外汇、黄金、股票都能用。一笔交易从下单前的计划，到成交、费用、结果和过程打分，记在同一行；周末从记录里找出下周只改的一处。</t>
        </is>
      </c>
    </row>
    <row r="6" ht="32" customHeight="1">
      <c r="B6" s="5" t="inlineStr">
        <is>
          <t>成绩一律按 R 记：这笔赚亏 ÷ 下单前计划亏的钱，费用全扣掉，算的是费后结果。这样不同品种、不同仓位的单子能放在一起比。</t>
        </is>
      </c>
    </row>
    <row r="7" ht="24" customHeight="1">
      <c r="B7" s="3" t="inlineStr">
        <is>
          <t>每张表干什么</t>
        </is>
      </c>
      <c r="C7" s="4" t="n"/>
      <c r="D7" s="4" t="n"/>
    </row>
    <row r="8" ht="18" customHeight="1">
      <c r="B8" s="6" t="inlineStr">
        <is>
          <t>表</t>
        </is>
      </c>
      <c r="C8" s="6" t="inlineStr">
        <is>
          <t>什么时候填</t>
        </is>
      </c>
      <c r="D8" s="6" t="inlineStr">
        <is>
          <t>填什么</t>
        </is>
      </c>
    </row>
    <row r="9" ht="32" customHeight="1">
      <c r="B9" s="7" t="inlineStr">
        <is>
          <t>参数</t>
        </is>
      </c>
      <c r="C9" s="8" t="inlineStr">
        <is>
          <t>第一次用之前</t>
        </is>
      </c>
      <c r="D9" s="8" t="inlineStr">
        <is>
          <t>账户资金、每笔最多亏多少、费用怎么收、下拉选项、开仓时段怎么分</t>
        </is>
      </c>
    </row>
    <row r="10" ht="32" customHeight="1">
      <c r="B10" s="7" t="inlineStr">
        <is>
          <t>交易记录</t>
        </is>
      </c>
      <c r="C10" s="8" t="inlineStr">
        <is>
          <t>下单前写计划，平仓后打分</t>
        </is>
      </c>
      <c r="D10" s="8" t="inlineStr">
        <is>
          <t>一行一个计划：方向、乘数、入场、止损、目标、数量、失效条件；成交后自动汇总成交、费用和 R</t>
        </is>
      </c>
    </row>
    <row r="11" ht="32" customHeight="1">
      <c r="B11" s="7" t="inlineStr">
        <is>
          <t>成交明细</t>
        </is>
      </c>
      <c r="C11" s="8" t="inlineStr">
        <is>
          <t>每成交一笔</t>
        </is>
      </c>
      <c r="D11" s="8" t="inlineStr">
        <is>
          <t>照成交单抄：编号、日期、时间、买卖、价格、数量、下单时看到的价</t>
        </is>
      </c>
    </row>
    <row r="12" ht="32" customHeight="1">
      <c r="B12" s="7" t="inlineStr">
        <is>
          <t>每日记录</t>
        </is>
      </c>
      <c r="C12" s="8" t="inlineStr">
        <is>
          <t>每天收盘后</t>
        </is>
      </c>
      <c r="D12" s="8" t="inlineStr">
        <is>
          <t>今天做了什么、看到几次机会、没做的原因、状态、明天的条件</t>
        </is>
      </c>
    </row>
    <row r="13" ht="32" customHeight="1">
      <c r="B13" s="7" t="inlineStr">
        <is>
          <t>周复盘</t>
        </is>
      </c>
      <c r="C13" s="8" t="inlineStr">
        <is>
          <t>每周末</t>
        </is>
      </c>
      <c r="D13" s="8" t="inlineStr">
        <is>
          <t>填开始和结束日期，看执行、成绩和分组，写下周只改的一处</t>
        </is>
      </c>
    </row>
    <row r="14" ht="18" customHeight="1">
      <c r="B14" s="7" t="inlineStr">
        <is>
          <t>示例开头的表</t>
        </is>
      </c>
      <c r="C14" s="8" t="inlineStr">
        <is>
          <t>先看一遍</t>
        </is>
      </c>
      <c r="D14" s="8" t="inlineStr">
        <is>
          <t>虚构的两周示例，演示每一格怎么填，可以直接删掉</t>
        </is>
      </c>
    </row>
    <row r="15" ht="24" customHeight="1">
      <c r="B15" s="3" t="inlineStr">
        <is>
          <t>四步用起来</t>
        </is>
      </c>
      <c r="C15" s="4" t="n"/>
      <c r="D15" s="4" t="n"/>
    </row>
    <row r="16" ht="32" customHeight="1">
      <c r="B16" s="9" t="inlineStr">
        <is>
          <t>1. 先改参数</t>
        </is>
      </c>
      <c r="C16" s="5" t="inlineStr">
        <is>
          <t>账户资金、每笔最多亏多少、你的费用怎么收（按笔、按成交额、按手）。开仓时段按你做的市场改。</t>
        </is>
      </c>
    </row>
    <row r="17" ht="32" customHeight="1">
      <c r="B17" s="9" t="inlineStr">
        <is>
          <t>2. 下单前</t>
        </is>
      </c>
      <c r="C17" s="5" t="inlineStr">
        <is>
          <t>在「交易记录」写好计划：方向、合约乘数（股票填 1）、最小单位、入场、止损、目标、数量和失效条件。建议数量一栏会按止损算好。</t>
        </is>
      </c>
    </row>
    <row r="18" ht="18" customHeight="1">
      <c r="B18" s="9" t="inlineStr">
        <is>
          <t>3. 成交后</t>
        </is>
      </c>
      <c r="C18" s="5" t="inlineStr">
        <is>
          <t>去「成交明细」逐笔记，用同一个编号。分批就记多行。时间要填，开仓时段靠它分。</t>
        </is>
      </c>
    </row>
    <row r="19" ht="32" customHeight="1">
      <c r="B19" s="9" t="inlineStr">
        <is>
          <t>4. 收盘后和周末</t>
        </is>
      </c>
      <c r="C19" s="5" t="inlineStr">
        <is>
          <t>每天在「每日记录」写一行；周末在「周复盘」填日期，先看执行（漏单、违规），再看成绩，最后只写一条下周要练的动作。</t>
        </is>
      </c>
    </row>
    <row r="20" ht="24" customHeight="1">
      <c r="B20" s="3" t="inlineStr">
        <is>
          <t>颜色怎么认</t>
        </is>
      </c>
      <c r="C20" s="4" t="n"/>
      <c r="D20" s="4" t="n"/>
    </row>
    <row r="21" ht="32" customHeight="1">
      <c r="B21" s="5" t="inlineStr">
        <is>
          <t>蓝字是你填的；灰底黑字是公式，别改；灰底绿字是从别的表引用过来的。绿字是赚、红字是亏。黄底是提醒：追价超过 1%、计划数量比建议多、一笔「赚了钱的坏交易」。红底是要先改的错：止损方向不对、编号没找到、成交没录。</t>
        </is>
      </c>
    </row>
    <row r="22" ht="24" customHeight="1">
      <c r="B22" s="3" t="inlineStr">
        <is>
          <t>几个口径</t>
        </is>
      </c>
      <c r="C22" s="4" t="n"/>
      <c r="D22" s="4" t="n"/>
    </row>
    <row r="23" ht="32" customHeight="1">
      <c r="B23" s="9" t="inlineStr">
        <is>
          <t>1R</t>
        </is>
      </c>
      <c r="C23" s="5" t="inlineStr">
        <is>
          <t>1R = |计划入场价 − 止损价| × 计划数量 × 合约乘数。下单前定，平仓后不改；跳空、滑点亏多了，也不改分母。</t>
        </is>
      </c>
    </row>
    <row r="24" ht="32" customHeight="1">
      <c r="B24" s="9" t="inlineStr">
        <is>
          <t>净R 与毛R</t>
        </is>
      </c>
      <c r="C24" s="5" t="inlineStr">
        <is>
          <t>净R =（卖出金额 − 买入金额 − 全部费用）÷ 1R；毛R 不扣费用。两个差多少，就是费用吃掉了几个 R。做空同一个式子：先卖后买，照样是卖出金额减买入金额。</t>
        </is>
      </c>
    </row>
    <row r="25" ht="32" customHeight="1">
      <c r="B25" s="9" t="inlineStr">
        <is>
          <t>建议数量</t>
        </is>
      </c>
      <c r="C25" s="5" t="inlineStr">
        <is>
          <t>按止损算：1R 预算 ÷（每单位打到止损亏多少 + 每单位来回费用），向下取到最小单位。算出 0 就显示「预算不足，这笔不做」，别往上凑整。</t>
        </is>
      </c>
    </row>
    <row r="26" ht="32" customHeight="1">
      <c r="B26" s="9" t="inlineStr">
        <is>
          <t>执行情况</t>
        </is>
      </c>
      <c r="C26" s="5" t="inlineStr">
        <is>
          <t>已执行、未成交、主动放弃、漏单四种。只有已平仓的进胜率；没平仓的显示「持仓中」，不进统计。</t>
        </is>
      </c>
    </row>
    <row r="27" ht="32" customHeight="1">
      <c r="B27" s="9" t="inlineStr">
        <is>
          <t>过程打分</t>
        </is>
      </c>
      <c r="C27" s="5" t="inlineStr">
        <is>
          <t>A 完全照计划，B 小偏差，C 违反一条规则，D 没计划就下单。只看执行，和赚亏无关；C、D 档却赚了的标黄，周复盘单独数。</t>
        </is>
      </c>
    </row>
    <row r="28" ht="32" customHeight="1">
      <c r="B28" s="9" t="inlineStr">
        <is>
          <t>偏差</t>
        </is>
      </c>
      <c r="C28" s="5" t="inlineStr">
        <is>
          <t>进场偏差 = 实际开仓均价比计划价差多少，对你不利为正，超过计划价 1% 标黄。出场偏差：亏的单比止损差多少，赚的单比目标差多少，同样不利为正。</t>
        </is>
      </c>
    </row>
    <row r="29" ht="18" customHeight="1">
      <c r="B29" s="9" t="inlineStr">
        <is>
          <t>累计净R</t>
        </is>
      </c>
      <c r="C29" s="5" t="inlineStr">
        <is>
          <t>按交易记录一行行往下加，不是严格按平仓先后。想看平仓顺序的曲线，用复盘看板那份表。</t>
        </is>
      </c>
    </row>
    <row r="30" ht="32" customHeight="1">
      <c r="B30" s="9" t="inlineStr">
        <is>
          <t>合约乘数与最小单位</t>
        </is>
      </c>
      <c r="C30" s="5" t="inlineStr">
        <is>
          <t>期货填合约乘数（每点多少钱）和最小下单单位（1 手）；股票乘数填 1，最小单位按市场填（A股 100 股）。空着按 1 算。</t>
        </is>
      </c>
    </row>
    <row r="31" ht="32" customHeight="1">
      <c r="B31" s="9" t="inlineStr">
        <is>
          <t>开仓时段</t>
        </is>
      </c>
      <c r="C31" s="5" t="inlineStr">
        <is>
          <t>按开仓那笔成交的时间，对照参数页的时段表自动分组。周复盘按时段看成绩，样本少于 10 笔只看不下结论。</t>
        </is>
      </c>
    </row>
    <row r="32" ht="24" customHeight="1">
      <c r="B32" s="3" t="inlineStr">
        <is>
          <t>常见问题</t>
        </is>
      </c>
      <c r="C32" s="4" t="n"/>
      <c r="D32" s="4" t="n"/>
    </row>
    <row r="33" ht="18" customHeight="1">
      <c r="B33" s="9" t="inlineStr">
        <is>
          <t>问：没交易的日子也要写吗？</t>
        </is>
      </c>
    </row>
    <row r="34" ht="35" customHeight="1">
      <c r="B34" s="10" t="inlineStr">
        <is>
          <t>答：要。在「每日记录」写一行，「今天做了什么」选「按计划空仓」或「没等到条件」，再写明天的条件。空仓是按计划做出来的，也算执行。</t>
        </is>
      </c>
    </row>
    <row r="35" ht="18" customHeight="1">
      <c r="B35" s="9" t="inlineStr">
        <is>
          <t>问：没成交的单要记吗？</t>
        </is>
      </c>
    </row>
    <row r="36" ht="35" customHeight="1">
      <c r="B36" s="10" t="inlineStr">
        <is>
          <t>答：要。挂了没成交选「未成交」，看到了但按规则不做选「主动放弃」，该做没做选「漏单」。它们不进胜率，周复盘会单独数；漏单多，先修提醒和流程。</t>
        </is>
      </c>
    </row>
    <row r="37" ht="18" customHeight="1">
      <c r="B37" s="9" t="inlineStr">
        <is>
          <t>问：分批进出场怎么记？</t>
        </is>
      </c>
    </row>
    <row r="38" ht="35" customHeight="1">
      <c r="B38" s="10" t="inlineStr">
        <is>
          <t>答：「交易记录」一行写一个计划，「成交明细」每成交一笔记一行，编号相同。开仓均价、平仓均价、费用、开平仓日都自动汇总；只平了一部分显示「持仓中」。</t>
        </is>
      </c>
    </row>
    <row r="39" ht="18" customHeight="1">
      <c r="B39" s="9" t="inlineStr">
        <is>
          <t>问：胜率不低，为什么还亏钱？</t>
        </is>
      </c>
    </row>
    <row r="40" ht="21" customHeight="1">
      <c r="B40" s="10" t="inlineStr">
        <is>
          <t>答：看「周复盘」里的平均盈利 R、平均亏损 R 和每笔平均净R。赢的时候赚得少、亏的时候亏得多，胜率再高也会亏。</t>
        </is>
      </c>
    </row>
    <row r="41" ht="18" customHeight="1">
      <c r="B41" s="9" t="inlineStr">
        <is>
          <t>问：照计划做却亏了，算好交易吗？</t>
        </is>
      </c>
    </row>
    <row r="42" ht="35" customHeight="1">
      <c r="B42" s="10" t="inlineStr">
        <is>
          <t>答：算。过程打分只看有没有照计划。违规赚的钱要单独标出来，周复盘里有一行「赚了钱的坏交易」，它最容易让你下次接着违规。</t>
        </is>
      </c>
    </row>
    <row r="43" ht="18" customHeight="1">
      <c r="B43" s="9" t="inlineStr">
        <is>
          <t>问：多少笔才能下结论？</t>
        </is>
      </c>
    </row>
    <row r="44" ht="35" customHeight="1">
      <c r="B44" s="10" t="inlineStr">
        <is>
          <t>答：20 笔够看出执行上的大问题，比如止损常被违反。判断一个方法本身有没有用，至少 50 到 100 笔。分组少于 10 笔，只看不下结论。</t>
        </is>
      </c>
    </row>
    <row r="45" ht="18" customHeight="1">
      <c r="B45" s="9" t="inlineStr">
        <is>
          <t>问：手续费按成交单还是按估算？</t>
        </is>
      </c>
    </row>
    <row r="46" ht="21" customHeight="1">
      <c r="B46" s="10" t="inlineStr">
        <is>
          <t>答：成交单上有实际费用，就填在「实际费用」，表会优先用实际数；没有就按参数页估算。两种都扣进净R。</t>
        </is>
      </c>
    </row>
    <row r="47" ht="24" customHeight="1">
      <c r="B47" s="3" t="inlineStr">
        <is>
          <t>接着学（免费）</t>
        </is>
      </c>
      <c r="C47" s="4" t="n"/>
      <c r="D47" s="4" t="n"/>
    </row>
    <row r="48" ht="18" customHeight="1">
      <c r="B48" s="5" t="inlineStr">
        <is>
          <t>复盘与交易日志：怎么记、记什么、怎么改下一笔</t>
        </is>
      </c>
      <c r="D48" s="11" t="inlineStr">
        <is>
          <t>trade1469.com/docs/review/</t>
        </is>
      </c>
    </row>
    <row r="49" ht="18" customHeight="1">
      <c r="B49" s="5" t="inlineStr">
        <is>
          <t>风控与仓位：每笔该亏多少、该下多少</t>
        </is>
      </c>
      <c r="D49" s="11" t="inlineStr">
        <is>
          <t>trade1469.com/docs/risk/</t>
        </is>
      </c>
    </row>
    <row r="50" ht="18" customHeight="1">
      <c r="B50" s="5" t="inlineStr">
        <is>
          <t>交易员训练手册免费节：每日复盘只回答少数关键问题</t>
        </is>
      </c>
      <c r="D50" s="11" t="inlineStr">
        <is>
          <t>trade1469.com/trader/t13-7.html</t>
        </is>
      </c>
    </row>
    <row r="51" ht="18" customHeight="1">
      <c r="B51" s="5" t="inlineStr">
        <is>
          <t>交易员训练手册免费节：数学期望</t>
        </is>
      </c>
      <c r="D51" s="11" t="inlineStr">
        <is>
          <t>trade1469.com/trader/t1-19.html</t>
        </is>
      </c>
    </row>
    <row r="52" ht="18" customHeight="1">
      <c r="B52" s="5" t="inlineStr">
        <is>
          <t>交易实战教学免费课：胜率、盈亏比与打平线</t>
        </is>
      </c>
      <c r="D52" s="11" t="inlineStr">
        <is>
          <t>trade1469.com/trade-flow/03.html</t>
        </is>
      </c>
    </row>
    <row r="53" ht="32" customHeight="1">
      <c r="B53" s="5" t="inlineStr">
        <is>
          <t>想看胜率、期望、回撤按策略和时段分组：交易复盘看板（免费）</t>
        </is>
      </c>
      <c r="D53" s="11" t="inlineStr">
        <is>
          <t>trade1469.com/templates/review-dashboard/</t>
        </is>
      </c>
    </row>
    <row r="54" ht="32" customHeight="1">
      <c r="B54" s="5" t="inlineStr">
        <is>
          <t>想系统练记账、打分和复盘：交易员训练手册第 13 章（付费，有免费试看节）</t>
        </is>
      </c>
      <c r="D54" s="11" t="inlineStr">
        <is>
          <t>trade1469.com/trader/chapter13.html</t>
        </is>
      </c>
    </row>
    <row r="55" ht="24" customHeight="1">
      <c r="B55" s="3" t="inlineStr">
        <is>
          <t>说明</t>
        </is>
      </c>
      <c r="C55" s="4" t="n"/>
      <c r="D55" s="4" t="n"/>
    </row>
    <row r="56" ht="32" customHeight="1">
      <c r="B56" s="5" t="inlineStr">
        <is>
          <t>本表只用于记录和练习，不构成投资建议。示例页的品种、日期、价格和成交全部虚构，只演示填法。费率按你的成交单改，表里的默认值只是示例。</t>
        </is>
      </c>
    </row>
    <row r="58">
      <c r="B58" s="12" t="inlineStr">
        <is>
          <t>TradeLearn · XtradingTime 交易内训 · v1.0</t>
        </is>
      </c>
      <c r="D58" s="11" t="inlineStr">
        <is>
          <t>更新版与使用教程：trade1469.com/templates/trading-journal/</t>
        </is>
      </c>
    </row>
  </sheetData>
  <mergeCells count="48">
    <mergeCell ref="B42:D42"/>
    <mergeCell ref="B54:C54"/>
    <mergeCell ref="C24:D24"/>
    <mergeCell ref="C30:D30"/>
    <mergeCell ref="B1:D1"/>
    <mergeCell ref="B44:D44"/>
    <mergeCell ref="C26:D26"/>
    <mergeCell ref="B38:D38"/>
    <mergeCell ref="B34:D34"/>
    <mergeCell ref="B52:C52"/>
    <mergeCell ref="B48:C48"/>
    <mergeCell ref="C29:D29"/>
    <mergeCell ref="B37:D37"/>
    <mergeCell ref="C16:D16"/>
    <mergeCell ref="C25:D25"/>
    <mergeCell ref="B40:D40"/>
    <mergeCell ref="B15:D15"/>
    <mergeCell ref="C31:D31"/>
    <mergeCell ref="B55:D55"/>
    <mergeCell ref="B6:D6"/>
    <mergeCell ref="B53:C53"/>
    <mergeCell ref="B20:D20"/>
    <mergeCell ref="B33:D33"/>
    <mergeCell ref="B5:D5"/>
    <mergeCell ref="B36:D36"/>
    <mergeCell ref="B43:D43"/>
    <mergeCell ref="B45:D45"/>
    <mergeCell ref="B41:D41"/>
    <mergeCell ref="C27:D27"/>
    <mergeCell ref="B4:D4"/>
    <mergeCell ref="B32:D32"/>
    <mergeCell ref="B35:D35"/>
    <mergeCell ref="B7:D7"/>
    <mergeCell ref="C23:D23"/>
    <mergeCell ref="C17:D17"/>
    <mergeCell ref="B47:D47"/>
    <mergeCell ref="B49:C49"/>
    <mergeCell ref="B46:D46"/>
    <mergeCell ref="B22:D22"/>
    <mergeCell ref="B51:C51"/>
    <mergeCell ref="C19:D19"/>
    <mergeCell ref="B56:D56"/>
    <mergeCell ref="C28:D28"/>
    <mergeCell ref="B21:D21"/>
    <mergeCell ref="B50:C50"/>
    <mergeCell ref="C18:D18"/>
    <mergeCell ref="B39:D39"/>
    <mergeCell ref="B2:D2"/>
  </mergeCells>
  <hyperlinks>
    <hyperlink xmlns:r="http://schemas.openxmlformats.org/officeDocument/2006/relationships" ref="D48" r:id="rId1"/>
    <hyperlink xmlns:r="http://schemas.openxmlformats.org/officeDocument/2006/relationships" ref="D49" r:id="rId2"/>
    <hyperlink xmlns:r="http://schemas.openxmlformats.org/officeDocument/2006/relationships" ref="D50" r:id="rId3"/>
    <hyperlink xmlns:r="http://schemas.openxmlformats.org/officeDocument/2006/relationships" ref="D51" r:id="rId4"/>
    <hyperlink xmlns:r="http://schemas.openxmlformats.org/officeDocument/2006/relationships" ref="D52" r:id="rId5"/>
    <hyperlink xmlns:r="http://schemas.openxmlformats.org/officeDocument/2006/relationships" ref="D53" r:id="rId6"/>
    <hyperlink xmlns:r="http://schemas.openxmlformats.org/officeDocument/2006/relationships" ref="D54" r:id="rId7"/>
    <hyperlink xmlns:r="http://schemas.openxmlformats.org/officeDocument/2006/relationships" ref="D58" r:id="rId8"/>
  </hyperlink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</worksheet>
</file>

<file path=xl/worksheets/sheet2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A1:K4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2" customWidth="1" min="2" max="2"/>
    <col width="13" customWidth="1" min="3" max="3"/>
    <col width="17" customWidth="1" min="4" max="4"/>
    <col width="10" customWidth="1" min="5" max="5"/>
    <col width="13" customWidth="1" min="6" max="6"/>
    <col width="10" customWidth="1" min="7" max="7"/>
    <col width="16" customWidth="1" min="8" max="8"/>
    <col width="10" customWidth="1" min="9" max="9"/>
    <col width="16" customWidth="1" min="10" max="10"/>
    <col width="10" customWidth="1" min="11" max="11"/>
  </cols>
  <sheetData>
    <row r="1" ht="30" customHeight="1">
      <c r="A1" s="13" t="inlineStr">
        <is>
          <t>参数：先把这一页改成你自己的</t>
        </is>
      </c>
      <c r="I1" s="14" t="inlineStr">
        <is>
          <t>TradeLearn · XtradingTime 交易内训</t>
        </is>
      </c>
    </row>
    <row r="2" ht="20" customHeight="1">
      <c r="A2" s="2" t="inlineStr">
        <is>
          <t>蓝字可以改。费率都是示例，用之前按你的成交单核对一遍；改这里一处，整份表跟着变。</t>
        </is>
      </c>
    </row>
    <row r="4">
      <c r="B4" s="15" t="inlineStr">
        <is>
          <t>账户与风险</t>
        </is>
      </c>
    </row>
    <row r="5">
      <c r="B5" s="16" t="inlineStr">
        <is>
          <t>账户资金（元）</t>
        </is>
      </c>
      <c r="C5" s="17" t="n">
        <v>100000</v>
      </c>
    </row>
    <row r="6" ht="18" customHeight="1">
      <c r="B6" s="16" t="inlineStr">
        <is>
          <t>单笔最多亏（占账户）</t>
        </is>
      </c>
      <c r="C6" s="18" t="n">
        <v>0.01</v>
      </c>
      <c r="D6" s="19" t="inlineStr">
        <is>
          <t>新手先用 1% 或更低。这是教学示例，不是建议。</t>
        </is>
      </c>
      <c r="E6" s="19" t="n"/>
      <c r="F6" s="19" t="n"/>
      <c r="G6" s="19" t="n"/>
      <c r="H6" s="19" t="n"/>
      <c r="I6" s="19" t="n"/>
      <c r="J6" s="19" t="n"/>
      <c r="K6" s="19" t="n"/>
    </row>
    <row r="7" ht="18" customHeight="1">
      <c r="B7" s="16" t="inlineStr">
        <is>
          <t>1R 预算（元）</t>
        </is>
      </c>
      <c r="C7" s="20">
        <f>C5*C6</f>
        <v>1000</v>
      </c>
      <c r="D7" s="19" t="inlineStr">
        <is>
          <t>按止损算建议数量时用这个数。下单前定，平仓后不改。</t>
        </is>
      </c>
      <c r="E7" s="19" t="n"/>
      <c r="F7" s="19" t="n"/>
      <c r="G7" s="19" t="n"/>
      <c r="H7" s="19" t="n"/>
      <c r="I7" s="19" t="n"/>
      <c r="J7" s="19" t="n"/>
      <c r="K7" s="19" t="n"/>
    </row>
    <row r="8" ht="18" customHeight="1">
      <c r="B8" s="16" t="inlineStr">
        <is>
          <t>当天平仓亏到几 R 停手</t>
        </is>
      </c>
      <c r="C8" s="21" t="n">
        <v>3</v>
      </c>
      <c r="D8" s="19" t="inlineStr">
        <is>
          <t>每日记录会按当天平仓的净R 提示「触及停手线」。</t>
        </is>
      </c>
      <c r="E8" s="19" t="n"/>
      <c r="F8" s="19" t="n"/>
      <c r="G8" s="19" t="n"/>
      <c r="H8" s="19" t="n"/>
      <c r="I8" s="19" t="n"/>
      <c r="J8" s="19" t="n"/>
      <c r="K8" s="19" t="n"/>
    </row>
    <row r="10">
      <c r="B10" s="15" t="inlineStr">
        <is>
          <t>费用（按你的成交单改）</t>
        </is>
      </c>
    </row>
    <row r="11" ht="18" customHeight="1">
      <c r="B11" s="16" t="inlineStr">
        <is>
          <t>每笔固定费（每成交一笔）</t>
        </is>
      </c>
      <c r="C11" s="22" t="n">
        <v>0</v>
      </c>
      <c r="D11" s="19" t="inlineStr">
        <is>
          <t>有些券商和平台按笔收，没有就填 0。</t>
        </is>
      </c>
      <c r="E11" s="19" t="n"/>
      <c r="F11" s="19" t="n"/>
      <c r="G11" s="19" t="n"/>
      <c r="H11" s="19" t="n"/>
      <c r="I11" s="19" t="n"/>
      <c r="J11" s="19" t="n"/>
      <c r="K11" s="19" t="n"/>
    </row>
    <row r="12" ht="18" customHeight="1">
      <c r="B12" s="16" t="inlineStr">
        <is>
          <t>按成交额收的费率</t>
        </is>
      </c>
      <c r="C12" s="23" t="n">
        <v>0.0003</v>
      </c>
      <c r="D12" s="19" t="inlineStr">
        <is>
          <t>示例：万分之 3。成交额 = 价格 × 数量 × 合约乘数。</t>
        </is>
      </c>
      <c r="E12" s="19" t="n"/>
      <c r="F12" s="19" t="n"/>
      <c r="G12" s="19" t="n"/>
      <c r="H12" s="19" t="n"/>
      <c r="I12" s="19" t="n"/>
      <c r="J12" s="19" t="n"/>
      <c r="K12" s="19" t="n"/>
    </row>
    <row r="13" ht="18" customHeight="1">
      <c r="B13" s="16" t="inlineStr">
        <is>
          <t>按数量收的费用（每单位）</t>
        </is>
      </c>
      <c r="C13" s="22" t="n">
        <v>0</v>
      </c>
      <c r="D13" s="19" t="inlineStr">
        <is>
          <t>期货常按手收：每手几元就填几。</t>
        </is>
      </c>
      <c r="E13" s="19" t="n"/>
      <c r="F13" s="19" t="n"/>
      <c r="G13" s="19" t="n"/>
      <c r="H13" s="19" t="n"/>
      <c r="I13" s="19" t="n"/>
      <c r="J13" s="19" t="n"/>
      <c r="K13" s="19" t="n"/>
    </row>
    <row r="14" ht="18" customHeight="1">
      <c r="B14" s="16" t="inlineStr">
        <is>
          <t>滑点估计（每单位、每边，按价格）</t>
        </is>
      </c>
      <c r="C14" s="24" t="n">
        <v>0</v>
      </c>
      <c r="D14" s="19" t="inlineStr">
        <is>
          <t>只用来算建议数量，给每一笔多留一点余量。实际滑点看成交明细的参考价。</t>
        </is>
      </c>
      <c r="E14" s="19" t="n"/>
      <c r="F14" s="19" t="n"/>
      <c r="G14" s="19" t="n"/>
      <c r="H14" s="19" t="n"/>
      <c r="I14" s="19" t="n"/>
      <c r="J14" s="19" t="n"/>
      <c r="K14" s="19" t="n"/>
    </row>
    <row r="15" ht="29.2" customHeight="1">
      <c r="B15" s="19" t="inlineStr">
        <is>
          <t>建议数量 = 向下取整（1R 预算 ÷（|入场 − 止损| × 乘数 + 每单位来回费用）÷ 最小单位）× 最小单位。每单位来回费用 = 2 ×（入场价 × 乘数 × 费率 + 每单位费 + 滑点 × 乘数）。按笔收的固定费不进这个式子，单子很小时要自己多留。</t>
        </is>
      </c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</row>
    <row r="20">
      <c r="B20" s="15" t="inlineStr">
        <is>
          <t>下拉选项（可以增删，改完下拉会跟着变）</t>
        </is>
      </c>
    </row>
    <row r="21">
      <c r="B21" s="25" t="inlineStr">
        <is>
          <t>策略</t>
        </is>
      </c>
      <c r="C21" s="25" t="inlineStr">
        <is>
          <t>方向</t>
        </is>
      </c>
      <c r="D21" s="25" t="inlineStr">
        <is>
          <t>执行情况</t>
        </is>
      </c>
      <c r="E21" s="25" t="inlineStr">
        <is>
          <t>过程打分</t>
        </is>
      </c>
      <c r="F21" s="25" t="inlineStr">
        <is>
          <t>偏差标签</t>
        </is>
      </c>
      <c r="G21" s="25" t="inlineStr">
        <is>
          <t>今天做了什么</t>
        </is>
      </c>
      <c r="H21" s="25" t="inlineStr">
        <is>
          <t>买卖</t>
        </is>
      </c>
    </row>
    <row r="22">
      <c r="B22" s="26" t="inlineStr">
        <is>
          <t>突破</t>
        </is>
      </c>
      <c r="C22" s="26" t="inlineStr">
        <is>
          <t>多</t>
        </is>
      </c>
      <c r="D22" s="26" t="inlineStr">
        <is>
          <t>已执行</t>
        </is>
      </c>
      <c r="E22" s="26" t="inlineStr">
        <is>
          <t>A</t>
        </is>
      </c>
      <c r="F22" s="26" t="inlineStr">
        <is>
          <t>无</t>
        </is>
      </c>
      <c r="G22" s="26" t="inlineStr">
        <is>
          <t>有成交</t>
        </is>
      </c>
      <c r="H22" s="26" t="inlineStr">
        <is>
          <t>买</t>
        </is>
      </c>
    </row>
    <row r="23">
      <c r="B23" s="26" t="inlineStr">
        <is>
          <t>回踩</t>
        </is>
      </c>
      <c r="C23" s="26" t="inlineStr">
        <is>
          <t>空</t>
        </is>
      </c>
      <c r="D23" s="26" t="inlineStr">
        <is>
          <t>未成交</t>
        </is>
      </c>
      <c r="E23" s="26" t="inlineStr">
        <is>
          <t>B</t>
        </is>
      </c>
      <c r="F23" s="26" t="inlineStr">
        <is>
          <t>追单</t>
        </is>
      </c>
      <c r="G23" s="26" t="inlineStr">
        <is>
          <t>挂单没成交</t>
        </is>
      </c>
      <c r="H23" s="26" t="inlineStr">
        <is>
          <t>卖</t>
        </is>
      </c>
    </row>
    <row r="24">
      <c r="B24" s="26" t="inlineStr">
        <is>
          <t>区间反转</t>
        </is>
      </c>
      <c r="C24" s="26" t="n"/>
      <c r="D24" s="26" t="inlineStr">
        <is>
          <t>主动放弃</t>
        </is>
      </c>
      <c r="E24" s="26" t="inlineStr">
        <is>
          <t>C</t>
        </is>
      </c>
      <c r="F24" s="26" t="inlineStr">
        <is>
          <t>扛单</t>
        </is>
      </c>
      <c r="G24" s="26" t="inlineStr">
        <is>
          <t>按计划空仓</t>
        </is>
      </c>
      <c r="H24" s="26" t="n"/>
    </row>
    <row r="25">
      <c r="B25" s="26" t="inlineStr">
        <is>
          <t>趋势跟随</t>
        </is>
      </c>
      <c r="C25" s="26" t="n"/>
      <c r="D25" s="26" t="inlineStr">
        <is>
          <t>漏单</t>
        </is>
      </c>
      <c r="E25" s="26" t="inlineStr">
        <is>
          <t>D</t>
        </is>
      </c>
      <c r="F25" s="26" t="inlineStr">
        <is>
          <t>提前跑</t>
        </is>
      </c>
      <c r="G25" s="26" t="inlineStr">
        <is>
          <t>没等到条件</t>
        </is>
      </c>
      <c r="H25" s="26" t="n"/>
    </row>
    <row r="26">
      <c r="B26" s="26" t="inlineStr">
        <is>
          <t>其他</t>
        </is>
      </c>
      <c r="C26" s="26" t="n"/>
      <c r="D26" s="26" t="n"/>
      <c r="E26" s="26" t="n"/>
      <c r="F26" s="26" t="inlineStr">
        <is>
          <t>加仓回本</t>
        </is>
      </c>
      <c r="G26" s="26" t="inlineStr">
        <is>
          <t>休息</t>
        </is>
      </c>
      <c r="H26" s="26" t="n"/>
    </row>
    <row r="27">
      <c r="B27" s="26" t="n"/>
      <c r="C27" s="26" t="n"/>
      <c r="D27" s="26" t="n"/>
      <c r="E27" s="26" t="n"/>
      <c r="F27" s="26" t="inlineStr">
        <is>
          <t>没计划</t>
        </is>
      </c>
      <c r="G27" s="26" t="n"/>
      <c r="H27" s="26" t="n"/>
    </row>
    <row r="28">
      <c r="B28" s="26" t="n"/>
      <c r="C28" s="26" t="n"/>
      <c r="D28" s="26" t="n"/>
      <c r="E28" s="26" t="n"/>
      <c r="F28" s="26" t="inlineStr">
        <is>
          <t>超仓位</t>
        </is>
      </c>
      <c r="G28" s="26" t="n"/>
      <c r="H28" s="26" t="n"/>
    </row>
    <row r="29">
      <c r="B29" s="26" t="n"/>
      <c r="C29" s="26" t="n"/>
      <c r="D29" s="26" t="n"/>
      <c r="E29" s="26" t="n"/>
      <c r="F29" s="26" t="inlineStr">
        <is>
          <t>止损挪远</t>
        </is>
      </c>
      <c r="G29" s="26" t="n"/>
      <c r="H29" s="26" t="n"/>
    </row>
    <row r="30">
      <c r="B30" s="26" t="n"/>
      <c r="C30" s="26" t="n"/>
      <c r="D30" s="26" t="n"/>
      <c r="E30" s="26" t="n"/>
      <c r="F30" s="26" t="inlineStr">
        <is>
          <t>盘中改计划</t>
        </is>
      </c>
      <c r="G30" s="26" t="n"/>
      <c r="H30" s="26" t="n"/>
    </row>
    <row r="31">
      <c r="B31" s="26" t="n"/>
      <c r="C31" s="26" t="n"/>
      <c r="D31" s="26" t="n"/>
      <c r="E31" s="26" t="n"/>
      <c r="F31" s="26" t="inlineStr">
        <is>
          <t>其他</t>
        </is>
      </c>
      <c r="G31" s="26" t="n"/>
      <c r="H31" s="26" t="n"/>
    </row>
    <row r="32">
      <c r="B32" s="26" t="n"/>
      <c r="C32" s="26" t="n"/>
      <c r="D32" s="26" t="n"/>
      <c r="E32" s="26" t="n"/>
      <c r="F32" s="26" t="n"/>
      <c r="G32" s="26" t="n"/>
      <c r="H32" s="26" t="n"/>
    </row>
    <row r="33">
      <c r="B33" s="26" t="n"/>
      <c r="C33" s="26" t="n"/>
      <c r="D33" s="26" t="n"/>
      <c r="E33" s="26" t="n"/>
      <c r="F33" s="26" t="n"/>
      <c r="G33" s="26" t="n"/>
      <c r="H33" s="26" t="n"/>
    </row>
    <row r="35">
      <c r="B35" s="19" t="inlineStr">
        <is>
          <t>过程打分：A 完全照计划；B 有小偏差；C 违反一条规则；D 没有计划就下单。打分只看有没有照计划，不看这笔赚没赚。</t>
        </is>
      </c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</row>
    <row r="37">
      <c r="B37" s="15" t="inlineStr">
        <is>
          <t>开仓时段划分（按开仓那笔成交的时间自动分组）</t>
        </is>
      </c>
    </row>
    <row r="38">
      <c r="B38" s="25" t="inlineStr">
        <is>
          <t>从几点开始</t>
        </is>
      </c>
      <c r="C38" s="25" t="inlineStr">
        <is>
          <t>时段名</t>
        </is>
      </c>
    </row>
    <row r="39">
      <c r="B39" s="27" t="n">
        <v>0</v>
      </c>
      <c r="C39" s="26" t="inlineStr">
        <is>
          <t>夜盘与隔夜</t>
        </is>
      </c>
      <c r="D39" s="19" t="inlineStr">
        <is>
          <t>按你做的市场改：默认按A股的时间分（9:30 开盘）；国内期货 9:00 开盘，可以把「开盘 30 分钟」改成从 9:00 起；外汇、黄金这类 24 小时市场，可以改成按北京时间每 4 小时一段。时间从小到大排，第一行必须是 00:00。</t>
        </is>
      </c>
      <c r="E39" s="19" t="n"/>
      <c r="F39" s="19" t="n"/>
      <c r="G39" s="19" t="n"/>
      <c r="H39" s="19" t="n"/>
      <c r="I39" s="19" t="n"/>
      <c r="J39" s="19" t="n"/>
      <c r="K39" s="19" t="n"/>
    </row>
    <row r="40">
      <c r="B40" s="27" t="n">
        <v>0.3958333333333333</v>
      </c>
      <c r="C40" s="26" t="inlineStr">
        <is>
          <t>开盘 30 分钟</t>
        </is>
      </c>
      <c r="D40" s="19" t="n"/>
      <c r="E40" s="19" t="n"/>
      <c r="F40" s="19" t="n"/>
      <c r="G40" s="19" t="n"/>
      <c r="H40" s="19" t="n"/>
      <c r="I40" s="19" t="n"/>
      <c r="J40" s="19" t="n"/>
      <c r="K40" s="19" t="n"/>
    </row>
    <row r="41">
      <c r="B41" s="27" t="n">
        <v>0.4166666666666667</v>
      </c>
      <c r="C41" s="26" t="inlineStr">
        <is>
          <t>上午</t>
        </is>
      </c>
      <c r="D41" s="19" t="n"/>
      <c r="E41" s="19" t="n"/>
      <c r="F41" s="19" t="n"/>
      <c r="G41" s="19" t="n"/>
      <c r="H41" s="19" t="n"/>
      <c r="I41" s="19" t="n"/>
      <c r="J41" s="19" t="n"/>
      <c r="K41" s="19" t="n"/>
    </row>
    <row r="42">
      <c r="B42" s="27" t="n">
        <v>0.4791666666666667</v>
      </c>
      <c r="C42" s="26" t="inlineStr">
        <is>
          <t>午间</t>
        </is>
      </c>
    </row>
    <row r="43">
      <c r="B43" s="27" t="n">
        <v>0.5416666666666666</v>
      </c>
      <c r="C43" s="26" t="inlineStr">
        <is>
          <t>午后</t>
        </is>
      </c>
    </row>
    <row r="44">
      <c r="B44" s="27" t="n">
        <v>0.6041666666666666</v>
      </c>
      <c r="C44" s="26" t="inlineStr">
        <is>
          <t>尾盘</t>
        </is>
      </c>
    </row>
    <row r="45">
      <c r="B45" s="27" t="n">
        <v>0.625</v>
      </c>
      <c r="C45" s="26" t="inlineStr">
        <is>
          <t>收盘后</t>
        </is>
      </c>
    </row>
    <row r="46">
      <c r="B46" s="27" t="n">
        <v>0.875</v>
      </c>
      <c r="C46" s="26" t="inlineStr">
        <is>
          <t>夜盘</t>
        </is>
      </c>
    </row>
    <row r="47">
      <c r="B47" s="27" t="n"/>
      <c r="C47" s="26" t="n"/>
    </row>
    <row r="48">
      <c r="B48" s="27" t="n"/>
      <c r="C48" s="26" t="n"/>
    </row>
  </sheetData>
  <mergeCells count="13">
    <mergeCell ref="D7:K7"/>
    <mergeCell ref="D8:K8"/>
    <mergeCell ref="D6:K6"/>
    <mergeCell ref="D11:K11"/>
    <mergeCell ref="B35:K35"/>
    <mergeCell ref="I1:K1"/>
    <mergeCell ref="A2:K2"/>
    <mergeCell ref="B15:K15"/>
    <mergeCell ref="D13:K13"/>
    <mergeCell ref="D14:K14"/>
    <mergeCell ref="A1:H1"/>
    <mergeCell ref="D39:K41"/>
    <mergeCell ref="D12:K12"/>
  </mergeCell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</worksheet>
</file>

<file path=xl/worksheets/sheet3.xml><?xml version="1.0" encoding="utf-8"?>
<worksheet xmlns="http://schemas.openxmlformats.org/spreadsheetml/2006/main">
  <sheetPr>
    <tabColor rgb="009D4616"/>
    <outlinePr summaryBelow="1" summaryRight="1"/>
    <pageSetUpPr fitToPage="0"/>
  </sheetPr>
  <dimension ref="A1:AJ3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9" customWidth="1" min="3" max="3"/>
    <col width="5.5" customWidth="1" min="4" max="4"/>
    <col width="8" customWidth="1" min="5" max="5"/>
    <col width="5" customWidth="1" min="6" max="6"/>
    <col width="6" customWidth="1" min="7" max="7"/>
    <col width="6" customWidth="1" min="8" max="8"/>
    <col width="8" customWidth="1" min="9" max="9"/>
    <col width="8" customWidth="1" min="10" max="10"/>
    <col width="8" customWidth="1" min="11" max="11"/>
    <col width="6.5" customWidth="1" min="12" max="12"/>
    <col width="8.5" customWidth="1" min="13" max="13"/>
    <col width="8" customWidth="1" min="14" max="14"/>
    <col width="8.5" customWidth="1" min="15" max="15"/>
    <col width="18" customWidth="1" min="16" max="16"/>
    <col width="7.5" customWidth="1" min="17" max="17"/>
    <col width="10.5" customWidth="1" min="18" max="18"/>
    <col width="10.5" customWidth="1" min="19" max="19"/>
    <col width="9" customWidth="1" min="20" max="20"/>
    <col width="7.5" customWidth="1" min="21" max="21"/>
    <col width="8" customWidth="1" min="22" max="22"/>
    <col width="7.5" customWidth="1" min="23" max="23"/>
    <col width="8" customWidth="1" min="24" max="24"/>
    <col width="7.5" customWidth="1" min="25" max="25"/>
    <col width="8" customWidth="1" min="26" max="26"/>
    <col width="9.5" customWidth="1" min="27" max="27"/>
    <col width="6.5" customWidth="1" min="28" max="28"/>
    <col width="6.5" customWidth="1" min="29" max="29"/>
    <col width="7.5" customWidth="1" min="30" max="30"/>
    <col width="9" customWidth="1" min="31" max="31"/>
    <col width="6" customWidth="1" min="32" max="32"/>
    <col width="8" customWidth="1" min="33" max="33"/>
    <col width="30" customWidth="1" min="34" max="34"/>
    <col width="7" customWidth="1" min="35" max="35"/>
    <col width="7" customWidth="1" min="36" max="36"/>
  </cols>
  <sheetData>
    <row r="1" ht="30" customHeight="1">
      <c r="A1" s="13" t="inlineStr">
        <is>
          <t>通用交易日志：交易记录</t>
        </is>
      </c>
      <c r="AH1" s="14" t="inlineStr">
        <is>
          <t>TradeLearn · XtradingTime 交易内训</t>
        </is>
      </c>
    </row>
    <row r="2" ht="20" customHeight="1">
      <c r="A2" s="2" t="inlineStr">
        <is>
          <t>下单前写左边的计划（编号用数字），成交后去「成交明细」逐笔记同一个编号，右边的成交、费用和 R 会自动汇总。做空的照样记：先卖后买。没成交、主动放弃、漏单也记一行。</t>
        </is>
      </c>
    </row>
    <row r="3" ht="18" customHeight="1">
      <c r="A3" s="28" t="inlineStr">
        <is>
          <t>计划（下单前写，平仓后不改）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n"/>
      <c r="N3" s="28" t="n"/>
      <c r="O3" s="28" t="n"/>
      <c r="P3" s="28" t="inlineStr">
        <is>
          <t>失效条件</t>
        </is>
      </c>
      <c r="Q3" s="28" t="inlineStr">
        <is>
          <t>实际成交（从成交明细自动汇总）</t>
        </is>
      </c>
      <c r="R3" s="28" t="n"/>
      <c r="S3" s="28" t="n"/>
      <c r="T3" s="28" t="n"/>
      <c r="U3" s="28" t="n"/>
      <c r="V3" s="28" t="n"/>
      <c r="W3" s="28" t="n"/>
      <c r="X3" s="28" t="n"/>
      <c r="Y3" s="28" t="n"/>
      <c r="Z3" s="28" t="inlineStr">
        <is>
          <t>结果（费后）</t>
        </is>
      </c>
      <c r="AA3" s="28" t="n"/>
      <c r="AB3" s="28" t="n"/>
      <c r="AC3" s="28" t="n"/>
      <c r="AD3" s="28" t="n"/>
      <c r="AE3" s="28" t="n"/>
      <c r="AF3" s="28" t="inlineStr">
        <is>
          <t>过程</t>
        </is>
      </c>
      <c r="AG3" s="28" t="n"/>
      <c r="AH3" s="28" t="n"/>
      <c r="AI3" s="28" t="inlineStr">
        <is>
          <t>曲线</t>
        </is>
      </c>
      <c r="AJ3" s="28" t="n"/>
    </row>
    <row r="4" ht="79.59999999999999" customHeight="1">
      <c r="A4" s="25" t="inlineStr">
        <is>
          <t>编号</t>
        </is>
      </c>
      <c r="B4" s="25" t="inlineStr">
        <is>
          <t>计划日期</t>
        </is>
      </c>
      <c r="C4" s="25" t="inlineStr">
        <is>
          <t>品种</t>
        </is>
      </c>
      <c r="D4" s="25" t="inlineStr">
        <is>
          <t>周期</t>
        </is>
      </c>
      <c r="E4" s="25" t="inlineStr">
        <is>
          <t>策略</t>
        </is>
      </c>
      <c r="F4" s="25" t="inlineStr">
        <is>
          <t>方向</t>
        </is>
      </c>
      <c r="G4" s="25" t="inlineStr">
        <is>
          <t>合约乘数</t>
        </is>
      </c>
      <c r="H4" s="25" t="inlineStr">
        <is>
          <t>最小单位</t>
        </is>
      </c>
      <c r="I4" s="25" t="inlineStr">
        <is>
          <t>计划入场价</t>
        </is>
      </c>
      <c r="J4" s="25" t="inlineStr">
        <is>
          <t>止损价</t>
        </is>
      </c>
      <c r="K4" s="25" t="inlineStr">
        <is>
          <t>目标价</t>
        </is>
      </c>
      <c r="L4" s="25" t="inlineStr">
        <is>
          <t>计划风报比</t>
        </is>
      </c>
      <c r="M4" s="25" t="inlineStr">
        <is>
          <t>建议数量</t>
        </is>
      </c>
      <c r="N4" s="25" t="inlineStr">
        <is>
          <t>计划数量</t>
        </is>
      </c>
      <c r="O4" s="25" t="inlineStr">
        <is>
          <t>1R（元）</t>
        </is>
      </c>
      <c r="P4" s="25" t="inlineStr">
        <is>
          <t>失效条件 / 不做的情况</t>
        </is>
      </c>
      <c r="Q4" s="25" t="inlineStr">
        <is>
          <t>执行情况</t>
        </is>
      </c>
      <c r="R4" s="25" t="inlineStr">
        <is>
          <t>开仓日</t>
        </is>
      </c>
      <c r="S4" s="25" t="inlineStr">
        <is>
          <t>平仓日</t>
        </is>
      </c>
      <c r="T4" s="25" t="inlineStr">
        <is>
          <t>开仓时段</t>
        </is>
      </c>
      <c r="U4" s="25" t="inlineStr">
        <is>
          <t>开仓数量</t>
        </is>
      </c>
      <c r="V4" s="25" t="inlineStr">
        <is>
          <t>开仓均价</t>
        </is>
      </c>
      <c r="W4" s="25" t="inlineStr">
        <is>
          <t>平仓数量</t>
        </is>
      </c>
      <c r="X4" s="25" t="inlineStr">
        <is>
          <t>平仓均价</t>
        </is>
      </c>
      <c r="Y4" s="25" t="inlineStr">
        <is>
          <t>状态</t>
        </is>
      </c>
      <c r="Z4" s="25" t="inlineStr">
        <is>
          <t>费用</t>
        </is>
      </c>
      <c r="AA4" s="25" t="inlineStr">
        <is>
          <t>净盈亏</t>
        </is>
      </c>
      <c r="AB4" s="25" t="inlineStr">
        <is>
          <t>毛R（不扣费用）</t>
        </is>
      </c>
      <c r="AC4" s="25" t="inlineStr">
        <is>
          <t>净R</t>
        </is>
      </c>
      <c r="AD4" s="25" t="inlineStr">
        <is>
          <t>进场偏差（不利为正）</t>
        </is>
      </c>
      <c r="AE4" s="25" t="inlineStr">
        <is>
          <t>出场偏差（亏单比止损、赚单比目标，不利为正）</t>
        </is>
      </c>
      <c r="AF4" s="25" t="inlineStr">
        <is>
          <t>过程打分</t>
        </is>
      </c>
      <c r="AG4" s="25" t="inlineStr">
        <is>
          <t>偏差标签</t>
        </is>
      </c>
      <c r="AH4" s="25" t="inlineStr">
        <is>
          <t>备注（截图编号、下一步只改一处）</t>
        </is>
      </c>
      <c r="AI4" s="25" t="inlineStr">
        <is>
          <t>累计净R</t>
        </is>
      </c>
      <c r="AJ4" s="25" t="inlineStr">
        <is>
          <t>离高点回撤</t>
        </is>
      </c>
    </row>
    <row r="5">
      <c r="A5" s="29" t="n"/>
      <c r="B5" s="30" t="n"/>
      <c r="C5" s="31" t="n"/>
      <c r="D5" s="32" t="n"/>
      <c r="E5" s="32" t="n"/>
      <c r="F5" s="32" t="n"/>
      <c r="G5" s="32" t="n"/>
      <c r="H5" s="32" t="n"/>
      <c r="I5" s="33" t="n"/>
      <c r="J5" s="33" t="n"/>
      <c r="K5" s="33" t="n"/>
      <c r="L5" s="34" t="str">
        <f>IF(AND(ISNUMBER(I5),ISNUMBER(J5),ISNUMBER(K5)),IF(OR(AND(F5="多",I5&gt;J5),AND(F5="空",I5&lt;J5)),ABS(K5-I5)/ABS(I5-J5),"止损方向不对"),"")</f>
        <v/>
      </c>
      <c r="M5" s="35" t="str">
        <f>IF(AND(ISNUMBER(I5),ISNUMBER(J5)),IF(I5=J5,"",IF(INT(ROUND('参数'!$C$7/(ABS(I5-J5)*IF(N(G5)&gt;0,G5,1)+2*(I5*IF(N(G5)&gt;0,G5,1)*'参数'!$C$12+'参数'!$C$13+'参数'!$C$14*IF(N(G5)&gt;0,G5,1)))/IF(N(H5)&gt;0,H5,1),6))*IF(N(H5)&gt;0,H5,1)&gt;0,INT(ROUND('参数'!$C$7/(ABS(I5-J5)*IF(N(G5)&gt;0,G5,1)+2*(I5*IF(N(G5)&gt;0,G5,1)*'参数'!$C$12+'参数'!$C$13+'参数'!$C$14*IF(N(G5)&gt;0,G5,1)))/IF(N(H5)&gt;0,H5,1),6))*IF(N(H5)&gt;0,H5,1),"预算不足，这笔不做")),"")</f>
        <v/>
      </c>
      <c r="N5" s="36" t="n"/>
      <c r="O5" s="20" t="str">
        <f>IF(AND(ISNUMBER(I5),ISNUMBER(J5),ISNUMBER(N5)),IF(AND(I5&lt;&gt;J5,N5&gt;0),ABS(I5-J5)*N5*IF(N(G5)&gt;0,G5,1),""),"")</f>
        <v/>
      </c>
      <c r="P5" s="31" t="n"/>
      <c r="Q5" s="32" t="n"/>
      <c r="R5" s="37" t="str">
        <f>IF(N(U5)&gt;0,SUMPRODUCT(LARGE(('成交明细'!$A$5:$A$804=A5)*('成交明细'!$D$5:$D$804=IF(F5="空","卖","买"))*'成交明细'!$B$5:$B$804,COUNTIFS('成交明细'!$A$5:$A$804,A5,'成交明细'!$D$5:$D$804,IF(F5="空","卖","买")))),"")</f>
        <v/>
      </c>
      <c r="S5" s="37" t="str">
        <f>IF(AND(N(U5)&gt;0,N(W5)&gt;=N(U5)),SUMPRODUCT(MAX(('成交明细'!$A$5:$A$804=A5)*('成交明细'!$D$5:$D$804=IF(F5="空","买","卖"))*'成交明细'!$B$5:$B$804)),"")</f>
        <v/>
      </c>
      <c r="T5" s="38" t="str">
        <f>IF(N(U5)=0,"",IF(SUMPRODUCT(('成交明细'!$A$5:$A$804=A5)*('成交明细'!$D$5:$D$804=IF(F5="空","卖","买"))*ISNUMBER('成交明细'!$C$5:$C$804))=0,"没填时间",IFERROR(VLOOKUP(MOD(SUMPRODUCT(LARGE(('成交明细'!$A$5:$A$804=A5)*('成交明细'!$D$5:$D$804=IF(F5="空","卖","买"))*('成交明细'!$B$5:$B$804+'成交明细'!$C$5:$C$804),COUNTIFS('成交明细'!$A$5:$A$804,A5,'成交明细'!$D$5:$D$804,IF(F5="空","卖","买")))),1),'参数'!$B$39:$C$48,2,TRUE),"")))</f>
        <v/>
      </c>
      <c r="U5" s="35" t="str">
        <f>IF(A5="","",SUMIFS('成交明细'!$F$5:$F$804,'成交明细'!$A$5:$A$804,A5,'成交明细'!$D$5:$D$804,IF(F5="空","卖","买")))</f>
        <v/>
      </c>
      <c r="V5" s="39" t="str">
        <f>IF(N(U5)&gt;0,SUMIFS('成交明细'!$H$5:$H$804,'成交明细'!$A$5:$A$804,A5,'成交明细'!$D$5:$D$804,IF(F5="空","卖","买"))/U5,"")</f>
        <v/>
      </c>
      <c r="W5" s="35" t="str">
        <f>IF(A5="","",SUMIFS('成交明细'!$F$5:$F$804,'成交明细'!$A$5:$A$804,A5,'成交明细'!$D$5:$D$804,IF(F5="空","买","卖")))</f>
        <v/>
      </c>
      <c r="X5" s="39" t="str">
        <f>IF(N(W5)&gt;0,SUMIFS('成交明细'!$H$5:$H$804,'成交明细'!$A$5:$A$804,A5,'成交明细'!$D$5:$D$804,IF(F5="空","买","卖"))/W5,"")</f>
        <v/>
      </c>
      <c r="Y5" s="40" t="str">
        <f>IF(A5="","",IF(Q5&lt;&gt;"已执行",IF(Q5="","未填执行情况",Q5),IF(N(U5)=0,"待录成交",IF(N(W5)&gt;N(U5),"平仓多于开仓",IF(N(W5)&lt;N(U5),"持仓中","已平仓")))))</f>
        <v/>
      </c>
      <c r="Z5" s="41" t="str">
        <f>IF(N(U5)=0,"",SUMIFS('成交明细'!$L$5:$L$804,'成交明细'!$A$5:$A$804,A5))</f>
        <v/>
      </c>
      <c r="AA5" s="42" t="str">
        <f>IF(Y5&lt;&gt;"已平仓","",(SUMIFS('成交明细'!$H$5:$H$804,'成交明细'!$A$5:$A$804,A5,'成交明细'!$D$5:$D$804,"卖")-SUMIFS('成交明细'!$H$5:$H$804,'成交明细'!$A$5:$A$804,A5,'成交明细'!$D$5:$D$804,"买"))*IF(N(G5)&gt;0,G5,1)-Z5)</f>
        <v/>
      </c>
      <c r="AB5" s="43" t="str">
        <f>IF(AND(Y5="已平仓",ISNUMBER(O5)),(SUMIFS('成交明细'!$H$5:$H$804,'成交明细'!$A$5:$A$804,A5,'成交明细'!$D$5:$D$804,"卖")-SUMIFS('成交明细'!$H$5:$H$804,'成交明细'!$A$5:$A$804,A5,'成交明细'!$D$5:$D$804,"买"))*IF(N(G5)&gt;0,G5,1)/O5,"")</f>
        <v/>
      </c>
      <c r="AC5" s="43" t="str">
        <f>IF(AND(Y5="已平仓",ISNUMBER(O5)),AA5/O5,"")</f>
        <v/>
      </c>
      <c r="AD5" s="44" t="str">
        <f>IF(AND(ISNUMBER(V5),ISNUMBER(I5)),IF(F5="空",I5-V5,V5-I5),"")</f>
        <v/>
      </c>
      <c r="AE5" s="44" t="str">
        <f>IF(OR(NOT(ISNUMBER(AA5)),NOT(ISNUMBER(X5))),"",IF(AA5&lt;0,IF(F5="空",X5-J5,J5-X5),IF(NOT(ISNUMBER(K5)),"",IF(F5="空",X5-K5,K5-X5))))</f>
        <v/>
      </c>
      <c r="AF5" s="32" t="n"/>
      <c r="AG5" s="32" t="n"/>
      <c r="AH5" s="31" t="n"/>
      <c r="AI5" s="43" t="str">
        <f>IF(A5="","",SUM(AC$5:AC5))</f>
        <v/>
      </c>
      <c r="AJ5" s="45" t="str">
        <f>IF(A5="","",MAX(0,MAX(AI$5:AI5))-AI5)</f>
        <v/>
      </c>
    </row>
    <row r="6">
      <c r="A6" s="29" t="n"/>
      <c r="B6" s="30" t="n"/>
      <c r="C6" s="31" t="n"/>
      <c r="D6" s="32" t="n"/>
      <c r="E6" s="32" t="n"/>
      <c r="F6" s="32" t="n"/>
      <c r="G6" s="32" t="n"/>
      <c r="H6" s="32" t="n"/>
      <c r="I6" s="33" t="n"/>
      <c r="J6" s="33" t="n"/>
      <c r="K6" s="33" t="n"/>
      <c r="L6" s="34" t="str">
        <f>IF(AND(ISNUMBER(I6),ISNUMBER(J6),ISNUMBER(K6)),IF(OR(AND(F6="多",I6&gt;J6),AND(F6="空",I6&lt;J6)),ABS(K6-I6)/ABS(I6-J6),"止损方向不对"),"")</f>
        <v/>
      </c>
      <c r="M6" s="35" t="str">
        <f>IF(AND(ISNUMBER(I6),ISNUMBER(J6)),IF(I6=J6,"",IF(INT(ROUND('参数'!$C$7/(ABS(I6-J6)*IF(N(G6)&gt;0,G6,1)+2*(I6*IF(N(G6)&gt;0,G6,1)*'参数'!$C$12+'参数'!$C$13+'参数'!$C$14*IF(N(G6)&gt;0,G6,1)))/IF(N(H6)&gt;0,H6,1),6))*IF(N(H6)&gt;0,H6,1)&gt;0,INT(ROUND('参数'!$C$7/(ABS(I6-J6)*IF(N(G6)&gt;0,G6,1)+2*(I6*IF(N(G6)&gt;0,G6,1)*'参数'!$C$12+'参数'!$C$13+'参数'!$C$14*IF(N(G6)&gt;0,G6,1)))/IF(N(H6)&gt;0,H6,1),6))*IF(N(H6)&gt;0,H6,1),"预算不足，这笔不做")),"")</f>
        <v/>
      </c>
      <c r="N6" s="36" t="n"/>
      <c r="O6" s="20" t="str">
        <f>IF(AND(ISNUMBER(I6),ISNUMBER(J6),ISNUMBER(N6)),IF(AND(I6&lt;&gt;J6,N6&gt;0),ABS(I6-J6)*N6*IF(N(G6)&gt;0,G6,1),""),"")</f>
        <v/>
      </c>
      <c r="P6" s="31" t="n"/>
      <c r="Q6" s="32" t="n"/>
      <c r="R6" s="37" t="str">
        <f>IF(N(U6)&gt;0,SUMPRODUCT(LARGE(('成交明细'!$A$5:$A$804=A6)*('成交明细'!$D$5:$D$804=IF(F6="空","卖","买"))*'成交明细'!$B$5:$B$804,COUNTIFS('成交明细'!$A$5:$A$804,A6,'成交明细'!$D$5:$D$804,IF(F6="空","卖","买")))),"")</f>
        <v/>
      </c>
      <c r="S6" s="37" t="str">
        <f>IF(AND(N(U6)&gt;0,N(W6)&gt;=N(U6)),SUMPRODUCT(MAX(('成交明细'!$A$5:$A$804=A6)*('成交明细'!$D$5:$D$804=IF(F6="空","买","卖"))*'成交明细'!$B$5:$B$804)),"")</f>
        <v/>
      </c>
      <c r="T6" s="38" t="str">
        <f>IF(N(U6)=0,"",IF(SUMPRODUCT(('成交明细'!$A$5:$A$804=A6)*('成交明细'!$D$5:$D$804=IF(F6="空","卖","买"))*ISNUMBER('成交明细'!$C$5:$C$804))=0,"没填时间",IFERROR(VLOOKUP(MOD(SUMPRODUCT(LARGE(('成交明细'!$A$5:$A$804=A6)*('成交明细'!$D$5:$D$804=IF(F6="空","卖","买"))*('成交明细'!$B$5:$B$804+'成交明细'!$C$5:$C$804),COUNTIFS('成交明细'!$A$5:$A$804,A6,'成交明细'!$D$5:$D$804,IF(F6="空","卖","买")))),1),'参数'!$B$39:$C$48,2,TRUE),"")))</f>
        <v/>
      </c>
      <c r="U6" s="35" t="str">
        <f>IF(A6="","",SUMIFS('成交明细'!$F$5:$F$804,'成交明细'!$A$5:$A$804,A6,'成交明细'!$D$5:$D$804,IF(F6="空","卖","买")))</f>
        <v/>
      </c>
      <c r="V6" s="39" t="str">
        <f>IF(N(U6)&gt;0,SUMIFS('成交明细'!$H$5:$H$804,'成交明细'!$A$5:$A$804,A6,'成交明细'!$D$5:$D$804,IF(F6="空","卖","买"))/U6,"")</f>
        <v/>
      </c>
      <c r="W6" s="35" t="str">
        <f>IF(A6="","",SUMIFS('成交明细'!$F$5:$F$804,'成交明细'!$A$5:$A$804,A6,'成交明细'!$D$5:$D$804,IF(F6="空","买","卖")))</f>
        <v/>
      </c>
      <c r="X6" s="39" t="str">
        <f>IF(N(W6)&gt;0,SUMIFS('成交明细'!$H$5:$H$804,'成交明细'!$A$5:$A$804,A6,'成交明细'!$D$5:$D$804,IF(F6="空","买","卖"))/W6,"")</f>
        <v/>
      </c>
      <c r="Y6" s="40" t="str">
        <f>IF(A6="","",IF(Q6&lt;&gt;"已执行",IF(Q6="","未填执行情况",Q6),IF(N(U6)=0,"待录成交",IF(N(W6)&gt;N(U6),"平仓多于开仓",IF(N(W6)&lt;N(U6),"持仓中","已平仓")))))</f>
        <v/>
      </c>
      <c r="Z6" s="41" t="str">
        <f>IF(N(U6)=0,"",SUMIFS('成交明细'!$L$5:$L$804,'成交明细'!$A$5:$A$804,A6))</f>
        <v/>
      </c>
      <c r="AA6" s="42" t="str">
        <f>IF(Y6&lt;&gt;"已平仓","",(SUMIFS('成交明细'!$H$5:$H$804,'成交明细'!$A$5:$A$804,A6,'成交明细'!$D$5:$D$804,"卖")-SUMIFS('成交明细'!$H$5:$H$804,'成交明细'!$A$5:$A$804,A6,'成交明细'!$D$5:$D$804,"买"))*IF(N(G6)&gt;0,G6,1)-Z6)</f>
        <v/>
      </c>
      <c r="AB6" s="43" t="str">
        <f>IF(AND(Y6="已平仓",ISNUMBER(O6)),(SUMIFS('成交明细'!$H$5:$H$804,'成交明细'!$A$5:$A$804,A6,'成交明细'!$D$5:$D$804,"卖")-SUMIFS('成交明细'!$H$5:$H$804,'成交明细'!$A$5:$A$804,A6,'成交明细'!$D$5:$D$804,"买"))*IF(N(G6)&gt;0,G6,1)/O6,"")</f>
        <v/>
      </c>
      <c r="AC6" s="43" t="str">
        <f>IF(AND(Y6="已平仓",ISNUMBER(O6)),AA6/O6,"")</f>
        <v/>
      </c>
      <c r="AD6" s="44" t="str">
        <f>IF(AND(ISNUMBER(V6),ISNUMBER(I6)),IF(F6="空",I6-V6,V6-I6),"")</f>
        <v/>
      </c>
      <c r="AE6" s="44" t="str">
        <f>IF(OR(NOT(ISNUMBER(AA6)),NOT(ISNUMBER(X6))),"",IF(AA6&lt;0,IF(F6="空",X6-J6,J6-X6),IF(NOT(ISNUMBER(K6)),"",IF(F6="空",X6-K6,K6-X6))))</f>
        <v/>
      </c>
      <c r="AF6" s="32" t="n"/>
      <c r="AG6" s="32" t="n"/>
      <c r="AH6" s="31" t="n"/>
      <c r="AI6" s="43" t="str">
        <f>IF(A6="","",SUM(AC$5:AC6))</f>
        <v/>
      </c>
      <c r="AJ6" s="45" t="str">
        <f>IF(A6="","",MAX(0,MAX(AI$5:AI6))-AI6)</f>
        <v/>
      </c>
    </row>
    <row r="7">
      <c r="A7" s="29" t="n"/>
      <c r="B7" s="30" t="n"/>
      <c r="C7" s="31" t="n"/>
      <c r="D7" s="32" t="n"/>
      <c r="E7" s="32" t="n"/>
      <c r="F7" s="32" t="n"/>
      <c r="G7" s="32" t="n"/>
      <c r="H7" s="32" t="n"/>
      <c r="I7" s="33" t="n"/>
      <c r="J7" s="33" t="n"/>
      <c r="K7" s="33" t="n"/>
      <c r="L7" s="34" t="str">
        <f>IF(AND(ISNUMBER(I7),ISNUMBER(J7),ISNUMBER(K7)),IF(OR(AND(F7="多",I7&gt;J7),AND(F7="空",I7&lt;J7)),ABS(K7-I7)/ABS(I7-J7),"止损方向不对"),"")</f>
        <v/>
      </c>
      <c r="M7" s="35" t="str">
        <f>IF(AND(ISNUMBER(I7),ISNUMBER(J7)),IF(I7=J7,"",IF(INT(ROUND('参数'!$C$7/(ABS(I7-J7)*IF(N(G7)&gt;0,G7,1)+2*(I7*IF(N(G7)&gt;0,G7,1)*'参数'!$C$12+'参数'!$C$13+'参数'!$C$14*IF(N(G7)&gt;0,G7,1)))/IF(N(H7)&gt;0,H7,1),6))*IF(N(H7)&gt;0,H7,1)&gt;0,INT(ROUND('参数'!$C$7/(ABS(I7-J7)*IF(N(G7)&gt;0,G7,1)+2*(I7*IF(N(G7)&gt;0,G7,1)*'参数'!$C$12+'参数'!$C$13+'参数'!$C$14*IF(N(G7)&gt;0,G7,1)))/IF(N(H7)&gt;0,H7,1),6))*IF(N(H7)&gt;0,H7,1),"预算不足，这笔不做")),"")</f>
        <v/>
      </c>
      <c r="N7" s="36" t="n"/>
      <c r="O7" s="20" t="str">
        <f>IF(AND(ISNUMBER(I7),ISNUMBER(J7),ISNUMBER(N7)),IF(AND(I7&lt;&gt;J7,N7&gt;0),ABS(I7-J7)*N7*IF(N(G7)&gt;0,G7,1),""),"")</f>
        <v/>
      </c>
      <c r="P7" s="31" t="n"/>
      <c r="Q7" s="32" t="n"/>
      <c r="R7" s="37" t="str">
        <f>IF(N(U7)&gt;0,SUMPRODUCT(LARGE(('成交明细'!$A$5:$A$804=A7)*('成交明细'!$D$5:$D$804=IF(F7="空","卖","买"))*'成交明细'!$B$5:$B$804,COUNTIFS('成交明细'!$A$5:$A$804,A7,'成交明细'!$D$5:$D$804,IF(F7="空","卖","买")))),"")</f>
        <v/>
      </c>
      <c r="S7" s="37" t="str">
        <f>IF(AND(N(U7)&gt;0,N(W7)&gt;=N(U7)),SUMPRODUCT(MAX(('成交明细'!$A$5:$A$804=A7)*('成交明细'!$D$5:$D$804=IF(F7="空","买","卖"))*'成交明细'!$B$5:$B$804)),"")</f>
        <v/>
      </c>
      <c r="T7" s="38" t="str">
        <f>IF(N(U7)=0,"",IF(SUMPRODUCT(('成交明细'!$A$5:$A$804=A7)*('成交明细'!$D$5:$D$804=IF(F7="空","卖","买"))*ISNUMBER('成交明细'!$C$5:$C$804))=0,"没填时间",IFERROR(VLOOKUP(MOD(SUMPRODUCT(LARGE(('成交明细'!$A$5:$A$804=A7)*('成交明细'!$D$5:$D$804=IF(F7="空","卖","买"))*('成交明细'!$B$5:$B$804+'成交明细'!$C$5:$C$804),COUNTIFS('成交明细'!$A$5:$A$804,A7,'成交明细'!$D$5:$D$804,IF(F7="空","卖","买")))),1),'参数'!$B$39:$C$48,2,TRUE),"")))</f>
        <v/>
      </c>
      <c r="U7" s="35" t="str">
        <f>IF(A7="","",SUMIFS('成交明细'!$F$5:$F$804,'成交明细'!$A$5:$A$804,A7,'成交明细'!$D$5:$D$804,IF(F7="空","卖","买")))</f>
        <v/>
      </c>
      <c r="V7" s="39" t="str">
        <f>IF(N(U7)&gt;0,SUMIFS('成交明细'!$H$5:$H$804,'成交明细'!$A$5:$A$804,A7,'成交明细'!$D$5:$D$804,IF(F7="空","卖","买"))/U7,"")</f>
        <v/>
      </c>
      <c r="W7" s="35" t="str">
        <f>IF(A7="","",SUMIFS('成交明细'!$F$5:$F$804,'成交明细'!$A$5:$A$804,A7,'成交明细'!$D$5:$D$804,IF(F7="空","买","卖")))</f>
        <v/>
      </c>
      <c r="X7" s="39" t="str">
        <f>IF(N(W7)&gt;0,SUMIFS('成交明细'!$H$5:$H$804,'成交明细'!$A$5:$A$804,A7,'成交明细'!$D$5:$D$804,IF(F7="空","买","卖"))/W7,"")</f>
        <v/>
      </c>
      <c r="Y7" s="40" t="str">
        <f>IF(A7="","",IF(Q7&lt;&gt;"已执行",IF(Q7="","未填执行情况",Q7),IF(N(U7)=0,"待录成交",IF(N(W7)&gt;N(U7),"平仓多于开仓",IF(N(W7)&lt;N(U7),"持仓中","已平仓")))))</f>
        <v/>
      </c>
      <c r="Z7" s="41" t="str">
        <f>IF(N(U7)=0,"",SUMIFS('成交明细'!$L$5:$L$804,'成交明细'!$A$5:$A$804,A7))</f>
        <v/>
      </c>
      <c r="AA7" s="42" t="str">
        <f>IF(Y7&lt;&gt;"已平仓","",(SUMIFS('成交明细'!$H$5:$H$804,'成交明细'!$A$5:$A$804,A7,'成交明细'!$D$5:$D$804,"卖")-SUMIFS('成交明细'!$H$5:$H$804,'成交明细'!$A$5:$A$804,A7,'成交明细'!$D$5:$D$804,"买"))*IF(N(G7)&gt;0,G7,1)-Z7)</f>
        <v/>
      </c>
      <c r="AB7" s="43" t="str">
        <f>IF(AND(Y7="已平仓",ISNUMBER(O7)),(SUMIFS('成交明细'!$H$5:$H$804,'成交明细'!$A$5:$A$804,A7,'成交明细'!$D$5:$D$804,"卖")-SUMIFS('成交明细'!$H$5:$H$804,'成交明细'!$A$5:$A$804,A7,'成交明细'!$D$5:$D$804,"买"))*IF(N(G7)&gt;0,G7,1)/O7,"")</f>
        <v/>
      </c>
      <c r="AC7" s="43" t="str">
        <f>IF(AND(Y7="已平仓",ISNUMBER(O7)),AA7/O7,"")</f>
        <v/>
      </c>
      <c r="AD7" s="44" t="str">
        <f>IF(AND(ISNUMBER(V7),ISNUMBER(I7)),IF(F7="空",I7-V7,V7-I7),"")</f>
        <v/>
      </c>
      <c r="AE7" s="44" t="str">
        <f>IF(OR(NOT(ISNUMBER(AA7)),NOT(ISNUMBER(X7))),"",IF(AA7&lt;0,IF(F7="空",X7-J7,J7-X7),IF(NOT(ISNUMBER(K7)),"",IF(F7="空",X7-K7,K7-X7))))</f>
        <v/>
      </c>
      <c r="AF7" s="32" t="n"/>
      <c r="AG7" s="32" t="n"/>
      <c r="AH7" s="31" t="n"/>
      <c r="AI7" s="43" t="str">
        <f>IF(A7="","",SUM(AC$5:AC7))</f>
        <v/>
      </c>
      <c r="AJ7" s="45" t="str">
        <f>IF(A7="","",MAX(0,MAX(AI$5:AI7))-AI7)</f>
        <v/>
      </c>
    </row>
    <row r="8">
      <c r="A8" s="29" t="n"/>
      <c r="B8" s="30" t="n"/>
      <c r="C8" s="31" t="n"/>
      <c r="D8" s="32" t="n"/>
      <c r="E8" s="32" t="n"/>
      <c r="F8" s="32" t="n"/>
      <c r="G8" s="32" t="n"/>
      <c r="H8" s="32" t="n"/>
      <c r="I8" s="33" t="n"/>
      <c r="J8" s="33" t="n"/>
      <c r="K8" s="33" t="n"/>
      <c r="L8" s="34" t="str">
        <f>IF(AND(ISNUMBER(I8),ISNUMBER(J8),ISNUMBER(K8)),IF(OR(AND(F8="多",I8&gt;J8),AND(F8="空",I8&lt;J8)),ABS(K8-I8)/ABS(I8-J8),"止损方向不对"),"")</f>
        <v/>
      </c>
      <c r="M8" s="35" t="str">
        <f>IF(AND(ISNUMBER(I8),ISNUMBER(J8)),IF(I8=J8,"",IF(INT(ROUND('参数'!$C$7/(ABS(I8-J8)*IF(N(G8)&gt;0,G8,1)+2*(I8*IF(N(G8)&gt;0,G8,1)*'参数'!$C$12+'参数'!$C$13+'参数'!$C$14*IF(N(G8)&gt;0,G8,1)))/IF(N(H8)&gt;0,H8,1),6))*IF(N(H8)&gt;0,H8,1)&gt;0,INT(ROUND('参数'!$C$7/(ABS(I8-J8)*IF(N(G8)&gt;0,G8,1)+2*(I8*IF(N(G8)&gt;0,G8,1)*'参数'!$C$12+'参数'!$C$13+'参数'!$C$14*IF(N(G8)&gt;0,G8,1)))/IF(N(H8)&gt;0,H8,1),6))*IF(N(H8)&gt;0,H8,1),"预算不足，这笔不做")),"")</f>
        <v/>
      </c>
      <c r="N8" s="36" t="n"/>
      <c r="O8" s="20" t="str">
        <f>IF(AND(ISNUMBER(I8),ISNUMBER(J8),ISNUMBER(N8)),IF(AND(I8&lt;&gt;J8,N8&gt;0),ABS(I8-J8)*N8*IF(N(G8)&gt;0,G8,1),""),"")</f>
        <v/>
      </c>
      <c r="P8" s="31" t="n"/>
      <c r="Q8" s="32" t="n"/>
      <c r="R8" s="37" t="str">
        <f>IF(N(U8)&gt;0,SUMPRODUCT(LARGE(('成交明细'!$A$5:$A$804=A8)*('成交明细'!$D$5:$D$804=IF(F8="空","卖","买"))*'成交明细'!$B$5:$B$804,COUNTIFS('成交明细'!$A$5:$A$804,A8,'成交明细'!$D$5:$D$804,IF(F8="空","卖","买")))),"")</f>
        <v/>
      </c>
      <c r="S8" s="37" t="str">
        <f>IF(AND(N(U8)&gt;0,N(W8)&gt;=N(U8)),SUMPRODUCT(MAX(('成交明细'!$A$5:$A$804=A8)*('成交明细'!$D$5:$D$804=IF(F8="空","买","卖"))*'成交明细'!$B$5:$B$804)),"")</f>
        <v/>
      </c>
      <c r="T8" s="38" t="str">
        <f>IF(N(U8)=0,"",IF(SUMPRODUCT(('成交明细'!$A$5:$A$804=A8)*('成交明细'!$D$5:$D$804=IF(F8="空","卖","买"))*ISNUMBER('成交明细'!$C$5:$C$804))=0,"没填时间",IFERROR(VLOOKUP(MOD(SUMPRODUCT(LARGE(('成交明细'!$A$5:$A$804=A8)*('成交明细'!$D$5:$D$804=IF(F8="空","卖","买"))*('成交明细'!$B$5:$B$804+'成交明细'!$C$5:$C$804),COUNTIFS('成交明细'!$A$5:$A$804,A8,'成交明细'!$D$5:$D$804,IF(F8="空","卖","买")))),1),'参数'!$B$39:$C$48,2,TRUE),"")))</f>
        <v/>
      </c>
      <c r="U8" s="35" t="str">
        <f>IF(A8="","",SUMIFS('成交明细'!$F$5:$F$804,'成交明细'!$A$5:$A$804,A8,'成交明细'!$D$5:$D$804,IF(F8="空","卖","买")))</f>
        <v/>
      </c>
      <c r="V8" s="39" t="str">
        <f>IF(N(U8)&gt;0,SUMIFS('成交明细'!$H$5:$H$804,'成交明细'!$A$5:$A$804,A8,'成交明细'!$D$5:$D$804,IF(F8="空","卖","买"))/U8,"")</f>
        <v/>
      </c>
      <c r="W8" s="35" t="str">
        <f>IF(A8="","",SUMIFS('成交明细'!$F$5:$F$804,'成交明细'!$A$5:$A$804,A8,'成交明细'!$D$5:$D$804,IF(F8="空","买","卖")))</f>
        <v/>
      </c>
      <c r="X8" s="39" t="str">
        <f>IF(N(W8)&gt;0,SUMIFS('成交明细'!$H$5:$H$804,'成交明细'!$A$5:$A$804,A8,'成交明细'!$D$5:$D$804,IF(F8="空","买","卖"))/W8,"")</f>
        <v/>
      </c>
      <c r="Y8" s="40" t="str">
        <f>IF(A8="","",IF(Q8&lt;&gt;"已执行",IF(Q8="","未填执行情况",Q8),IF(N(U8)=0,"待录成交",IF(N(W8)&gt;N(U8),"平仓多于开仓",IF(N(W8)&lt;N(U8),"持仓中","已平仓")))))</f>
        <v/>
      </c>
      <c r="Z8" s="41" t="str">
        <f>IF(N(U8)=0,"",SUMIFS('成交明细'!$L$5:$L$804,'成交明细'!$A$5:$A$804,A8))</f>
        <v/>
      </c>
      <c r="AA8" s="42" t="str">
        <f>IF(Y8&lt;&gt;"已平仓","",(SUMIFS('成交明细'!$H$5:$H$804,'成交明细'!$A$5:$A$804,A8,'成交明细'!$D$5:$D$804,"卖")-SUMIFS('成交明细'!$H$5:$H$804,'成交明细'!$A$5:$A$804,A8,'成交明细'!$D$5:$D$804,"买"))*IF(N(G8)&gt;0,G8,1)-Z8)</f>
        <v/>
      </c>
      <c r="AB8" s="43" t="str">
        <f>IF(AND(Y8="已平仓",ISNUMBER(O8)),(SUMIFS('成交明细'!$H$5:$H$804,'成交明细'!$A$5:$A$804,A8,'成交明细'!$D$5:$D$804,"卖")-SUMIFS('成交明细'!$H$5:$H$804,'成交明细'!$A$5:$A$804,A8,'成交明细'!$D$5:$D$804,"买"))*IF(N(G8)&gt;0,G8,1)/O8,"")</f>
        <v/>
      </c>
      <c r="AC8" s="43" t="str">
        <f>IF(AND(Y8="已平仓",ISNUMBER(O8)),AA8/O8,"")</f>
        <v/>
      </c>
      <c r="AD8" s="44" t="str">
        <f>IF(AND(ISNUMBER(V8),ISNUMBER(I8)),IF(F8="空",I8-V8,V8-I8),"")</f>
        <v/>
      </c>
      <c r="AE8" s="44" t="str">
        <f>IF(OR(NOT(ISNUMBER(AA8)),NOT(ISNUMBER(X8))),"",IF(AA8&lt;0,IF(F8="空",X8-J8,J8-X8),IF(NOT(ISNUMBER(K8)),"",IF(F8="空",X8-K8,K8-X8))))</f>
        <v/>
      </c>
      <c r="AF8" s="32" t="n"/>
      <c r="AG8" s="32" t="n"/>
      <c r="AH8" s="31" t="n"/>
      <c r="AI8" s="43" t="str">
        <f>IF(A8="","",SUM(AC$5:AC8))</f>
        <v/>
      </c>
      <c r="AJ8" s="45" t="str">
        <f>IF(A8="","",MAX(0,MAX(AI$5:AI8))-AI8)</f>
        <v/>
      </c>
    </row>
    <row r="9">
      <c r="A9" s="29" t="n"/>
      <c r="B9" s="30" t="n"/>
      <c r="C9" s="31" t="n"/>
      <c r="D9" s="32" t="n"/>
      <c r="E9" s="32" t="n"/>
      <c r="F9" s="32" t="n"/>
      <c r="G9" s="32" t="n"/>
      <c r="H9" s="32" t="n"/>
      <c r="I9" s="33" t="n"/>
      <c r="J9" s="33" t="n"/>
      <c r="K9" s="33" t="n"/>
      <c r="L9" s="34" t="str">
        <f>IF(AND(ISNUMBER(I9),ISNUMBER(J9),ISNUMBER(K9)),IF(OR(AND(F9="多",I9&gt;J9),AND(F9="空",I9&lt;J9)),ABS(K9-I9)/ABS(I9-J9),"止损方向不对"),"")</f>
        <v/>
      </c>
      <c r="M9" s="35" t="str">
        <f>IF(AND(ISNUMBER(I9),ISNUMBER(J9)),IF(I9=J9,"",IF(INT(ROUND('参数'!$C$7/(ABS(I9-J9)*IF(N(G9)&gt;0,G9,1)+2*(I9*IF(N(G9)&gt;0,G9,1)*'参数'!$C$12+'参数'!$C$13+'参数'!$C$14*IF(N(G9)&gt;0,G9,1)))/IF(N(H9)&gt;0,H9,1),6))*IF(N(H9)&gt;0,H9,1)&gt;0,INT(ROUND('参数'!$C$7/(ABS(I9-J9)*IF(N(G9)&gt;0,G9,1)+2*(I9*IF(N(G9)&gt;0,G9,1)*'参数'!$C$12+'参数'!$C$13+'参数'!$C$14*IF(N(G9)&gt;0,G9,1)))/IF(N(H9)&gt;0,H9,1),6))*IF(N(H9)&gt;0,H9,1),"预算不足，这笔不做")),"")</f>
        <v/>
      </c>
      <c r="N9" s="36" t="n"/>
      <c r="O9" s="20" t="str">
        <f>IF(AND(ISNUMBER(I9),ISNUMBER(J9),ISNUMBER(N9)),IF(AND(I9&lt;&gt;J9,N9&gt;0),ABS(I9-J9)*N9*IF(N(G9)&gt;0,G9,1),""),"")</f>
        <v/>
      </c>
      <c r="P9" s="31" t="n"/>
      <c r="Q9" s="32" t="n"/>
      <c r="R9" s="37" t="str">
        <f>IF(N(U9)&gt;0,SUMPRODUCT(LARGE(('成交明细'!$A$5:$A$804=A9)*('成交明细'!$D$5:$D$804=IF(F9="空","卖","买"))*'成交明细'!$B$5:$B$804,COUNTIFS('成交明细'!$A$5:$A$804,A9,'成交明细'!$D$5:$D$804,IF(F9="空","卖","买")))),"")</f>
        <v/>
      </c>
      <c r="S9" s="37" t="str">
        <f>IF(AND(N(U9)&gt;0,N(W9)&gt;=N(U9)),SUMPRODUCT(MAX(('成交明细'!$A$5:$A$804=A9)*('成交明细'!$D$5:$D$804=IF(F9="空","买","卖"))*'成交明细'!$B$5:$B$804)),"")</f>
        <v/>
      </c>
      <c r="T9" s="38" t="str">
        <f>IF(N(U9)=0,"",IF(SUMPRODUCT(('成交明细'!$A$5:$A$804=A9)*('成交明细'!$D$5:$D$804=IF(F9="空","卖","买"))*ISNUMBER('成交明细'!$C$5:$C$804))=0,"没填时间",IFERROR(VLOOKUP(MOD(SUMPRODUCT(LARGE(('成交明细'!$A$5:$A$804=A9)*('成交明细'!$D$5:$D$804=IF(F9="空","卖","买"))*('成交明细'!$B$5:$B$804+'成交明细'!$C$5:$C$804),COUNTIFS('成交明细'!$A$5:$A$804,A9,'成交明细'!$D$5:$D$804,IF(F9="空","卖","买")))),1),'参数'!$B$39:$C$48,2,TRUE),"")))</f>
        <v/>
      </c>
      <c r="U9" s="35" t="str">
        <f>IF(A9="","",SUMIFS('成交明细'!$F$5:$F$804,'成交明细'!$A$5:$A$804,A9,'成交明细'!$D$5:$D$804,IF(F9="空","卖","买")))</f>
        <v/>
      </c>
      <c r="V9" s="39" t="str">
        <f>IF(N(U9)&gt;0,SUMIFS('成交明细'!$H$5:$H$804,'成交明细'!$A$5:$A$804,A9,'成交明细'!$D$5:$D$804,IF(F9="空","卖","买"))/U9,"")</f>
        <v/>
      </c>
      <c r="W9" s="35" t="str">
        <f>IF(A9="","",SUMIFS('成交明细'!$F$5:$F$804,'成交明细'!$A$5:$A$804,A9,'成交明细'!$D$5:$D$804,IF(F9="空","买","卖")))</f>
        <v/>
      </c>
      <c r="X9" s="39" t="str">
        <f>IF(N(W9)&gt;0,SUMIFS('成交明细'!$H$5:$H$804,'成交明细'!$A$5:$A$804,A9,'成交明细'!$D$5:$D$804,IF(F9="空","买","卖"))/W9,"")</f>
        <v/>
      </c>
      <c r="Y9" s="40" t="str">
        <f>IF(A9="","",IF(Q9&lt;&gt;"已执行",IF(Q9="","未填执行情况",Q9),IF(N(U9)=0,"待录成交",IF(N(W9)&gt;N(U9),"平仓多于开仓",IF(N(W9)&lt;N(U9),"持仓中","已平仓")))))</f>
        <v/>
      </c>
      <c r="Z9" s="41" t="str">
        <f>IF(N(U9)=0,"",SUMIFS('成交明细'!$L$5:$L$804,'成交明细'!$A$5:$A$804,A9))</f>
        <v/>
      </c>
      <c r="AA9" s="42" t="str">
        <f>IF(Y9&lt;&gt;"已平仓","",(SUMIFS('成交明细'!$H$5:$H$804,'成交明细'!$A$5:$A$804,A9,'成交明细'!$D$5:$D$804,"卖")-SUMIFS('成交明细'!$H$5:$H$804,'成交明细'!$A$5:$A$804,A9,'成交明细'!$D$5:$D$804,"买"))*IF(N(G9)&gt;0,G9,1)-Z9)</f>
        <v/>
      </c>
      <c r="AB9" s="43" t="str">
        <f>IF(AND(Y9="已平仓",ISNUMBER(O9)),(SUMIFS('成交明细'!$H$5:$H$804,'成交明细'!$A$5:$A$804,A9,'成交明细'!$D$5:$D$804,"卖")-SUMIFS('成交明细'!$H$5:$H$804,'成交明细'!$A$5:$A$804,A9,'成交明细'!$D$5:$D$804,"买"))*IF(N(G9)&gt;0,G9,1)/O9,"")</f>
        <v/>
      </c>
      <c r="AC9" s="43" t="str">
        <f>IF(AND(Y9="已平仓",ISNUMBER(O9)),AA9/O9,"")</f>
        <v/>
      </c>
      <c r="AD9" s="44" t="str">
        <f>IF(AND(ISNUMBER(V9),ISNUMBER(I9)),IF(F9="空",I9-V9,V9-I9),"")</f>
        <v/>
      </c>
      <c r="AE9" s="44" t="str">
        <f>IF(OR(NOT(ISNUMBER(AA9)),NOT(ISNUMBER(X9))),"",IF(AA9&lt;0,IF(F9="空",X9-J9,J9-X9),IF(NOT(ISNUMBER(K9)),"",IF(F9="空",X9-K9,K9-X9))))</f>
        <v/>
      </c>
      <c r="AF9" s="32" t="n"/>
      <c r="AG9" s="32" t="n"/>
      <c r="AH9" s="31" t="n"/>
      <c r="AI9" s="43" t="str">
        <f>IF(A9="","",SUM(AC$5:AC9))</f>
        <v/>
      </c>
      <c r="AJ9" s="45" t="str">
        <f>IF(A9="","",MAX(0,MAX(AI$5:AI9))-AI9)</f>
        <v/>
      </c>
    </row>
    <row r="10">
      <c r="A10" s="29" t="n"/>
      <c r="B10" s="30" t="n"/>
      <c r="C10" s="31" t="n"/>
      <c r="D10" s="32" t="n"/>
      <c r="E10" s="32" t="n"/>
      <c r="F10" s="32" t="n"/>
      <c r="G10" s="32" t="n"/>
      <c r="H10" s="32" t="n"/>
      <c r="I10" s="33" t="n"/>
      <c r="J10" s="33" t="n"/>
      <c r="K10" s="33" t="n"/>
      <c r="L10" s="34" t="str">
        <f>IF(AND(ISNUMBER(I10),ISNUMBER(J10),ISNUMBER(K10)),IF(OR(AND(F10="多",I10&gt;J10),AND(F10="空",I10&lt;J10)),ABS(K10-I10)/ABS(I10-J10),"止损方向不对"),"")</f>
        <v/>
      </c>
      <c r="M10" s="35" t="str">
        <f>IF(AND(ISNUMBER(I10),ISNUMBER(J10)),IF(I10=J10,"",IF(INT(ROUND('参数'!$C$7/(ABS(I10-J10)*IF(N(G10)&gt;0,G10,1)+2*(I10*IF(N(G10)&gt;0,G10,1)*'参数'!$C$12+'参数'!$C$13+'参数'!$C$14*IF(N(G10)&gt;0,G10,1)))/IF(N(H10)&gt;0,H10,1),6))*IF(N(H10)&gt;0,H10,1)&gt;0,INT(ROUND('参数'!$C$7/(ABS(I10-J10)*IF(N(G10)&gt;0,G10,1)+2*(I10*IF(N(G10)&gt;0,G10,1)*'参数'!$C$12+'参数'!$C$13+'参数'!$C$14*IF(N(G10)&gt;0,G10,1)))/IF(N(H10)&gt;0,H10,1),6))*IF(N(H10)&gt;0,H10,1),"预算不足，这笔不做")),"")</f>
        <v/>
      </c>
      <c r="N10" s="36" t="n"/>
      <c r="O10" s="20" t="str">
        <f>IF(AND(ISNUMBER(I10),ISNUMBER(J10),ISNUMBER(N10)),IF(AND(I10&lt;&gt;J10,N10&gt;0),ABS(I10-J10)*N10*IF(N(G10)&gt;0,G10,1),""),"")</f>
        <v/>
      </c>
      <c r="P10" s="31" t="n"/>
      <c r="Q10" s="32" t="n"/>
      <c r="R10" s="37" t="str">
        <f>IF(N(U10)&gt;0,SUMPRODUCT(LARGE(('成交明细'!$A$5:$A$804=A10)*('成交明细'!$D$5:$D$804=IF(F10="空","卖","买"))*'成交明细'!$B$5:$B$804,COUNTIFS('成交明细'!$A$5:$A$804,A10,'成交明细'!$D$5:$D$804,IF(F10="空","卖","买")))),"")</f>
        <v/>
      </c>
      <c r="S10" s="37" t="str">
        <f>IF(AND(N(U10)&gt;0,N(W10)&gt;=N(U10)),SUMPRODUCT(MAX(('成交明细'!$A$5:$A$804=A10)*('成交明细'!$D$5:$D$804=IF(F10="空","买","卖"))*'成交明细'!$B$5:$B$804)),"")</f>
        <v/>
      </c>
      <c r="T10" s="38" t="str">
        <f>IF(N(U10)=0,"",IF(SUMPRODUCT(('成交明细'!$A$5:$A$804=A10)*('成交明细'!$D$5:$D$804=IF(F10="空","卖","买"))*ISNUMBER('成交明细'!$C$5:$C$804))=0,"没填时间",IFERROR(VLOOKUP(MOD(SUMPRODUCT(LARGE(('成交明细'!$A$5:$A$804=A10)*('成交明细'!$D$5:$D$804=IF(F10="空","卖","买"))*('成交明细'!$B$5:$B$804+'成交明细'!$C$5:$C$804),COUNTIFS('成交明细'!$A$5:$A$804,A10,'成交明细'!$D$5:$D$804,IF(F10="空","卖","买")))),1),'参数'!$B$39:$C$48,2,TRUE),"")))</f>
        <v/>
      </c>
      <c r="U10" s="35" t="str">
        <f>IF(A10="","",SUMIFS('成交明细'!$F$5:$F$804,'成交明细'!$A$5:$A$804,A10,'成交明细'!$D$5:$D$804,IF(F10="空","卖","买")))</f>
        <v/>
      </c>
      <c r="V10" s="39" t="str">
        <f>IF(N(U10)&gt;0,SUMIFS('成交明细'!$H$5:$H$804,'成交明细'!$A$5:$A$804,A10,'成交明细'!$D$5:$D$804,IF(F10="空","卖","买"))/U10,"")</f>
        <v/>
      </c>
      <c r="W10" s="35" t="str">
        <f>IF(A10="","",SUMIFS('成交明细'!$F$5:$F$804,'成交明细'!$A$5:$A$804,A10,'成交明细'!$D$5:$D$804,IF(F10="空","买","卖")))</f>
        <v/>
      </c>
      <c r="X10" s="39" t="str">
        <f>IF(N(W10)&gt;0,SUMIFS('成交明细'!$H$5:$H$804,'成交明细'!$A$5:$A$804,A10,'成交明细'!$D$5:$D$804,IF(F10="空","买","卖"))/W10,"")</f>
        <v/>
      </c>
      <c r="Y10" s="40" t="str">
        <f>IF(A10="","",IF(Q10&lt;&gt;"已执行",IF(Q10="","未填执行情况",Q10),IF(N(U10)=0,"待录成交",IF(N(W10)&gt;N(U10),"平仓多于开仓",IF(N(W10)&lt;N(U10),"持仓中","已平仓")))))</f>
        <v/>
      </c>
      <c r="Z10" s="41" t="str">
        <f>IF(N(U10)=0,"",SUMIFS('成交明细'!$L$5:$L$804,'成交明细'!$A$5:$A$804,A10))</f>
        <v/>
      </c>
      <c r="AA10" s="42" t="str">
        <f>IF(Y10&lt;&gt;"已平仓","",(SUMIFS('成交明细'!$H$5:$H$804,'成交明细'!$A$5:$A$804,A10,'成交明细'!$D$5:$D$804,"卖")-SUMIFS('成交明细'!$H$5:$H$804,'成交明细'!$A$5:$A$804,A10,'成交明细'!$D$5:$D$804,"买"))*IF(N(G10)&gt;0,G10,1)-Z10)</f>
        <v/>
      </c>
      <c r="AB10" s="43" t="str">
        <f>IF(AND(Y10="已平仓",ISNUMBER(O10)),(SUMIFS('成交明细'!$H$5:$H$804,'成交明细'!$A$5:$A$804,A10,'成交明细'!$D$5:$D$804,"卖")-SUMIFS('成交明细'!$H$5:$H$804,'成交明细'!$A$5:$A$804,A10,'成交明细'!$D$5:$D$804,"买"))*IF(N(G10)&gt;0,G10,1)/O10,"")</f>
        <v/>
      </c>
      <c r="AC10" s="43" t="str">
        <f>IF(AND(Y10="已平仓",ISNUMBER(O10)),AA10/O10,"")</f>
        <v/>
      </c>
      <c r="AD10" s="44" t="str">
        <f>IF(AND(ISNUMBER(V10),ISNUMBER(I10)),IF(F10="空",I10-V10,V10-I10),"")</f>
        <v/>
      </c>
      <c r="AE10" s="44" t="str">
        <f>IF(OR(NOT(ISNUMBER(AA10)),NOT(ISNUMBER(X10))),"",IF(AA10&lt;0,IF(F10="空",X10-J10,J10-X10),IF(NOT(ISNUMBER(K10)),"",IF(F10="空",X10-K10,K10-X10))))</f>
        <v/>
      </c>
      <c r="AF10" s="32" t="n"/>
      <c r="AG10" s="32" t="n"/>
      <c r="AH10" s="31" t="n"/>
      <c r="AI10" s="43" t="str">
        <f>IF(A10="","",SUM(AC$5:AC10))</f>
        <v/>
      </c>
      <c r="AJ10" s="45" t="str">
        <f>IF(A10="","",MAX(0,MAX(AI$5:AI10))-AI10)</f>
        <v/>
      </c>
    </row>
    <row r="11">
      <c r="A11" s="29" t="n"/>
      <c r="B11" s="30" t="n"/>
      <c r="C11" s="31" t="n"/>
      <c r="D11" s="32" t="n"/>
      <c r="E11" s="32" t="n"/>
      <c r="F11" s="32" t="n"/>
      <c r="G11" s="32" t="n"/>
      <c r="H11" s="32" t="n"/>
      <c r="I11" s="33" t="n"/>
      <c r="J11" s="33" t="n"/>
      <c r="K11" s="33" t="n"/>
      <c r="L11" s="34" t="str">
        <f>IF(AND(ISNUMBER(I11),ISNUMBER(J11),ISNUMBER(K11)),IF(OR(AND(F11="多",I11&gt;J11),AND(F11="空",I11&lt;J11)),ABS(K11-I11)/ABS(I11-J11),"止损方向不对"),"")</f>
        <v/>
      </c>
      <c r="M11" s="35" t="str">
        <f>IF(AND(ISNUMBER(I11),ISNUMBER(J11)),IF(I11=J11,"",IF(INT(ROUND('参数'!$C$7/(ABS(I11-J11)*IF(N(G11)&gt;0,G11,1)+2*(I11*IF(N(G11)&gt;0,G11,1)*'参数'!$C$12+'参数'!$C$13+'参数'!$C$14*IF(N(G11)&gt;0,G11,1)))/IF(N(H11)&gt;0,H11,1),6))*IF(N(H11)&gt;0,H11,1)&gt;0,INT(ROUND('参数'!$C$7/(ABS(I11-J11)*IF(N(G11)&gt;0,G11,1)+2*(I11*IF(N(G11)&gt;0,G11,1)*'参数'!$C$12+'参数'!$C$13+'参数'!$C$14*IF(N(G11)&gt;0,G11,1)))/IF(N(H11)&gt;0,H11,1),6))*IF(N(H11)&gt;0,H11,1),"预算不足，这笔不做")),"")</f>
        <v/>
      </c>
      <c r="N11" s="36" t="n"/>
      <c r="O11" s="20" t="str">
        <f>IF(AND(ISNUMBER(I11),ISNUMBER(J11),ISNUMBER(N11)),IF(AND(I11&lt;&gt;J11,N11&gt;0),ABS(I11-J11)*N11*IF(N(G11)&gt;0,G11,1),""),"")</f>
        <v/>
      </c>
      <c r="P11" s="31" t="n"/>
      <c r="Q11" s="32" t="n"/>
      <c r="R11" s="37" t="str">
        <f>IF(N(U11)&gt;0,SUMPRODUCT(LARGE(('成交明细'!$A$5:$A$804=A11)*('成交明细'!$D$5:$D$804=IF(F11="空","卖","买"))*'成交明细'!$B$5:$B$804,COUNTIFS('成交明细'!$A$5:$A$804,A11,'成交明细'!$D$5:$D$804,IF(F11="空","卖","买")))),"")</f>
        <v/>
      </c>
      <c r="S11" s="37" t="str">
        <f>IF(AND(N(U11)&gt;0,N(W11)&gt;=N(U11)),SUMPRODUCT(MAX(('成交明细'!$A$5:$A$804=A11)*('成交明细'!$D$5:$D$804=IF(F11="空","买","卖"))*'成交明细'!$B$5:$B$804)),"")</f>
        <v/>
      </c>
      <c r="T11" s="38" t="str">
        <f>IF(N(U11)=0,"",IF(SUMPRODUCT(('成交明细'!$A$5:$A$804=A11)*('成交明细'!$D$5:$D$804=IF(F11="空","卖","买"))*ISNUMBER('成交明细'!$C$5:$C$804))=0,"没填时间",IFERROR(VLOOKUP(MOD(SUMPRODUCT(LARGE(('成交明细'!$A$5:$A$804=A11)*('成交明细'!$D$5:$D$804=IF(F11="空","卖","买"))*('成交明细'!$B$5:$B$804+'成交明细'!$C$5:$C$804),COUNTIFS('成交明细'!$A$5:$A$804,A11,'成交明细'!$D$5:$D$804,IF(F11="空","卖","买")))),1),'参数'!$B$39:$C$48,2,TRUE),"")))</f>
        <v/>
      </c>
      <c r="U11" s="35" t="str">
        <f>IF(A11="","",SUMIFS('成交明细'!$F$5:$F$804,'成交明细'!$A$5:$A$804,A11,'成交明细'!$D$5:$D$804,IF(F11="空","卖","买")))</f>
        <v/>
      </c>
      <c r="V11" s="39" t="str">
        <f>IF(N(U11)&gt;0,SUMIFS('成交明细'!$H$5:$H$804,'成交明细'!$A$5:$A$804,A11,'成交明细'!$D$5:$D$804,IF(F11="空","卖","买"))/U11,"")</f>
        <v/>
      </c>
      <c r="W11" s="35" t="str">
        <f>IF(A11="","",SUMIFS('成交明细'!$F$5:$F$804,'成交明细'!$A$5:$A$804,A11,'成交明细'!$D$5:$D$804,IF(F11="空","买","卖")))</f>
        <v/>
      </c>
      <c r="X11" s="39" t="str">
        <f>IF(N(W11)&gt;0,SUMIFS('成交明细'!$H$5:$H$804,'成交明细'!$A$5:$A$804,A11,'成交明细'!$D$5:$D$804,IF(F11="空","买","卖"))/W11,"")</f>
        <v/>
      </c>
      <c r="Y11" s="40" t="str">
        <f>IF(A11="","",IF(Q11&lt;&gt;"已执行",IF(Q11="","未填执行情况",Q11),IF(N(U11)=0,"待录成交",IF(N(W11)&gt;N(U11),"平仓多于开仓",IF(N(W11)&lt;N(U11),"持仓中","已平仓")))))</f>
        <v/>
      </c>
      <c r="Z11" s="41" t="str">
        <f>IF(N(U11)=0,"",SUMIFS('成交明细'!$L$5:$L$804,'成交明细'!$A$5:$A$804,A11))</f>
        <v/>
      </c>
      <c r="AA11" s="42" t="str">
        <f>IF(Y11&lt;&gt;"已平仓","",(SUMIFS('成交明细'!$H$5:$H$804,'成交明细'!$A$5:$A$804,A11,'成交明细'!$D$5:$D$804,"卖")-SUMIFS('成交明细'!$H$5:$H$804,'成交明细'!$A$5:$A$804,A11,'成交明细'!$D$5:$D$804,"买"))*IF(N(G11)&gt;0,G11,1)-Z11)</f>
        <v/>
      </c>
      <c r="AB11" s="43" t="str">
        <f>IF(AND(Y11="已平仓",ISNUMBER(O11)),(SUMIFS('成交明细'!$H$5:$H$804,'成交明细'!$A$5:$A$804,A11,'成交明细'!$D$5:$D$804,"卖")-SUMIFS('成交明细'!$H$5:$H$804,'成交明细'!$A$5:$A$804,A11,'成交明细'!$D$5:$D$804,"买"))*IF(N(G11)&gt;0,G11,1)/O11,"")</f>
        <v/>
      </c>
      <c r="AC11" s="43" t="str">
        <f>IF(AND(Y11="已平仓",ISNUMBER(O11)),AA11/O11,"")</f>
        <v/>
      </c>
      <c r="AD11" s="44" t="str">
        <f>IF(AND(ISNUMBER(V11),ISNUMBER(I11)),IF(F11="空",I11-V11,V11-I11),"")</f>
        <v/>
      </c>
      <c r="AE11" s="44" t="str">
        <f>IF(OR(NOT(ISNUMBER(AA11)),NOT(ISNUMBER(X11))),"",IF(AA11&lt;0,IF(F11="空",X11-J11,J11-X11),IF(NOT(ISNUMBER(K11)),"",IF(F11="空",X11-K11,K11-X11))))</f>
        <v/>
      </c>
      <c r="AF11" s="32" t="n"/>
      <c r="AG11" s="32" t="n"/>
      <c r="AH11" s="31" t="n"/>
      <c r="AI11" s="43" t="str">
        <f>IF(A11="","",SUM(AC$5:AC11))</f>
        <v/>
      </c>
      <c r="AJ11" s="45" t="str">
        <f>IF(A11="","",MAX(0,MAX(AI$5:AI11))-AI11)</f>
        <v/>
      </c>
    </row>
    <row r="12">
      <c r="A12" s="29" t="n"/>
      <c r="B12" s="30" t="n"/>
      <c r="C12" s="31" t="n"/>
      <c r="D12" s="32" t="n"/>
      <c r="E12" s="32" t="n"/>
      <c r="F12" s="32" t="n"/>
      <c r="G12" s="32" t="n"/>
      <c r="H12" s="32" t="n"/>
      <c r="I12" s="33" t="n"/>
      <c r="J12" s="33" t="n"/>
      <c r="K12" s="33" t="n"/>
      <c r="L12" s="34" t="str">
        <f>IF(AND(ISNUMBER(I12),ISNUMBER(J12),ISNUMBER(K12)),IF(OR(AND(F12="多",I12&gt;J12),AND(F12="空",I12&lt;J12)),ABS(K12-I12)/ABS(I12-J12),"止损方向不对"),"")</f>
        <v/>
      </c>
      <c r="M12" s="35" t="str">
        <f>IF(AND(ISNUMBER(I12),ISNUMBER(J12)),IF(I12=J12,"",IF(INT(ROUND('参数'!$C$7/(ABS(I12-J12)*IF(N(G12)&gt;0,G12,1)+2*(I12*IF(N(G12)&gt;0,G12,1)*'参数'!$C$12+'参数'!$C$13+'参数'!$C$14*IF(N(G12)&gt;0,G12,1)))/IF(N(H12)&gt;0,H12,1),6))*IF(N(H12)&gt;0,H12,1)&gt;0,INT(ROUND('参数'!$C$7/(ABS(I12-J12)*IF(N(G12)&gt;0,G12,1)+2*(I12*IF(N(G12)&gt;0,G12,1)*'参数'!$C$12+'参数'!$C$13+'参数'!$C$14*IF(N(G12)&gt;0,G12,1)))/IF(N(H12)&gt;0,H12,1),6))*IF(N(H12)&gt;0,H12,1),"预算不足，这笔不做")),"")</f>
        <v/>
      </c>
      <c r="N12" s="36" t="n"/>
      <c r="O12" s="20" t="str">
        <f>IF(AND(ISNUMBER(I12),ISNUMBER(J12),ISNUMBER(N12)),IF(AND(I12&lt;&gt;J12,N12&gt;0),ABS(I12-J12)*N12*IF(N(G12)&gt;0,G12,1),""),"")</f>
        <v/>
      </c>
      <c r="P12" s="31" t="n"/>
      <c r="Q12" s="32" t="n"/>
      <c r="R12" s="37" t="str">
        <f>IF(N(U12)&gt;0,SUMPRODUCT(LARGE(('成交明细'!$A$5:$A$804=A12)*('成交明细'!$D$5:$D$804=IF(F12="空","卖","买"))*'成交明细'!$B$5:$B$804,COUNTIFS('成交明细'!$A$5:$A$804,A12,'成交明细'!$D$5:$D$804,IF(F12="空","卖","买")))),"")</f>
        <v/>
      </c>
      <c r="S12" s="37" t="str">
        <f>IF(AND(N(U12)&gt;0,N(W12)&gt;=N(U12)),SUMPRODUCT(MAX(('成交明细'!$A$5:$A$804=A12)*('成交明细'!$D$5:$D$804=IF(F12="空","买","卖"))*'成交明细'!$B$5:$B$804)),"")</f>
        <v/>
      </c>
      <c r="T12" s="38" t="str">
        <f>IF(N(U12)=0,"",IF(SUMPRODUCT(('成交明细'!$A$5:$A$804=A12)*('成交明细'!$D$5:$D$804=IF(F12="空","卖","买"))*ISNUMBER('成交明细'!$C$5:$C$804))=0,"没填时间",IFERROR(VLOOKUP(MOD(SUMPRODUCT(LARGE(('成交明细'!$A$5:$A$804=A12)*('成交明细'!$D$5:$D$804=IF(F12="空","卖","买"))*('成交明细'!$B$5:$B$804+'成交明细'!$C$5:$C$804),COUNTIFS('成交明细'!$A$5:$A$804,A12,'成交明细'!$D$5:$D$804,IF(F12="空","卖","买")))),1),'参数'!$B$39:$C$48,2,TRUE),"")))</f>
        <v/>
      </c>
      <c r="U12" s="35" t="str">
        <f>IF(A12="","",SUMIFS('成交明细'!$F$5:$F$804,'成交明细'!$A$5:$A$804,A12,'成交明细'!$D$5:$D$804,IF(F12="空","卖","买")))</f>
        <v/>
      </c>
      <c r="V12" s="39" t="str">
        <f>IF(N(U12)&gt;0,SUMIFS('成交明细'!$H$5:$H$804,'成交明细'!$A$5:$A$804,A12,'成交明细'!$D$5:$D$804,IF(F12="空","卖","买"))/U12,"")</f>
        <v/>
      </c>
      <c r="W12" s="35" t="str">
        <f>IF(A12="","",SUMIFS('成交明细'!$F$5:$F$804,'成交明细'!$A$5:$A$804,A12,'成交明细'!$D$5:$D$804,IF(F12="空","买","卖")))</f>
        <v/>
      </c>
      <c r="X12" s="39" t="str">
        <f>IF(N(W12)&gt;0,SUMIFS('成交明细'!$H$5:$H$804,'成交明细'!$A$5:$A$804,A12,'成交明细'!$D$5:$D$804,IF(F12="空","买","卖"))/W12,"")</f>
        <v/>
      </c>
      <c r="Y12" s="40" t="str">
        <f>IF(A12="","",IF(Q12&lt;&gt;"已执行",IF(Q12="","未填执行情况",Q12),IF(N(U12)=0,"待录成交",IF(N(W12)&gt;N(U12),"平仓多于开仓",IF(N(W12)&lt;N(U12),"持仓中","已平仓")))))</f>
        <v/>
      </c>
      <c r="Z12" s="41" t="str">
        <f>IF(N(U12)=0,"",SUMIFS('成交明细'!$L$5:$L$804,'成交明细'!$A$5:$A$804,A12))</f>
        <v/>
      </c>
      <c r="AA12" s="42" t="str">
        <f>IF(Y12&lt;&gt;"已平仓","",(SUMIFS('成交明细'!$H$5:$H$804,'成交明细'!$A$5:$A$804,A12,'成交明细'!$D$5:$D$804,"卖")-SUMIFS('成交明细'!$H$5:$H$804,'成交明细'!$A$5:$A$804,A12,'成交明细'!$D$5:$D$804,"买"))*IF(N(G12)&gt;0,G12,1)-Z12)</f>
        <v/>
      </c>
      <c r="AB12" s="43" t="str">
        <f>IF(AND(Y12="已平仓",ISNUMBER(O12)),(SUMIFS('成交明细'!$H$5:$H$804,'成交明细'!$A$5:$A$804,A12,'成交明细'!$D$5:$D$804,"卖")-SUMIFS('成交明细'!$H$5:$H$804,'成交明细'!$A$5:$A$804,A12,'成交明细'!$D$5:$D$804,"买"))*IF(N(G12)&gt;0,G12,1)/O12,"")</f>
        <v/>
      </c>
      <c r="AC12" s="43" t="str">
        <f>IF(AND(Y12="已平仓",ISNUMBER(O12)),AA12/O12,"")</f>
        <v/>
      </c>
      <c r="AD12" s="44" t="str">
        <f>IF(AND(ISNUMBER(V12),ISNUMBER(I12)),IF(F12="空",I12-V12,V12-I12),"")</f>
        <v/>
      </c>
      <c r="AE12" s="44" t="str">
        <f>IF(OR(NOT(ISNUMBER(AA12)),NOT(ISNUMBER(X12))),"",IF(AA12&lt;0,IF(F12="空",X12-J12,J12-X12),IF(NOT(ISNUMBER(K12)),"",IF(F12="空",X12-K12,K12-X12))))</f>
        <v/>
      </c>
      <c r="AF12" s="32" t="n"/>
      <c r="AG12" s="32" t="n"/>
      <c r="AH12" s="31" t="n"/>
      <c r="AI12" s="43" t="str">
        <f>IF(A12="","",SUM(AC$5:AC12))</f>
        <v/>
      </c>
      <c r="AJ12" s="45" t="str">
        <f>IF(A12="","",MAX(0,MAX(AI$5:AI12))-AI12)</f>
        <v/>
      </c>
    </row>
    <row r="13">
      <c r="A13" s="29" t="n"/>
      <c r="B13" s="30" t="n"/>
      <c r="C13" s="31" t="n"/>
      <c r="D13" s="32" t="n"/>
      <c r="E13" s="32" t="n"/>
      <c r="F13" s="32" t="n"/>
      <c r="G13" s="32" t="n"/>
      <c r="H13" s="32" t="n"/>
      <c r="I13" s="33" t="n"/>
      <c r="J13" s="33" t="n"/>
      <c r="K13" s="33" t="n"/>
      <c r="L13" s="34" t="str">
        <f>IF(AND(ISNUMBER(I13),ISNUMBER(J13),ISNUMBER(K13)),IF(OR(AND(F13="多",I13&gt;J13),AND(F13="空",I13&lt;J13)),ABS(K13-I13)/ABS(I13-J13),"止损方向不对"),"")</f>
        <v/>
      </c>
      <c r="M13" s="35" t="str">
        <f>IF(AND(ISNUMBER(I13),ISNUMBER(J13)),IF(I13=J13,"",IF(INT(ROUND('参数'!$C$7/(ABS(I13-J13)*IF(N(G13)&gt;0,G13,1)+2*(I13*IF(N(G13)&gt;0,G13,1)*'参数'!$C$12+'参数'!$C$13+'参数'!$C$14*IF(N(G13)&gt;0,G13,1)))/IF(N(H13)&gt;0,H13,1),6))*IF(N(H13)&gt;0,H13,1)&gt;0,INT(ROUND('参数'!$C$7/(ABS(I13-J13)*IF(N(G13)&gt;0,G13,1)+2*(I13*IF(N(G13)&gt;0,G13,1)*'参数'!$C$12+'参数'!$C$13+'参数'!$C$14*IF(N(G13)&gt;0,G13,1)))/IF(N(H13)&gt;0,H13,1),6))*IF(N(H13)&gt;0,H13,1),"预算不足，这笔不做")),"")</f>
        <v/>
      </c>
      <c r="N13" s="36" t="n"/>
      <c r="O13" s="20" t="str">
        <f>IF(AND(ISNUMBER(I13),ISNUMBER(J13),ISNUMBER(N13)),IF(AND(I13&lt;&gt;J13,N13&gt;0),ABS(I13-J13)*N13*IF(N(G13)&gt;0,G13,1),""),"")</f>
        <v/>
      </c>
      <c r="P13" s="31" t="n"/>
      <c r="Q13" s="32" t="n"/>
      <c r="R13" s="37" t="str">
        <f>IF(N(U13)&gt;0,SUMPRODUCT(LARGE(('成交明细'!$A$5:$A$804=A13)*('成交明细'!$D$5:$D$804=IF(F13="空","卖","买"))*'成交明细'!$B$5:$B$804,COUNTIFS('成交明细'!$A$5:$A$804,A13,'成交明细'!$D$5:$D$804,IF(F13="空","卖","买")))),"")</f>
        <v/>
      </c>
      <c r="S13" s="37" t="str">
        <f>IF(AND(N(U13)&gt;0,N(W13)&gt;=N(U13)),SUMPRODUCT(MAX(('成交明细'!$A$5:$A$804=A13)*('成交明细'!$D$5:$D$804=IF(F13="空","买","卖"))*'成交明细'!$B$5:$B$804)),"")</f>
        <v/>
      </c>
      <c r="T13" s="38" t="str">
        <f>IF(N(U13)=0,"",IF(SUMPRODUCT(('成交明细'!$A$5:$A$804=A13)*('成交明细'!$D$5:$D$804=IF(F13="空","卖","买"))*ISNUMBER('成交明细'!$C$5:$C$804))=0,"没填时间",IFERROR(VLOOKUP(MOD(SUMPRODUCT(LARGE(('成交明细'!$A$5:$A$804=A13)*('成交明细'!$D$5:$D$804=IF(F13="空","卖","买"))*('成交明细'!$B$5:$B$804+'成交明细'!$C$5:$C$804),COUNTIFS('成交明细'!$A$5:$A$804,A13,'成交明细'!$D$5:$D$804,IF(F13="空","卖","买")))),1),'参数'!$B$39:$C$48,2,TRUE),"")))</f>
        <v/>
      </c>
      <c r="U13" s="35" t="str">
        <f>IF(A13="","",SUMIFS('成交明细'!$F$5:$F$804,'成交明细'!$A$5:$A$804,A13,'成交明细'!$D$5:$D$804,IF(F13="空","卖","买")))</f>
        <v/>
      </c>
      <c r="V13" s="39" t="str">
        <f>IF(N(U13)&gt;0,SUMIFS('成交明细'!$H$5:$H$804,'成交明细'!$A$5:$A$804,A13,'成交明细'!$D$5:$D$804,IF(F13="空","卖","买"))/U13,"")</f>
        <v/>
      </c>
      <c r="W13" s="35" t="str">
        <f>IF(A13="","",SUMIFS('成交明细'!$F$5:$F$804,'成交明细'!$A$5:$A$804,A13,'成交明细'!$D$5:$D$804,IF(F13="空","买","卖")))</f>
        <v/>
      </c>
      <c r="X13" s="39" t="str">
        <f>IF(N(W13)&gt;0,SUMIFS('成交明细'!$H$5:$H$804,'成交明细'!$A$5:$A$804,A13,'成交明细'!$D$5:$D$804,IF(F13="空","买","卖"))/W13,"")</f>
        <v/>
      </c>
      <c r="Y13" s="40" t="str">
        <f>IF(A13="","",IF(Q13&lt;&gt;"已执行",IF(Q13="","未填执行情况",Q13),IF(N(U13)=0,"待录成交",IF(N(W13)&gt;N(U13),"平仓多于开仓",IF(N(W13)&lt;N(U13),"持仓中","已平仓")))))</f>
        <v/>
      </c>
      <c r="Z13" s="41" t="str">
        <f>IF(N(U13)=0,"",SUMIFS('成交明细'!$L$5:$L$804,'成交明细'!$A$5:$A$804,A13))</f>
        <v/>
      </c>
      <c r="AA13" s="42" t="str">
        <f>IF(Y13&lt;&gt;"已平仓","",(SUMIFS('成交明细'!$H$5:$H$804,'成交明细'!$A$5:$A$804,A13,'成交明细'!$D$5:$D$804,"卖")-SUMIFS('成交明细'!$H$5:$H$804,'成交明细'!$A$5:$A$804,A13,'成交明细'!$D$5:$D$804,"买"))*IF(N(G13)&gt;0,G13,1)-Z13)</f>
        <v/>
      </c>
      <c r="AB13" s="43" t="str">
        <f>IF(AND(Y13="已平仓",ISNUMBER(O13)),(SUMIFS('成交明细'!$H$5:$H$804,'成交明细'!$A$5:$A$804,A13,'成交明细'!$D$5:$D$804,"卖")-SUMIFS('成交明细'!$H$5:$H$804,'成交明细'!$A$5:$A$804,A13,'成交明细'!$D$5:$D$804,"买"))*IF(N(G13)&gt;0,G13,1)/O13,"")</f>
        <v/>
      </c>
      <c r="AC13" s="43" t="str">
        <f>IF(AND(Y13="已平仓",ISNUMBER(O13)),AA13/O13,"")</f>
        <v/>
      </c>
      <c r="AD13" s="44" t="str">
        <f>IF(AND(ISNUMBER(V13),ISNUMBER(I13)),IF(F13="空",I13-V13,V13-I13),"")</f>
        <v/>
      </c>
      <c r="AE13" s="44" t="str">
        <f>IF(OR(NOT(ISNUMBER(AA13)),NOT(ISNUMBER(X13))),"",IF(AA13&lt;0,IF(F13="空",X13-J13,J13-X13),IF(NOT(ISNUMBER(K13)),"",IF(F13="空",X13-K13,K13-X13))))</f>
        <v/>
      </c>
      <c r="AF13" s="32" t="n"/>
      <c r="AG13" s="32" t="n"/>
      <c r="AH13" s="31" t="n"/>
      <c r="AI13" s="43" t="str">
        <f>IF(A13="","",SUM(AC$5:AC13))</f>
        <v/>
      </c>
      <c r="AJ13" s="45" t="str">
        <f>IF(A13="","",MAX(0,MAX(AI$5:AI13))-AI13)</f>
        <v/>
      </c>
    </row>
    <row r="14">
      <c r="A14" s="29" t="n"/>
      <c r="B14" s="30" t="n"/>
      <c r="C14" s="31" t="n"/>
      <c r="D14" s="32" t="n"/>
      <c r="E14" s="32" t="n"/>
      <c r="F14" s="32" t="n"/>
      <c r="G14" s="32" t="n"/>
      <c r="H14" s="32" t="n"/>
      <c r="I14" s="33" t="n"/>
      <c r="J14" s="33" t="n"/>
      <c r="K14" s="33" t="n"/>
      <c r="L14" s="34" t="str">
        <f>IF(AND(ISNUMBER(I14),ISNUMBER(J14),ISNUMBER(K14)),IF(OR(AND(F14="多",I14&gt;J14),AND(F14="空",I14&lt;J14)),ABS(K14-I14)/ABS(I14-J14),"止损方向不对"),"")</f>
        <v/>
      </c>
      <c r="M14" s="35" t="str">
        <f>IF(AND(ISNUMBER(I14),ISNUMBER(J14)),IF(I14=J14,"",IF(INT(ROUND('参数'!$C$7/(ABS(I14-J14)*IF(N(G14)&gt;0,G14,1)+2*(I14*IF(N(G14)&gt;0,G14,1)*'参数'!$C$12+'参数'!$C$13+'参数'!$C$14*IF(N(G14)&gt;0,G14,1)))/IF(N(H14)&gt;0,H14,1),6))*IF(N(H14)&gt;0,H14,1)&gt;0,INT(ROUND('参数'!$C$7/(ABS(I14-J14)*IF(N(G14)&gt;0,G14,1)+2*(I14*IF(N(G14)&gt;0,G14,1)*'参数'!$C$12+'参数'!$C$13+'参数'!$C$14*IF(N(G14)&gt;0,G14,1)))/IF(N(H14)&gt;0,H14,1),6))*IF(N(H14)&gt;0,H14,1),"预算不足，这笔不做")),"")</f>
        <v/>
      </c>
      <c r="N14" s="36" t="n"/>
      <c r="O14" s="20" t="str">
        <f>IF(AND(ISNUMBER(I14),ISNUMBER(J14),ISNUMBER(N14)),IF(AND(I14&lt;&gt;J14,N14&gt;0),ABS(I14-J14)*N14*IF(N(G14)&gt;0,G14,1),""),"")</f>
        <v/>
      </c>
      <c r="P14" s="31" t="n"/>
      <c r="Q14" s="32" t="n"/>
      <c r="R14" s="37" t="str">
        <f>IF(N(U14)&gt;0,SUMPRODUCT(LARGE(('成交明细'!$A$5:$A$804=A14)*('成交明细'!$D$5:$D$804=IF(F14="空","卖","买"))*'成交明细'!$B$5:$B$804,COUNTIFS('成交明细'!$A$5:$A$804,A14,'成交明细'!$D$5:$D$804,IF(F14="空","卖","买")))),"")</f>
        <v/>
      </c>
      <c r="S14" s="37" t="str">
        <f>IF(AND(N(U14)&gt;0,N(W14)&gt;=N(U14)),SUMPRODUCT(MAX(('成交明细'!$A$5:$A$804=A14)*('成交明细'!$D$5:$D$804=IF(F14="空","买","卖"))*'成交明细'!$B$5:$B$804)),"")</f>
        <v/>
      </c>
      <c r="T14" s="38" t="str">
        <f>IF(N(U14)=0,"",IF(SUMPRODUCT(('成交明细'!$A$5:$A$804=A14)*('成交明细'!$D$5:$D$804=IF(F14="空","卖","买"))*ISNUMBER('成交明细'!$C$5:$C$804))=0,"没填时间",IFERROR(VLOOKUP(MOD(SUMPRODUCT(LARGE(('成交明细'!$A$5:$A$804=A14)*('成交明细'!$D$5:$D$804=IF(F14="空","卖","买"))*('成交明细'!$B$5:$B$804+'成交明细'!$C$5:$C$804),COUNTIFS('成交明细'!$A$5:$A$804,A14,'成交明细'!$D$5:$D$804,IF(F14="空","卖","买")))),1),'参数'!$B$39:$C$48,2,TRUE),"")))</f>
        <v/>
      </c>
      <c r="U14" s="35" t="str">
        <f>IF(A14="","",SUMIFS('成交明细'!$F$5:$F$804,'成交明细'!$A$5:$A$804,A14,'成交明细'!$D$5:$D$804,IF(F14="空","卖","买")))</f>
        <v/>
      </c>
      <c r="V14" s="39" t="str">
        <f>IF(N(U14)&gt;0,SUMIFS('成交明细'!$H$5:$H$804,'成交明细'!$A$5:$A$804,A14,'成交明细'!$D$5:$D$804,IF(F14="空","卖","买"))/U14,"")</f>
        <v/>
      </c>
      <c r="W14" s="35" t="str">
        <f>IF(A14="","",SUMIFS('成交明细'!$F$5:$F$804,'成交明细'!$A$5:$A$804,A14,'成交明细'!$D$5:$D$804,IF(F14="空","买","卖")))</f>
        <v/>
      </c>
      <c r="X14" s="39" t="str">
        <f>IF(N(W14)&gt;0,SUMIFS('成交明细'!$H$5:$H$804,'成交明细'!$A$5:$A$804,A14,'成交明细'!$D$5:$D$804,IF(F14="空","买","卖"))/W14,"")</f>
        <v/>
      </c>
      <c r="Y14" s="40" t="str">
        <f>IF(A14="","",IF(Q14&lt;&gt;"已执行",IF(Q14="","未填执行情况",Q14),IF(N(U14)=0,"待录成交",IF(N(W14)&gt;N(U14),"平仓多于开仓",IF(N(W14)&lt;N(U14),"持仓中","已平仓")))))</f>
        <v/>
      </c>
      <c r="Z14" s="41" t="str">
        <f>IF(N(U14)=0,"",SUMIFS('成交明细'!$L$5:$L$804,'成交明细'!$A$5:$A$804,A14))</f>
        <v/>
      </c>
      <c r="AA14" s="42" t="str">
        <f>IF(Y14&lt;&gt;"已平仓","",(SUMIFS('成交明细'!$H$5:$H$804,'成交明细'!$A$5:$A$804,A14,'成交明细'!$D$5:$D$804,"卖")-SUMIFS('成交明细'!$H$5:$H$804,'成交明细'!$A$5:$A$804,A14,'成交明细'!$D$5:$D$804,"买"))*IF(N(G14)&gt;0,G14,1)-Z14)</f>
        <v/>
      </c>
      <c r="AB14" s="43" t="str">
        <f>IF(AND(Y14="已平仓",ISNUMBER(O14)),(SUMIFS('成交明细'!$H$5:$H$804,'成交明细'!$A$5:$A$804,A14,'成交明细'!$D$5:$D$804,"卖")-SUMIFS('成交明细'!$H$5:$H$804,'成交明细'!$A$5:$A$804,A14,'成交明细'!$D$5:$D$804,"买"))*IF(N(G14)&gt;0,G14,1)/O14,"")</f>
        <v/>
      </c>
      <c r="AC14" s="43" t="str">
        <f>IF(AND(Y14="已平仓",ISNUMBER(O14)),AA14/O14,"")</f>
        <v/>
      </c>
      <c r="AD14" s="44" t="str">
        <f>IF(AND(ISNUMBER(V14),ISNUMBER(I14)),IF(F14="空",I14-V14,V14-I14),"")</f>
        <v/>
      </c>
      <c r="AE14" s="44" t="str">
        <f>IF(OR(NOT(ISNUMBER(AA14)),NOT(ISNUMBER(X14))),"",IF(AA14&lt;0,IF(F14="空",X14-J14,J14-X14),IF(NOT(ISNUMBER(K14)),"",IF(F14="空",X14-K14,K14-X14))))</f>
        <v/>
      </c>
      <c r="AF14" s="32" t="n"/>
      <c r="AG14" s="32" t="n"/>
      <c r="AH14" s="31" t="n"/>
      <c r="AI14" s="43" t="str">
        <f>IF(A14="","",SUM(AC$5:AC14))</f>
        <v/>
      </c>
      <c r="AJ14" s="45" t="str">
        <f>IF(A14="","",MAX(0,MAX(AI$5:AI14))-AI14)</f>
        <v/>
      </c>
    </row>
    <row r="15">
      <c r="A15" s="29" t="n"/>
      <c r="B15" s="30" t="n"/>
      <c r="C15" s="31" t="n"/>
      <c r="D15" s="32" t="n"/>
      <c r="E15" s="32" t="n"/>
      <c r="F15" s="32" t="n"/>
      <c r="G15" s="32" t="n"/>
      <c r="H15" s="32" t="n"/>
      <c r="I15" s="33" t="n"/>
      <c r="J15" s="33" t="n"/>
      <c r="K15" s="33" t="n"/>
      <c r="L15" s="34" t="str">
        <f>IF(AND(ISNUMBER(I15),ISNUMBER(J15),ISNUMBER(K15)),IF(OR(AND(F15="多",I15&gt;J15),AND(F15="空",I15&lt;J15)),ABS(K15-I15)/ABS(I15-J15),"止损方向不对"),"")</f>
        <v/>
      </c>
      <c r="M15" s="35" t="str">
        <f>IF(AND(ISNUMBER(I15),ISNUMBER(J15)),IF(I15=J15,"",IF(INT(ROUND('参数'!$C$7/(ABS(I15-J15)*IF(N(G15)&gt;0,G15,1)+2*(I15*IF(N(G15)&gt;0,G15,1)*'参数'!$C$12+'参数'!$C$13+'参数'!$C$14*IF(N(G15)&gt;0,G15,1)))/IF(N(H15)&gt;0,H15,1),6))*IF(N(H15)&gt;0,H15,1)&gt;0,INT(ROUND('参数'!$C$7/(ABS(I15-J15)*IF(N(G15)&gt;0,G15,1)+2*(I15*IF(N(G15)&gt;0,G15,1)*'参数'!$C$12+'参数'!$C$13+'参数'!$C$14*IF(N(G15)&gt;0,G15,1)))/IF(N(H15)&gt;0,H15,1),6))*IF(N(H15)&gt;0,H15,1),"预算不足，这笔不做")),"")</f>
        <v/>
      </c>
      <c r="N15" s="36" t="n"/>
      <c r="O15" s="20" t="str">
        <f>IF(AND(ISNUMBER(I15),ISNUMBER(J15),ISNUMBER(N15)),IF(AND(I15&lt;&gt;J15,N15&gt;0),ABS(I15-J15)*N15*IF(N(G15)&gt;0,G15,1),""),"")</f>
        <v/>
      </c>
      <c r="P15" s="31" t="n"/>
      <c r="Q15" s="32" t="n"/>
      <c r="R15" s="37" t="str">
        <f>IF(N(U15)&gt;0,SUMPRODUCT(LARGE(('成交明细'!$A$5:$A$804=A15)*('成交明细'!$D$5:$D$804=IF(F15="空","卖","买"))*'成交明细'!$B$5:$B$804,COUNTIFS('成交明细'!$A$5:$A$804,A15,'成交明细'!$D$5:$D$804,IF(F15="空","卖","买")))),"")</f>
        <v/>
      </c>
      <c r="S15" s="37" t="str">
        <f>IF(AND(N(U15)&gt;0,N(W15)&gt;=N(U15)),SUMPRODUCT(MAX(('成交明细'!$A$5:$A$804=A15)*('成交明细'!$D$5:$D$804=IF(F15="空","买","卖"))*'成交明细'!$B$5:$B$804)),"")</f>
        <v/>
      </c>
      <c r="T15" s="38" t="str">
        <f>IF(N(U15)=0,"",IF(SUMPRODUCT(('成交明细'!$A$5:$A$804=A15)*('成交明细'!$D$5:$D$804=IF(F15="空","卖","买"))*ISNUMBER('成交明细'!$C$5:$C$804))=0,"没填时间",IFERROR(VLOOKUP(MOD(SUMPRODUCT(LARGE(('成交明细'!$A$5:$A$804=A15)*('成交明细'!$D$5:$D$804=IF(F15="空","卖","买"))*('成交明细'!$B$5:$B$804+'成交明细'!$C$5:$C$804),COUNTIFS('成交明细'!$A$5:$A$804,A15,'成交明细'!$D$5:$D$804,IF(F15="空","卖","买")))),1),'参数'!$B$39:$C$48,2,TRUE),"")))</f>
        <v/>
      </c>
      <c r="U15" s="35" t="str">
        <f>IF(A15="","",SUMIFS('成交明细'!$F$5:$F$804,'成交明细'!$A$5:$A$804,A15,'成交明细'!$D$5:$D$804,IF(F15="空","卖","买")))</f>
        <v/>
      </c>
      <c r="V15" s="39" t="str">
        <f>IF(N(U15)&gt;0,SUMIFS('成交明细'!$H$5:$H$804,'成交明细'!$A$5:$A$804,A15,'成交明细'!$D$5:$D$804,IF(F15="空","卖","买"))/U15,"")</f>
        <v/>
      </c>
      <c r="W15" s="35" t="str">
        <f>IF(A15="","",SUMIFS('成交明细'!$F$5:$F$804,'成交明细'!$A$5:$A$804,A15,'成交明细'!$D$5:$D$804,IF(F15="空","买","卖")))</f>
        <v/>
      </c>
      <c r="X15" s="39" t="str">
        <f>IF(N(W15)&gt;0,SUMIFS('成交明细'!$H$5:$H$804,'成交明细'!$A$5:$A$804,A15,'成交明细'!$D$5:$D$804,IF(F15="空","买","卖"))/W15,"")</f>
        <v/>
      </c>
      <c r="Y15" s="40" t="str">
        <f>IF(A15="","",IF(Q15&lt;&gt;"已执行",IF(Q15="","未填执行情况",Q15),IF(N(U15)=0,"待录成交",IF(N(W15)&gt;N(U15),"平仓多于开仓",IF(N(W15)&lt;N(U15),"持仓中","已平仓")))))</f>
        <v/>
      </c>
      <c r="Z15" s="41" t="str">
        <f>IF(N(U15)=0,"",SUMIFS('成交明细'!$L$5:$L$804,'成交明细'!$A$5:$A$804,A15))</f>
        <v/>
      </c>
      <c r="AA15" s="42" t="str">
        <f>IF(Y15&lt;&gt;"已平仓","",(SUMIFS('成交明细'!$H$5:$H$804,'成交明细'!$A$5:$A$804,A15,'成交明细'!$D$5:$D$804,"卖")-SUMIFS('成交明细'!$H$5:$H$804,'成交明细'!$A$5:$A$804,A15,'成交明细'!$D$5:$D$804,"买"))*IF(N(G15)&gt;0,G15,1)-Z15)</f>
        <v/>
      </c>
      <c r="AB15" s="43" t="str">
        <f>IF(AND(Y15="已平仓",ISNUMBER(O15)),(SUMIFS('成交明细'!$H$5:$H$804,'成交明细'!$A$5:$A$804,A15,'成交明细'!$D$5:$D$804,"卖")-SUMIFS('成交明细'!$H$5:$H$804,'成交明细'!$A$5:$A$804,A15,'成交明细'!$D$5:$D$804,"买"))*IF(N(G15)&gt;0,G15,1)/O15,"")</f>
        <v/>
      </c>
      <c r="AC15" s="43" t="str">
        <f>IF(AND(Y15="已平仓",ISNUMBER(O15)),AA15/O15,"")</f>
        <v/>
      </c>
      <c r="AD15" s="44" t="str">
        <f>IF(AND(ISNUMBER(V15),ISNUMBER(I15)),IF(F15="空",I15-V15,V15-I15),"")</f>
        <v/>
      </c>
      <c r="AE15" s="44" t="str">
        <f>IF(OR(NOT(ISNUMBER(AA15)),NOT(ISNUMBER(X15))),"",IF(AA15&lt;0,IF(F15="空",X15-J15,J15-X15),IF(NOT(ISNUMBER(K15)),"",IF(F15="空",X15-K15,K15-X15))))</f>
        <v/>
      </c>
      <c r="AF15" s="32" t="n"/>
      <c r="AG15" s="32" t="n"/>
      <c r="AH15" s="31" t="n"/>
      <c r="AI15" s="43" t="str">
        <f>IF(A15="","",SUM(AC$5:AC15))</f>
        <v/>
      </c>
      <c r="AJ15" s="45" t="str">
        <f>IF(A15="","",MAX(0,MAX(AI$5:AI15))-AI15)</f>
        <v/>
      </c>
    </row>
    <row r="16">
      <c r="A16" s="29" t="n"/>
      <c r="B16" s="30" t="n"/>
      <c r="C16" s="31" t="n"/>
      <c r="D16" s="32" t="n"/>
      <c r="E16" s="32" t="n"/>
      <c r="F16" s="32" t="n"/>
      <c r="G16" s="32" t="n"/>
      <c r="H16" s="32" t="n"/>
      <c r="I16" s="33" t="n"/>
      <c r="J16" s="33" t="n"/>
      <c r="K16" s="33" t="n"/>
      <c r="L16" s="34" t="str">
        <f>IF(AND(ISNUMBER(I16),ISNUMBER(J16),ISNUMBER(K16)),IF(OR(AND(F16="多",I16&gt;J16),AND(F16="空",I16&lt;J16)),ABS(K16-I16)/ABS(I16-J16),"止损方向不对"),"")</f>
        <v/>
      </c>
      <c r="M16" s="35" t="str">
        <f>IF(AND(ISNUMBER(I16),ISNUMBER(J16)),IF(I16=J16,"",IF(INT(ROUND('参数'!$C$7/(ABS(I16-J16)*IF(N(G16)&gt;0,G16,1)+2*(I16*IF(N(G16)&gt;0,G16,1)*'参数'!$C$12+'参数'!$C$13+'参数'!$C$14*IF(N(G16)&gt;0,G16,1)))/IF(N(H16)&gt;0,H16,1),6))*IF(N(H16)&gt;0,H16,1)&gt;0,INT(ROUND('参数'!$C$7/(ABS(I16-J16)*IF(N(G16)&gt;0,G16,1)+2*(I16*IF(N(G16)&gt;0,G16,1)*'参数'!$C$12+'参数'!$C$13+'参数'!$C$14*IF(N(G16)&gt;0,G16,1)))/IF(N(H16)&gt;0,H16,1),6))*IF(N(H16)&gt;0,H16,1),"预算不足，这笔不做")),"")</f>
        <v/>
      </c>
      <c r="N16" s="36" t="n"/>
      <c r="O16" s="20" t="str">
        <f>IF(AND(ISNUMBER(I16),ISNUMBER(J16),ISNUMBER(N16)),IF(AND(I16&lt;&gt;J16,N16&gt;0),ABS(I16-J16)*N16*IF(N(G16)&gt;0,G16,1),""),"")</f>
        <v/>
      </c>
      <c r="P16" s="31" t="n"/>
      <c r="Q16" s="32" t="n"/>
      <c r="R16" s="37" t="str">
        <f>IF(N(U16)&gt;0,SUMPRODUCT(LARGE(('成交明细'!$A$5:$A$804=A16)*('成交明细'!$D$5:$D$804=IF(F16="空","卖","买"))*'成交明细'!$B$5:$B$804,COUNTIFS('成交明细'!$A$5:$A$804,A16,'成交明细'!$D$5:$D$804,IF(F16="空","卖","买")))),"")</f>
        <v/>
      </c>
      <c r="S16" s="37" t="str">
        <f>IF(AND(N(U16)&gt;0,N(W16)&gt;=N(U16)),SUMPRODUCT(MAX(('成交明细'!$A$5:$A$804=A16)*('成交明细'!$D$5:$D$804=IF(F16="空","买","卖"))*'成交明细'!$B$5:$B$804)),"")</f>
        <v/>
      </c>
      <c r="T16" s="38" t="str">
        <f>IF(N(U16)=0,"",IF(SUMPRODUCT(('成交明细'!$A$5:$A$804=A16)*('成交明细'!$D$5:$D$804=IF(F16="空","卖","买"))*ISNUMBER('成交明细'!$C$5:$C$804))=0,"没填时间",IFERROR(VLOOKUP(MOD(SUMPRODUCT(LARGE(('成交明细'!$A$5:$A$804=A16)*('成交明细'!$D$5:$D$804=IF(F16="空","卖","买"))*('成交明细'!$B$5:$B$804+'成交明细'!$C$5:$C$804),COUNTIFS('成交明细'!$A$5:$A$804,A16,'成交明细'!$D$5:$D$804,IF(F16="空","卖","买")))),1),'参数'!$B$39:$C$48,2,TRUE),"")))</f>
        <v/>
      </c>
      <c r="U16" s="35" t="str">
        <f>IF(A16="","",SUMIFS('成交明细'!$F$5:$F$804,'成交明细'!$A$5:$A$804,A16,'成交明细'!$D$5:$D$804,IF(F16="空","卖","买")))</f>
        <v/>
      </c>
      <c r="V16" s="39" t="str">
        <f>IF(N(U16)&gt;0,SUMIFS('成交明细'!$H$5:$H$804,'成交明细'!$A$5:$A$804,A16,'成交明细'!$D$5:$D$804,IF(F16="空","卖","买"))/U16,"")</f>
        <v/>
      </c>
      <c r="W16" s="35" t="str">
        <f>IF(A16="","",SUMIFS('成交明细'!$F$5:$F$804,'成交明细'!$A$5:$A$804,A16,'成交明细'!$D$5:$D$804,IF(F16="空","买","卖")))</f>
        <v/>
      </c>
      <c r="X16" s="39" t="str">
        <f>IF(N(W16)&gt;0,SUMIFS('成交明细'!$H$5:$H$804,'成交明细'!$A$5:$A$804,A16,'成交明细'!$D$5:$D$804,IF(F16="空","买","卖"))/W16,"")</f>
        <v/>
      </c>
      <c r="Y16" s="40" t="str">
        <f>IF(A16="","",IF(Q16&lt;&gt;"已执行",IF(Q16="","未填执行情况",Q16),IF(N(U16)=0,"待录成交",IF(N(W16)&gt;N(U16),"平仓多于开仓",IF(N(W16)&lt;N(U16),"持仓中","已平仓")))))</f>
        <v/>
      </c>
      <c r="Z16" s="41" t="str">
        <f>IF(N(U16)=0,"",SUMIFS('成交明细'!$L$5:$L$804,'成交明细'!$A$5:$A$804,A16))</f>
        <v/>
      </c>
      <c r="AA16" s="42" t="str">
        <f>IF(Y16&lt;&gt;"已平仓","",(SUMIFS('成交明细'!$H$5:$H$804,'成交明细'!$A$5:$A$804,A16,'成交明细'!$D$5:$D$804,"卖")-SUMIFS('成交明细'!$H$5:$H$804,'成交明细'!$A$5:$A$804,A16,'成交明细'!$D$5:$D$804,"买"))*IF(N(G16)&gt;0,G16,1)-Z16)</f>
        <v/>
      </c>
      <c r="AB16" s="43" t="str">
        <f>IF(AND(Y16="已平仓",ISNUMBER(O16)),(SUMIFS('成交明细'!$H$5:$H$804,'成交明细'!$A$5:$A$804,A16,'成交明细'!$D$5:$D$804,"卖")-SUMIFS('成交明细'!$H$5:$H$804,'成交明细'!$A$5:$A$804,A16,'成交明细'!$D$5:$D$804,"买"))*IF(N(G16)&gt;0,G16,1)/O16,"")</f>
        <v/>
      </c>
      <c r="AC16" s="43" t="str">
        <f>IF(AND(Y16="已平仓",ISNUMBER(O16)),AA16/O16,"")</f>
        <v/>
      </c>
      <c r="AD16" s="44" t="str">
        <f>IF(AND(ISNUMBER(V16),ISNUMBER(I16)),IF(F16="空",I16-V16,V16-I16),"")</f>
        <v/>
      </c>
      <c r="AE16" s="44" t="str">
        <f>IF(OR(NOT(ISNUMBER(AA16)),NOT(ISNUMBER(X16))),"",IF(AA16&lt;0,IF(F16="空",X16-J16,J16-X16),IF(NOT(ISNUMBER(K16)),"",IF(F16="空",X16-K16,K16-X16))))</f>
        <v/>
      </c>
      <c r="AF16" s="32" t="n"/>
      <c r="AG16" s="32" t="n"/>
      <c r="AH16" s="31" t="n"/>
      <c r="AI16" s="43" t="str">
        <f>IF(A16="","",SUM(AC$5:AC16))</f>
        <v/>
      </c>
      <c r="AJ16" s="45" t="str">
        <f>IF(A16="","",MAX(0,MAX(AI$5:AI16))-AI16)</f>
        <v/>
      </c>
    </row>
    <row r="17">
      <c r="A17" s="29" t="n"/>
      <c r="B17" s="30" t="n"/>
      <c r="C17" s="31" t="n"/>
      <c r="D17" s="32" t="n"/>
      <c r="E17" s="32" t="n"/>
      <c r="F17" s="32" t="n"/>
      <c r="G17" s="32" t="n"/>
      <c r="H17" s="32" t="n"/>
      <c r="I17" s="33" t="n"/>
      <c r="J17" s="33" t="n"/>
      <c r="K17" s="33" t="n"/>
      <c r="L17" s="34" t="str">
        <f>IF(AND(ISNUMBER(I17),ISNUMBER(J17),ISNUMBER(K17)),IF(OR(AND(F17="多",I17&gt;J17),AND(F17="空",I17&lt;J17)),ABS(K17-I17)/ABS(I17-J17),"止损方向不对"),"")</f>
        <v/>
      </c>
      <c r="M17" s="35" t="str">
        <f>IF(AND(ISNUMBER(I17),ISNUMBER(J17)),IF(I17=J17,"",IF(INT(ROUND('参数'!$C$7/(ABS(I17-J17)*IF(N(G17)&gt;0,G17,1)+2*(I17*IF(N(G17)&gt;0,G17,1)*'参数'!$C$12+'参数'!$C$13+'参数'!$C$14*IF(N(G17)&gt;0,G17,1)))/IF(N(H17)&gt;0,H17,1),6))*IF(N(H17)&gt;0,H17,1)&gt;0,INT(ROUND('参数'!$C$7/(ABS(I17-J17)*IF(N(G17)&gt;0,G17,1)+2*(I17*IF(N(G17)&gt;0,G17,1)*'参数'!$C$12+'参数'!$C$13+'参数'!$C$14*IF(N(G17)&gt;0,G17,1)))/IF(N(H17)&gt;0,H17,1),6))*IF(N(H17)&gt;0,H17,1),"预算不足，这笔不做")),"")</f>
        <v/>
      </c>
      <c r="N17" s="36" t="n"/>
      <c r="O17" s="20" t="str">
        <f>IF(AND(ISNUMBER(I17),ISNUMBER(J17),ISNUMBER(N17)),IF(AND(I17&lt;&gt;J17,N17&gt;0),ABS(I17-J17)*N17*IF(N(G17)&gt;0,G17,1),""),"")</f>
        <v/>
      </c>
      <c r="P17" s="31" t="n"/>
      <c r="Q17" s="32" t="n"/>
      <c r="R17" s="37" t="str">
        <f>IF(N(U17)&gt;0,SUMPRODUCT(LARGE(('成交明细'!$A$5:$A$804=A17)*('成交明细'!$D$5:$D$804=IF(F17="空","卖","买"))*'成交明细'!$B$5:$B$804,COUNTIFS('成交明细'!$A$5:$A$804,A17,'成交明细'!$D$5:$D$804,IF(F17="空","卖","买")))),"")</f>
        <v/>
      </c>
      <c r="S17" s="37" t="str">
        <f>IF(AND(N(U17)&gt;0,N(W17)&gt;=N(U17)),SUMPRODUCT(MAX(('成交明细'!$A$5:$A$804=A17)*('成交明细'!$D$5:$D$804=IF(F17="空","买","卖"))*'成交明细'!$B$5:$B$804)),"")</f>
        <v/>
      </c>
      <c r="T17" s="38" t="str">
        <f>IF(N(U17)=0,"",IF(SUMPRODUCT(('成交明细'!$A$5:$A$804=A17)*('成交明细'!$D$5:$D$804=IF(F17="空","卖","买"))*ISNUMBER('成交明细'!$C$5:$C$804))=0,"没填时间",IFERROR(VLOOKUP(MOD(SUMPRODUCT(LARGE(('成交明细'!$A$5:$A$804=A17)*('成交明细'!$D$5:$D$804=IF(F17="空","卖","买"))*('成交明细'!$B$5:$B$804+'成交明细'!$C$5:$C$804),COUNTIFS('成交明细'!$A$5:$A$804,A17,'成交明细'!$D$5:$D$804,IF(F17="空","卖","买")))),1),'参数'!$B$39:$C$48,2,TRUE),"")))</f>
        <v/>
      </c>
      <c r="U17" s="35" t="str">
        <f>IF(A17="","",SUMIFS('成交明细'!$F$5:$F$804,'成交明细'!$A$5:$A$804,A17,'成交明细'!$D$5:$D$804,IF(F17="空","卖","买")))</f>
        <v/>
      </c>
      <c r="V17" s="39" t="str">
        <f>IF(N(U17)&gt;0,SUMIFS('成交明细'!$H$5:$H$804,'成交明细'!$A$5:$A$804,A17,'成交明细'!$D$5:$D$804,IF(F17="空","卖","买"))/U17,"")</f>
        <v/>
      </c>
      <c r="W17" s="35" t="str">
        <f>IF(A17="","",SUMIFS('成交明细'!$F$5:$F$804,'成交明细'!$A$5:$A$804,A17,'成交明细'!$D$5:$D$804,IF(F17="空","买","卖")))</f>
        <v/>
      </c>
      <c r="X17" s="39" t="str">
        <f>IF(N(W17)&gt;0,SUMIFS('成交明细'!$H$5:$H$804,'成交明细'!$A$5:$A$804,A17,'成交明细'!$D$5:$D$804,IF(F17="空","买","卖"))/W17,"")</f>
        <v/>
      </c>
      <c r="Y17" s="40" t="str">
        <f>IF(A17="","",IF(Q17&lt;&gt;"已执行",IF(Q17="","未填执行情况",Q17),IF(N(U17)=0,"待录成交",IF(N(W17)&gt;N(U17),"平仓多于开仓",IF(N(W17)&lt;N(U17),"持仓中","已平仓")))))</f>
        <v/>
      </c>
      <c r="Z17" s="41" t="str">
        <f>IF(N(U17)=0,"",SUMIFS('成交明细'!$L$5:$L$804,'成交明细'!$A$5:$A$804,A17))</f>
        <v/>
      </c>
      <c r="AA17" s="42" t="str">
        <f>IF(Y17&lt;&gt;"已平仓","",(SUMIFS('成交明细'!$H$5:$H$804,'成交明细'!$A$5:$A$804,A17,'成交明细'!$D$5:$D$804,"卖")-SUMIFS('成交明细'!$H$5:$H$804,'成交明细'!$A$5:$A$804,A17,'成交明细'!$D$5:$D$804,"买"))*IF(N(G17)&gt;0,G17,1)-Z17)</f>
        <v/>
      </c>
      <c r="AB17" s="43" t="str">
        <f>IF(AND(Y17="已平仓",ISNUMBER(O17)),(SUMIFS('成交明细'!$H$5:$H$804,'成交明细'!$A$5:$A$804,A17,'成交明细'!$D$5:$D$804,"卖")-SUMIFS('成交明细'!$H$5:$H$804,'成交明细'!$A$5:$A$804,A17,'成交明细'!$D$5:$D$804,"买"))*IF(N(G17)&gt;0,G17,1)/O17,"")</f>
        <v/>
      </c>
      <c r="AC17" s="43" t="str">
        <f>IF(AND(Y17="已平仓",ISNUMBER(O17)),AA17/O17,"")</f>
        <v/>
      </c>
      <c r="AD17" s="44" t="str">
        <f>IF(AND(ISNUMBER(V17),ISNUMBER(I17)),IF(F17="空",I17-V17,V17-I17),"")</f>
        <v/>
      </c>
      <c r="AE17" s="44" t="str">
        <f>IF(OR(NOT(ISNUMBER(AA17)),NOT(ISNUMBER(X17))),"",IF(AA17&lt;0,IF(F17="空",X17-J17,J17-X17),IF(NOT(ISNUMBER(K17)),"",IF(F17="空",X17-K17,K17-X17))))</f>
        <v/>
      </c>
      <c r="AF17" s="32" t="n"/>
      <c r="AG17" s="32" t="n"/>
      <c r="AH17" s="31" t="n"/>
      <c r="AI17" s="43" t="str">
        <f>IF(A17="","",SUM(AC$5:AC17))</f>
        <v/>
      </c>
      <c r="AJ17" s="45" t="str">
        <f>IF(A17="","",MAX(0,MAX(AI$5:AI17))-AI17)</f>
        <v/>
      </c>
    </row>
    <row r="18">
      <c r="A18" s="29" t="n"/>
      <c r="B18" s="30" t="n"/>
      <c r="C18" s="31" t="n"/>
      <c r="D18" s="32" t="n"/>
      <c r="E18" s="32" t="n"/>
      <c r="F18" s="32" t="n"/>
      <c r="G18" s="32" t="n"/>
      <c r="H18" s="32" t="n"/>
      <c r="I18" s="33" t="n"/>
      <c r="J18" s="33" t="n"/>
      <c r="K18" s="33" t="n"/>
      <c r="L18" s="34" t="str">
        <f>IF(AND(ISNUMBER(I18),ISNUMBER(J18),ISNUMBER(K18)),IF(OR(AND(F18="多",I18&gt;J18),AND(F18="空",I18&lt;J18)),ABS(K18-I18)/ABS(I18-J18),"止损方向不对"),"")</f>
        <v/>
      </c>
      <c r="M18" s="35" t="str">
        <f>IF(AND(ISNUMBER(I18),ISNUMBER(J18)),IF(I18=J18,"",IF(INT(ROUND('参数'!$C$7/(ABS(I18-J18)*IF(N(G18)&gt;0,G18,1)+2*(I18*IF(N(G18)&gt;0,G18,1)*'参数'!$C$12+'参数'!$C$13+'参数'!$C$14*IF(N(G18)&gt;0,G18,1)))/IF(N(H18)&gt;0,H18,1),6))*IF(N(H18)&gt;0,H18,1)&gt;0,INT(ROUND('参数'!$C$7/(ABS(I18-J18)*IF(N(G18)&gt;0,G18,1)+2*(I18*IF(N(G18)&gt;0,G18,1)*'参数'!$C$12+'参数'!$C$13+'参数'!$C$14*IF(N(G18)&gt;0,G18,1)))/IF(N(H18)&gt;0,H18,1),6))*IF(N(H18)&gt;0,H18,1),"预算不足，这笔不做")),"")</f>
        <v/>
      </c>
      <c r="N18" s="36" t="n"/>
      <c r="O18" s="20" t="str">
        <f>IF(AND(ISNUMBER(I18),ISNUMBER(J18),ISNUMBER(N18)),IF(AND(I18&lt;&gt;J18,N18&gt;0),ABS(I18-J18)*N18*IF(N(G18)&gt;0,G18,1),""),"")</f>
        <v/>
      </c>
      <c r="P18" s="31" t="n"/>
      <c r="Q18" s="32" t="n"/>
      <c r="R18" s="37" t="str">
        <f>IF(N(U18)&gt;0,SUMPRODUCT(LARGE(('成交明细'!$A$5:$A$804=A18)*('成交明细'!$D$5:$D$804=IF(F18="空","卖","买"))*'成交明细'!$B$5:$B$804,COUNTIFS('成交明细'!$A$5:$A$804,A18,'成交明细'!$D$5:$D$804,IF(F18="空","卖","买")))),"")</f>
        <v/>
      </c>
      <c r="S18" s="37" t="str">
        <f>IF(AND(N(U18)&gt;0,N(W18)&gt;=N(U18)),SUMPRODUCT(MAX(('成交明细'!$A$5:$A$804=A18)*('成交明细'!$D$5:$D$804=IF(F18="空","买","卖"))*'成交明细'!$B$5:$B$804)),"")</f>
        <v/>
      </c>
      <c r="T18" s="38" t="str">
        <f>IF(N(U18)=0,"",IF(SUMPRODUCT(('成交明细'!$A$5:$A$804=A18)*('成交明细'!$D$5:$D$804=IF(F18="空","卖","买"))*ISNUMBER('成交明细'!$C$5:$C$804))=0,"没填时间",IFERROR(VLOOKUP(MOD(SUMPRODUCT(LARGE(('成交明细'!$A$5:$A$804=A18)*('成交明细'!$D$5:$D$804=IF(F18="空","卖","买"))*('成交明细'!$B$5:$B$804+'成交明细'!$C$5:$C$804),COUNTIFS('成交明细'!$A$5:$A$804,A18,'成交明细'!$D$5:$D$804,IF(F18="空","卖","买")))),1),'参数'!$B$39:$C$48,2,TRUE),"")))</f>
        <v/>
      </c>
      <c r="U18" s="35" t="str">
        <f>IF(A18="","",SUMIFS('成交明细'!$F$5:$F$804,'成交明细'!$A$5:$A$804,A18,'成交明细'!$D$5:$D$804,IF(F18="空","卖","买")))</f>
        <v/>
      </c>
      <c r="V18" s="39" t="str">
        <f>IF(N(U18)&gt;0,SUMIFS('成交明细'!$H$5:$H$804,'成交明细'!$A$5:$A$804,A18,'成交明细'!$D$5:$D$804,IF(F18="空","卖","买"))/U18,"")</f>
        <v/>
      </c>
      <c r="W18" s="35" t="str">
        <f>IF(A18="","",SUMIFS('成交明细'!$F$5:$F$804,'成交明细'!$A$5:$A$804,A18,'成交明细'!$D$5:$D$804,IF(F18="空","买","卖")))</f>
        <v/>
      </c>
      <c r="X18" s="39" t="str">
        <f>IF(N(W18)&gt;0,SUMIFS('成交明细'!$H$5:$H$804,'成交明细'!$A$5:$A$804,A18,'成交明细'!$D$5:$D$804,IF(F18="空","买","卖"))/W18,"")</f>
        <v/>
      </c>
      <c r="Y18" s="40" t="str">
        <f>IF(A18="","",IF(Q18&lt;&gt;"已执行",IF(Q18="","未填执行情况",Q18),IF(N(U18)=0,"待录成交",IF(N(W18)&gt;N(U18),"平仓多于开仓",IF(N(W18)&lt;N(U18),"持仓中","已平仓")))))</f>
        <v/>
      </c>
      <c r="Z18" s="41" t="str">
        <f>IF(N(U18)=0,"",SUMIFS('成交明细'!$L$5:$L$804,'成交明细'!$A$5:$A$804,A18))</f>
        <v/>
      </c>
      <c r="AA18" s="42" t="str">
        <f>IF(Y18&lt;&gt;"已平仓","",(SUMIFS('成交明细'!$H$5:$H$804,'成交明细'!$A$5:$A$804,A18,'成交明细'!$D$5:$D$804,"卖")-SUMIFS('成交明细'!$H$5:$H$804,'成交明细'!$A$5:$A$804,A18,'成交明细'!$D$5:$D$804,"买"))*IF(N(G18)&gt;0,G18,1)-Z18)</f>
        <v/>
      </c>
      <c r="AB18" s="43" t="str">
        <f>IF(AND(Y18="已平仓",ISNUMBER(O18)),(SUMIFS('成交明细'!$H$5:$H$804,'成交明细'!$A$5:$A$804,A18,'成交明细'!$D$5:$D$804,"卖")-SUMIFS('成交明细'!$H$5:$H$804,'成交明细'!$A$5:$A$804,A18,'成交明细'!$D$5:$D$804,"买"))*IF(N(G18)&gt;0,G18,1)/O18,"")</f>
        <v/>
      </c>
      <c r="AC18" s="43" t="str">
        <f>IF(AND(Y18="已平仓",ISNUMBER(O18)),AA18/O18,"")</f>
        <v/>
      </c>
      <c r="AD18" s="44" t="str">
        <f>IF(AND(ISNUMBER(V18),ISNUMBER(I18)),IF(F18="空",I18-V18,V18-I18),"")</f>
        <v/>
      </c>
      <c r="AE18" s="44" t="str">
        <f>IF(OR(NOT(ISNUMBER(AA18)),NOT(ISNUMBER(X18))),"",IF(AA18&lt;0,IF(F18="空",X18-J18,J18-X18),IF(NOT(ISNUMBER(K18)),"",IF(F18="空",X18-K18,K18-X18))))</f>
        <v/>
      </c>
      <c r="AF18" s="32" t="n"/>
      <c r="AG18" s="32" t="n"/>
      <c r="AH18" s="31" t="n"/>
      <c r="AI18" s="43" t="str">
        <f>IF(A18="","",SUM(AC$5:AC18))</f>
        <v/>
      </c>
      <c r="AJ18" s="45" t="str">
        <f>IF(A18="","",MAX(0,MAX(AI$5:AI18))-AI18)</f>
        <v/>
      </c>
    </row>
    <row r="19">
      <c r="A19" s="29" t="n"/>
      <c r="B19" s="30" t="n"/>
      <c r="C19" s="31" t="n"/>
      <c r="D19" s="32" t="n"/>
      <c r="E19" s="32" t="n"/>
      <c r="F19" s="32" t="n"/>
      <c r="G19" s="32" t="n"/>
      <c r="H19" s="32" t="n"/>
      <c r="I19" s="33" t="n"/>
      <c r="J19" s="33" t="n"/>
      <c r="K19" s="33" t="n"/>
      <c r="L19" s="34" t="str">
        <f>IF(AND(ISNUMBER(I19),ISNUMBER(J19),ISNUMBER(K19)),IF(OR(AND(F19="多",I19&gt;J19),AND(F19="空",I19&lt;J19)),ABS(K19-I19)/ABS(I19-J19),"止损方向不对"),"")</f>
        <v/>
      </c>
      <c r="M19" s="35" t="str">
        <f>IF(AND(ISNUMBER(I19),ISNUMBER(J19)),IF(I19=J19,"",IF(INT(ROUND('参数'!$C$7/(ABS(I19-J19)*IF(N(G19)&gt;0,G19,1)+2*(I19*IF(N(G19)&gt;0,G19,1)*'参数'!$C$12+'参数'!$C$13+'参数'!$C$14*IF(N(G19)&gt;0,G19,1)))/IF(N(H19)&gt;0,H19,1),6))*IF(N(H19)&gt;0,H19,1)&gt;0,INT(ROUND('参数'!$C$7/(ABS(I19-J19)*IF(N(G19)&gt;0,G19,1)+2*(I19*IF(N(G19)&gt;0,G19,1)*'参数'!$C$12+'参数'!$C$13+'参数'!$C$14*IF(N(G19)&gt;0,G19,1)))/IF(N(H19)&gt;0,H19,1),6))*IF(N(H19)&gt;0,H19,1),"预算不足，这笔不做")),"")</f>
        <v/>
      </c>
      <c r="N19" s="36" t="n"/>
      <c r="O19" s="20" t="str">
        <f>IF(AND(ISNUMBER(I19),ISNUMBER(J19),ISNUMBER(N19)),IF(AND(I19&lt;&gt;J19,N19&gt;0),ABS(I19-J19)*N19*IF(N(G19)&gt;0,G19,1),""),"")</f>
        <v/>
      </c>
      <c r="P19" s="31" t="n"/>
      <c r="Q19" s="32" t="n"/>
      <c r="R19" s="37" t="str">
        <f>IF(N(U19)&gt;0,SUMPRODUCT(LARGE(('成交明细'!$A$5:$A$804=A19)*('成交明细'!$D$5:$D$804=IF(F19="空","卖","买"))*'成交明细'!$B$5:$B$804,COUNTIFS('成交明细'!$A$5:$A$804,A19,'成交明细'!$D$5:$D$804,IF(F19="空","卖","买")))),"")</f>
        <v/>
      </c>
      <c r="S19" s="37" t="str">
        <f>IF(AND(N(U19)&gt;0,N(W19)&gt;=N(U19)),SUMPRODUCT(MAX(('成交明细'!$A$5:$A$804=A19)*('成交明细'!$D$5:$D$804=IF(F19="空","买","卖"))*'成交明细'!$B$5:$B$804)),"")</f>
        <v/>
      </c>
      <c r="T19" s="38" t="str">
        <f>IF(N(U19)=0,"",IF(SUMPRODUCT(('成交明细'!$A$5:$A$804=A19)*('成交明细'!$D$5:$D$804=IF(F19="空","卖","买"))*ISNUMBER('成交明细'!$C$5:$C$804))=0,"没填时间",IFERROR(VLOOKUP(MOD(SUMPRODUCT(LARGE(('成交明细'!$A$5:$A$804=A19)*('成交明细'!$D$5:$D$804=IF(F19="空","卖","买"))*('成交明细'!$B$5:$B$804+'成交明细'!$C$5:$C$804),COUNTIFS('成交明细'!$A$5:$A$804,A19,'成交明细'!$D$5:$D$804,IF(F19="空","卖","买")))),1),'参数'!$B$39:$C$48,2,TRUE),"")))</f>
        <v/>
      </c>
      <c r="U19" s="35" t="str">
        <f>IF(A19="","",SUMIFS('成交明细'!$F$5:$F$804,'成交明细'!$A$5:$A$804,A19,'成交明细'!$D$5:$D$804,IF(F19="空","卖","买")))</f>
        <v/>
      </c>
      <c r="V19" s="39" t="str">
        <f>IF(N(U19)&gt;0,SUMIFS('成交明细'!$H$5:$H$804,'成交明细'!$A$5:$A$804,A19,'成交明细'!$D$5:$D$804,IF(F19="空","卖","买"))/U19,"")</f>
        <v/>
      </c>
      <c r="W19" s="35" t="str">
        <f>IF(A19="","",SUMIFS('成交明细'!$F$5:$F$804,'成交明细'!$A$5:$A$804,A19,'成交明细'!$D$5:$D$804,IF(F19="空","买","卖")))</f>
        <v/>
      </c>
      <c r="X19" s="39" t="str">
        <f>IF(N(W19)&gt;0,SUMIFS('成交明细'!$H$5:$H$804,'成交明细'!$A$5:$A$804,A19,'成交明细'!$D$5:$D$804,IF(F19="空","买","卖"))/W19,"")</f>
        <v/>
      </c>
      <c r="Y19" s="40" t="str">
        <f>IF(A19="","",IF(Q19&lt;&gt;"已执行",IF(Q19="","未填执行情况",Q19),IF(N(U19)=0,"待录成交",IF(N(W19)&gt;N(U19),"平仓多于开仓",IF(N(W19)&lt;N(U19),"持仓中","已平仓")))))</f>
        <v/>
      </c>
      <c r="Z19" s="41" t="str">
        <f>IF(N(U19)=0,"",SUMIFS('成交明细'!$L$5:$L$804,'成交明细'!$A$5:$A$804,A19))</f>
        <v/>
      </c>
      <c r="AA19" s="42" t="str">
        <f>IF(Y19&lt;&gt;"已平仓","",(SUMIFS('成交明细'!$H$5:$H$804,'成交明细'!$A$5:$A$804,A19,'成交明细'!$D$5:$D$804,"卖")-SUMIFS('成交明细'!$H$5:$H$804,'成交明细'!$A$5:$A$804,A19,'成交明细'!$D$5:$D$804,"买"))*IF(N(G19)&gt;0,G19,1)-Z19)</f>
        <v/>
      </c>
      <c r="AB19" s="43" t="str">
        <f>IF(AND(Y19="已平仓",ISNUMBER(O19)),(SUMIFS('成交明细'!$H$5:$H$804,'成交明细'!$A$5:$A$804,A19,'成交明细'!$D$5:$D$804,"卖")-SUMIFS('成交明细'!$H$5:$H$804,'成交明细'!$A$5:$A$804,A19,'成交明细'!$D$5:$D$804,"买"))*IF(N(G19)&gt;0,G19,1)/O19,"")</f>
        <v/>
      </c>
      <c r="AC19" s="43" t="str">
        <f>IF(AND(Y19="已平仓",ISNUMBER(O19)),AA19/O19,"")</f>
        <v/>
      </c>
      <c r="AD19" s="44" t="str">
        <f>IF(AND(ISNUMBER(V19),ISNUMBER(I19)),IF(F19="空",I19-V19,V19-I19),"")</f>
        <v/>
      </c>
      <c r="AE19" s="44" t="str">
        <f>IF(OR(NOT(ISNUMBER(AA19)),NOT(ISNUMBER(X19))),"",IF(AA19&lt;0,IF(F19="空",X19-J19,J19-X19),IF(NOT(ISNUMBER(K19)),"",IF(F19="空",X19-K19,K19-X19))))</f>
        <v/>
      </c>
      <c r="AF19" s="32" t="n"/>
      <c r="AG19" s="32" t="n"/>
      <c r="AH19" s="31" t="n"/>
      <c r="AI19" s="43" t="str">
        <f>IF(A19="","",SUM(AC$5:AC19))</f>
        <v/>
      </c>
      <c r="AJ19" s="45" t="str">
        <f>IF(A19="","",MAX(0,MAX(AI$5:AI19))-AI19)</f>
        <v/>
      </c>
    </row>
    <row r="20">
      <c r="A20" s="29" t="n"/>
      <c r="B20" s="30" t="n"/>
      <c r="C20" s="31" t="n"/>
      <c r="D20" s="32" t="n"/>
      <c r="E20" s="32" t="n"/>
      <c r="F20" s="32" t="n"/>
      <c r="G20" s="32" t="n"/>
      <c r="H20" s="32" t="n"/>
      <c r="I20" s="33" t="n"/>
      <c r="J20" s="33" t="n"/>
      <c r="K20" s="33" t="n"/>
      <c r="L20" s="34" t="str">
        <f>IF(AND(ISNUMBER(I20),ISNUMBER(J20),ISNUMBER(K20)),IF(OR(AND(F20="多",I20&gt;J20),AND(F20="空",I20&lt;J20)),ABS(K20-I20)/ABS(I20-J20),"止损方向不对"),"")</f>
        <v/>
      </c>
      <c r="M20" s="35" t="str">
        <f>IF(AND(ISNUMBER(I20),ISNUMBER(J20)),IF(I20=J20,"",IF(INT(ROUND('参数'!$C$7/(ABS(I20-J20)*IF(N(G20)&gt;0,G20,1)+2*(I20*IF(N(G20)&gt;0,G20,1)*'参数'!$C$12+'参数'!$C$13+'参数'!$C$14*IF(N(G20)&gt;0,G20,1)))/IF(N(H20)&gt;0,H20,1),6))*IF(N(H20)&gt;0,H20,1)&gt;0,INT(ROUND('参数'!$C$7/(ABS(I20-J20)*IF(N(G20)&gt;0,G20,1)+2*(I20*IF(N(G20)&gt;0,G20,1)*'参数'!$C$12+'参数'!$C$13+'参数'!$C$14*IF(N(G20)&gt;0,G20,1)))/IF(N(H20)&gt;0,H20,1),6))*IF(N(H20)&gt;0,H20,1),"预算不足，这笔不做")),"")</f>
        <v/>
      </c>
      <c r="N20" s="36" t="n"/>
      <c r="O20" s="20" t="str">
        <f>IF(AND(ISNUMBER(I20),ISNUMBER(J20),ISNUMBER(N20)),IF(AND(I20&lt;&gt;J20,N20&gt;0),ABS(I20-J20)*N20*IF(N(G20)&gt;0,G20,1),""),"")</f>
        <v/>
      </c>
      <c r="P20" s="31" t="n"/>
      <c r="Q20" s="32" t="n"/>
      <c r="R20" s="37" t="str">
        <f>IF(N(U20)&gt;0,SUMPRODUCT(LARGE(('成交明细'!$A$5:$A$804=A20)*('成交明细'!$D$5:$D$804=IF(F20="空","卖","买"))*'成交明细'!$B$5:$B$804,COUNTIFS('成交明细'!$A$5:$A$804,A20,'成交明细'!$D$5:$D$804,IF(F20="空","卖","买")))),"")</f>
        <v/>
      </c>
      <c r="S20" s="37" t="str">
        <f>IF(AND(N(U20)&gt;0,N(W20)&gt;=N(U20)),SUMPRODUCT(MAX(('成交明细'!$A$5:$A$804=A20)*('成交明细'!$D$5:$D$804=IF(F20="空","买","卖"))*'成交明细'!$B$5:$B$804)),"")</f>
        <v/>
      </c>
      <c r="T20" s="38" t="str">
        <f>IF(N(U20)=0,"",IF(SUMPRODUCT(('成交明细'!$A$5:$A$804=A20)*('成交明细'!$D$5:$D$804=IF(F20="空","卖","买"))*ISNUMBER('成交明细'!$C$5:$C$804))=0,"没填时间",IFERROR(VLOOKUP(MOD(SUMPRODUCT(LARGE(('成交明细'!$A$5:$A$804=A20)*('成交明细'!$D$5:$D$804=IF(F20="空","卖","买"))*('成交明细'!$B$5:$B$804+'成交明细'!$C$5:$C$804),COUNTIFS('成交明细'!$A$5:$A$804,A20,'成交明细'!$D$5:$D$804,IF(F20="空","卖","买")))),1),'参数'!$B$39:$C$48,2,TRUE),"")))</f>
        <v/>
      </c>
      <c r="U20" s="35" t="str">
        <f>IF(A20="","",SUMIFS('成交明细'!$F$5:$F$804,'成交明细'!$A$5:$A$804,A20,'成交明细'!$D$5:$D$804,IF(F20="空","卖","买")))</f>
        <v/>
      </c>
      <c r="V20" s="39" t="str">
        <f>IF(N(U20)&gt;0,SUMIFS('成交明细'!$H$5:$H$804,'成交明细'!$A$5:$A$804,A20,'成交明细'!$D$5:$D$804,IF(F20="空","卖","买"))/U20,"")</f>
        <v/>
      </c>
      <c r="W20" s="35" t="str">
        <f>IF(A20="","",SUMIFS('成交明细'!$F$5:$F$804,'成交明细'!$A$5:$A$804,A20,'成交明细'!$D$5:$D$804,IF(F20="空","买","卖")))</f>
        <v/>
      </c>
      <c r="X20" s="39" t="str">
        <f>IF(N(W20)&gt;0,SUMIFS('成交明细'!$H$5:$H$804,'成交明细'!$A$5:$A$804,A20,'成交明细'!$D$5:$D$804,IF(F20="空","买","卖"))/W20,"")</f>
        <v/>
      </c>
      <c r="Y20" s="40" t="str">
        <f>IF(A20="","",IF(Q20&lt;&gt;"已执行",IF(Q20="","未填执行情况",Q20),IF(N(U20)=0,"待录成交",IF(N(W20)&gt;N(U20),"平仓多于开仓",IF(N(W20)&lt;N(U20),"持仓中","已平仓")))))</f>
        <v/>
      </c>
      <c r="Z20" s="41" t="str">
        <f>IF(N(U20)=0,"",SUMIFS('成交明细'!$L$5:$L$804,'成交明细'!$A$5:$A$804,A20))</f>
        <v/>
      </c>
      <c r="AA20" s="42" t="str">
        <f>IF(Y20&lt;&gt;"已平仓","",(SUMIFS('成交明细'!$H$5:$H$804,'成交明细'!$A$5:$A$804,A20,'成交明细'!$D$5:$D$804,"卖")-SUMIFS('成交明细'!$H$5:$H$804,'成交明细'!$A$5:$A$804,A20,'成交明细'!$D$5:$D$804,"买"))*IF(N(G20)&gt;0,G20,1)-Z20)</f>
        <v/>
      </c>
      <c r="AB20" s="43" t="str">
        <f>IF(AND(Y20="已平仓",ISNUMBER(O20)),(SUMIFS('成交明细'!$H$5:$H$804,'成交明细'!$A$5:$A$804,A20,'成交明细'!$D$5:$D$804,"卖")-SUMIFS('成交明细'!$H$5:$H$804,'成交明细'!$A$5:$A$804,A20,'成交明细'!$D$5:$D$804,"买"))*IF(N(G20)&gt;0,G20,1)/O20,"")</f>
        <v/>
      </c>
      <c r="AC20" s="43" t="str">
        <f>IF(AND(Y20="已平仓",ISNUMBER(O20)),AA20/O20,"")</f>
        <v/>
      </c>
      <c r="AD20" s="44" t="str">
        <f>IF(AND(ISNUMBER(V20),ISNUMBER(I20)),IF(F20="空",I20-V20,V20-I20),"")</f>
        <v/>
      </c>
      <c r="AE20" s="44" t="str">
        <f>IF(OR(NOT(ISNUMBER(AA20)),NOT(ISNUMBER(X20))),"",IF(AA20&lt;0,IF(F20="空",X20-J20,J20-X20),IF(NOT(ISNUMBER(K20)),"",IF(F20="空",X20-K20,K20-X20))))</f>
        <v/>
      </c>
      <c r="AF20" s="32" t="n"/>
      <c r="AG20" s="32" t="n"/>
      <c r="AH20" s="31" t="n"/>
      <c r="AI20" s="43" t="str">
        <f>IF(A20="","",SUM(AC$5:AC20))</f>
        <v/>
      </c>
      <c r="AJ20" s="45" t="str">
        <f>IF(A20="","",MAX(0,MAX(AI$5:AI20))-AI20)</f>
        <v/>
      </c>
    </row>
    <row r="21">
      <c r="A21" s="29" t="n"/>
      <c r="B21" s="30" t="n"/>
      <c r="C21" s="31" t="n"/>
      <c r="D21" s="32" t="n"/>
      <c r="E21" s="32" t="n"/>
      <c r="F21" s="32" t="n"/>
      <c r="G21" s="32" t="n"/>
      <c r="H21" s="32" t="n"/>
      <c r="I21" s="33" t="n"/>
      <c r="J21" s="33" t="n"/>
      <c r="K21" s="33" t="n"/>
      <c r="L21" s="34" t="str">
        <f>IF(AND(ISNUMBER(I21),ISNUMBER(J21),ISNUMBER(K21)),IF(OR(AND(F21="多",I21&gt;J21),AND(F21="空",I21&lt;J21)),ABS(K21-I21)/ABS(I21-J21),"止损方向不对"),"")</f>
        <v/>
      </c>
      <c r="M21" s="35" t="str">
        <f>IF(AND(ISNUMBER(I21),ISNUMBER(J21)),IF(I21=J21,"",IF(INT(ROUND('参数'!$C$7/(ABS(I21-J21)*IF(N(G21)&gt;0,G21,1)+2*(I21*IF(N(G21)&gt;0,G21,1)*'参数'!$C$12+'参数'!$C$13+'参数'!$C$14*IF(N(G21)&gt;0,G21,1)))/IF(N(H21)&gt;0,H21,1),6))*IF(N(H21)&gt;0,H21,1)&gt;0,INT(ROUND('参数'!$C$7/(ABS(I21-J21)*IF(N(G21)&gt;0,G21,1)+2*(I21*IF(N(G21)&gt;0,G21,1)*'参数'!$C$12+'参数'!$C$13+'参数'!$C$14*IF(N(G21)&gt;0,G21,1)))/IF(N(H21)&gt;0,H21,1),6))*IF(N(H21)&gt;0,H21,1),"预算不足，这笔不做")),"")</f>
        <v/>
      </c>
      <c r="N21" s="36" t="n"/>
      <c r="O21" s="20" t="str">
        <f>IF(AND(ISNUMBER(I21),ISNUMBER(J21),ISNUMBER(N21)),IF(AND(I21&lt;&gt;J21,N21&gt;0),ABS(I21-J21)*N21*IF(N(G21)&gt;0,G21,1),""),"")</f>
        <v/>
      </c>
      <c r="P21" s="31" t="n"/>
      <c r="Q21" s="32" t="n"/>
      <c r="R21" s="37" t="str">
        <f>IF(N(U21)&gt;0,SUMPRODUCT(LARGE(('成交明细'!$A$5:$A$804=A21)*('成交明细'!$D$5:$D$804=IF(F21="空","卖","买"))*'成交明细'!$B$5:$B$804,COUNTIFS('成交明细'!$A$5:$A$804,A21,'成交明细'!$D$5:$D$804,IF(F21="空","卖","买")))),"")</f>
        <v/>
      </c>
      <c r="S21" s="37" t="str">
        <f>IF(AND(N(U21)&gt;0,N(W21)&gt;=N(U21)),SUMPRODUCT(MAX(('成交明细'!$A$5:$A$804=A21)*('成交明细'!$D$5:$D$804=IF(F21="空","买","卖"))*'成交明细'!$B$5:$B$804)),"")</f>
        <v/>
      </c>
      <c r="T21" s="38" t="str">
        <f>IF(N(U21)=0,"",IF(SUMPRODUCT(('成交明细'!$A$5:$A$804=A21)*('成交明细'!$D$5:$D$804=IF(F21="空","卖","买"))*ISNUMBER('成交明细'!$C$5:$C$804))=0,"没填时间",IFERROR(VLOOKUP(MOD(SUMPRODUCT(LARGE(('成交明细'!$A$5:$A$804=A21)*('成交明细'!$D$5:$D$804=IF(F21="空","卖","买"))*('成交明细'!$B$5:$B$804+'成交明细'!$C$5:$C$804),COUNTIFS('成交明细'!$A$5:$A$804,A21,'成交明细'!$D$5:$D$804,IF(F21="空","卖","买")))),1),'参数'!$B$39:$C$48,2,TRUE),"")))</f>
        <v/>
      </c>
      <c r="U21" s="35" t="str">
        <f>IF(A21="","",SUMIFS('成交明细'!$F$5:$F$804,'成交明细'!$A$5:$A$804,A21,'成交明细'!$D$5:$D$804,IF(F21="空","卖","买")))</f>
        <v/>
      </c>
      <c r="V21" s="39" t="str">
        <f>IF(N(U21)&gt;0,SUMIFS('成交明细'!$H$5:$H$804,'成交明细'!$A$5:$A$804,A21,'成交明细'!$D$5:$D$804,IF(F21="空","卖","买"))/U21,"")</f>
        <v/>
      </c>
      <c r="W21" s="35" t="str">
        <f>IF(A21="","",SUMIFS('成交明细'!$F$5:$F$804,'成交明细'!$A$5:$A$804,A21,'成交明细'!$D$5:$D$804,IF(F21="空","买","卖")))</f>
        <v/>
      </c>
      <c r="X21" s="39" t="str">
        <f>IF(N(W21)&gt;0,SUMIFS('成交明细'!$H$5:$H$804,'成交明细'!$A$5:$A$804,A21,'成交明细'!$D$5:$D$804,IF(F21="空","买","卖"))/W21,"")</f>
        <v/>
      </c>
      <c r="Y21" s="40" t="str">
        <f>IF(A21="","",IF(Q21&lt;&gt;"已执行",IF(Q21="","未填执行情况",Q21),IF(N(U21)=0,"待录成交",IF(N(W21)&gt;N(U21),"平仓多于开仓",IF(N(W21)&lt;N(U21),"持仓中","已平仓")))))</f>
        <v/>
      </c>
      <c r="Z21" s="41" t="str">
        <f>IF(N(U21)=0,"",SUMIFS('成交明细'!$L$5:$L$804,'成交明细'!$A$5:$A$804,A21))</f>
        <v/>
      </c>
      <c r="AA21" s="42" t="str">
        <f>IF(Y21&lt;&gt;"已平仓","",(SUMIFS('成交明细'!$H$5:$H$804,'成交明细'!$A$5:$A$804,A21,'成交明细'!$D$5:$D$804,"卖")-SUMIFS('成交明细'!$H$5:$H$804,'成交明细'!$A$5:$A$804,A21,'成交明细'!$D$5:$D$804,"买"))*IF(N(G21)&gt;0,G21,1)-Z21)</f>
        <v/>
      </c>
      <c r="AB21" s="43" t="str">
        <f>IF(AND(Y21="已平仓",ISNUMBER(O21)),(SUMIFS('成交明细'!$H$5:$H$804,'成交明细'!$A$5:$A$804,A21,'成交明细'!$D$5:$D$804,"卖")-SUMIFS('成交明细'!$H$5:$H$804,'成交明细'!$A$5:$A$804,A21,'成交明细'!$D$5:$D$804,"买"))*IF(N(G21)&gt;0,G21,1)/O21,"")</f>
        <v/>
      </c>
      <c r="AC21" s="43" t="str">
        <f>IF(AND(Y21="已平仓",ISNUMBER(O21)),AA21/O21,"")</f>
        <v/>
      </c>
      <c r="AD21" s="44" t="str">
        <f>IF(AND(ISNUMBER(V21),ISNUMBER(I21)),IF(F21="空",I21-V21,V21-I21),"")</f>
        <v/>
      </c>
      <c r="AE21" s="44" t="str">
        <f>IF(OR(NOT(ISNUMBER(AA21)),NOT(ISNUMBER(X21))),"",IF(AA21&lt;0,IF(F21="空",X21-J21,J21-X21),IF(NOT(ISNUMBER(K21)),"",IF(F21="空",X21-K21,K21-X21))))</f>
        <v/>
      </c>
      <c r="AF21" s="32" t="n"/>
      <c r="AG21" s="32" t="n"/>
      <c r="AH21" s="31" t="n"/>
      <c r="AI21" s="43" t="str">
        <f>IF(A21="","",SUM(AC$5:AC21))</f>
        <v/>
      </c>
      <c r="AJ21" s="45" t="str">
        <f>IF(A21="","",MAX(0,MAX(AI$5:AI21))-AI21)</f>
        <v/>
      </c>
    </row>
    <row r="22">
      <c r="A22" s="29" t="n"/>
      <c r="B22" s="30" t="n"/>
      <c r="C22" s="31" t="n"/>
      <c r="D22" s="32" t="n"/>
      <c r="E22" s="32" t="n"/>
      <c r="F22" s="32" t="n"/>
      <c r="G22" s="32" t="n"/>
      <c r="H22" s="32" t="n"/>
      <c r="I22" s="33" t="n"/>
      <c r="J22" s="33" t="n"/>
      <c r="K22" s="33" t="n"/>
      <c r="L22" s="34" t="str">
        <f>IF(AND(ISNUMBER(I22),ISNUMBER(J22),ISNUMBER(K22)),IF(OR(AND(F22="多",I22&gt;J22),AND(F22="空",I22&lt;J22)),ABS(K22-I22)/ABS(I22-J22),"止损方向不对"),"")</f>
        <v/>
      </c>
      <c r="M22" s="35" t="str">
        <f>IF(AND(ISNUMBER(I22),ISNUMBER(J22)),IF(I22=J22,"",IF(INT(ROUND('参数'!$C$7/(ABS(I22-J22)*IF(N(G22)&gt;0,G22,1)+2*(I22*IF(N(G22)&gt;0,G22,1)*'参数'!$C$12+'参数'!$C$13+'参数'!$C$14*IF(N(G22)&gt;0,G22,1)))/IF(N(H22)&gt;0,H22,1),6))*IF(N(H22)&gt;0,H22,1)&gt;0,INT(ROUND('参数'!$C$7/(ABS(I22-J22)*IF(N(G22)&gt;0,G22,1)+2*(I22*IF(N(G22)&gt;0,G22,1)*'参数'!$C$12+'参数'!$C$13+'参数'!$C$14*IF(N(G22)&gt;0,G22,1)))/IF(N(H22)&gt;0,H22,1),6))*IF(N(H22)&gt;0,H22,1),"预算不足，这笔不做")),"")</f>
        <v/>
      </c>
      <c r="N22" s="36" t="n"/>
      <c r="O22" s="20" t="str">
        <f>IF(AND(ISNUMBER(I22),ISNUMBER(J22),ISNUMBER(N22)),IF(AND(I22&lt;&gt;J22,N22&gt;0),ABS(I22-J22)*N22*IF(N(G22)&gt;0,G22,1),""),"")</f>
        <v/>
      </c>
      <c r="P22" s="31" t="n"/>
      <c r="Q22" s="32" t="n"/>
      <c r="R22" s="37" t="str">
        <f>IF(N(U22)&gt;0,SUMPRODUCT(LARGE(('成交明细'!$A$5:$A$804=A22)*('成交明细'!$D$5:$D$804=IF(F22="空","卖","买"))*'成交明细'!$B$5:$B$804,COUNTIFS('成交明细'!$A$5:$A$804,A22,'成交明细'!$D$5:$D$804,IF(F22="空","卖","买")))),"")</f>
        <v/>
      </c>
      <c r="S22" s="37" t="str">
        <f>IF(AND(N(U22)&gt;0,N(W22)&gt;=N(U22)),SUMPRODUCT(MAX(('成交明细'!$A$5:$A$804=A22)*('成交明细'!$D$5:$D$804=IF(F22="空","买","卖"))*'成交明细'!$B$5:$B$804)),"")</f>
        <v/>
      </c>
      <c r="T22" s="38" t="str">
        <f>IF(N(U22)=0,"",IF(SUMPRODUCT(('成交明细'!$A$5:$A$804=A22)*('成交明细'!$D$5:$D$804=IF(F22="空","卖","买"))*ISNUMBER('成交明细'!$C$5:$C$804))=0,"没填时间",IFERROR(VLOOKUP(MOD(SUMPRODUCT(LARGE(('成交明细'!$A$5:$A$804=A22)*('成交明细'!$D$5:$D$804=IF(F22="空","卖","买"))*('成交明细'!$B$5:$B$804+'成交明细'!$C$5:$C$804),COUNTIFS('成交明细'!$A$5:$A$804,A22,'成交明细'!$D$5:$D$804,IF(F22="空","卖","买")))),1),'参数'!$B$39:$C$48,2,TRUE),"")))</f>
        <v/>
      </c>
      <c r="U22" s="35" t="str">
        <f>IF(A22="","",SUMIFS('成交明细'!$F$5:$F$804,'成交明细'!$A$5:$A$804,A22,'成交明细'!$D$5:$D$804,IF(F22="空","卖","买")))</f>
        <v/>
      </c>
      <c r="V22" s="39" t="str">
        <f>IF(N(U22)&gt;0,SUMIFS('成交明细'!$H$5:$H$804,'成交明细'!$A$5:$A$804,A22,'成交明细'!$D$5:$D$804,IF(F22="空","卖","买"))/U22,"")</f>
        <v/>
      </c>
      <c r="W22" s="35" t="str">
        <f>IF(A22="","",SUMIFS('成交明细'!$F$5:$F$804,'成交明细'!$A$5:$A$804,A22,'成交明细'!$D$5:$D$804,IF(F22="空","买","卖")))</f>
        <v/>
      </c>
      <c r="X22" s="39" t="str">
        <f>IF(N(W22)&gt;0,SUMIFS('成交明细'!$H$5:$H$804,'成交明细'!$A$5:$A$804,A22,'成交明细'!$D$5:$D$804,IF(F22="空","买","卖"))/W22,"")</f>
        <v/>
      </c>
      <c r="Y22" s="40" t="str">
        <f>IF(A22="","",IF(Q22&lt;&gt;"已执行",IF(Q22="","未填执行情况",Q22),IF(N(U22)=0,"待录成交",IF(N(W22)&gt;N(U22),"平仓多于开仓",IF(N(W22)&lt;N(U22),"持仓中","已平仓")))))</f>
        <v/>
      </c>
      <c r="Z22" s="41" t="str">
        <f>IF(N(U22)=0,"",SUMIFS('成交明细'!$L$5:$L$804,'成交明细'!$A$5:$A$804,A22))</f>
        <v/>
      </c>
      <c r="AA22" s="42" t="str">
        <f>IF(Y22&lt;&gt;"已平仓","",(SUMIFS('成交明细'!$H$5:$H$804,'成交明细'!$A$5:$A$804,A22,'成交明细'!$D$5:$D$804,"卖")-SUMIFS('成交明细'!$H$5:$H$804,'成交明细'!$A$5:$A$804,A22,'成交明细'!$D$5:$D$804,"买"))*IF(N(G22)&gt;0,G22,1)-Z22)</f>
        <v/>
      </c>
      <c r="AB22" s="43" t="str">
        <f>IF(AND(Y22="已平仓",ISNUMBER(O22)),(SUMIFS('成交明细'!$H$5:$H$804,'成交明细'!$A$5:$A$804,A22,'成交明细'!$D$5:$D$804,"卖")-SUMIFS('成交明细'!$H$5:$H$804,'成交明细'!$A$5:$A$804,A22,'成交明细'!$D$5:$D$804,"买"))*IF(N(G22)&gt;0,G22,1)/O22,"")</f>
        <v/>
      </c>
      <c r="AC22" s="43" t="str">
        <f>IF(AND(Y22="已平仓",ISNUMBER(O22)),AA22/O22,"")</f>
        <v/>
      </c>
      <c r="AD22" s="44" t="str">
        <f>IF(AND(ISNUMBER(V22),ISNUMBER(I22)),IF(F22="空",I22-V22,V22-I22),"")</f>
        <v/>
      </c>
      <c r="AE22" s="44" t="str">
        <f>IF(OR(NOT(ISNUMBER(AA22)),NOT(ISNUMBER(X22))),"",IF(AA22&lt;0,IF(F22="空",X22-J22,J22-X22),IF(NOT(ISNUMBER(K22)),"",IF(F22="空",X22-K22,K22-X22))))</f>
        <v/>
      </c>
      <c r="AF22" s="32" t="n"/>
      <c r="AG22" s="32" t="n"/>
      <c r="AH22" s="31" t="n"/>
      <c r="AI22" s="43" t="str">
        <f>IF(A22="","",SUM(AC$5:AC22))</f>
        <v/>
      </c>
      <c r="AJ22" s="45" t="str">
        <f>IF(A22="","",MAX(0,MAX(AI$5:AI22))-AI22)</f>
        <v/>
      </c>
    </row>
    <row r="23">
      <c r="A23" s="29" t="n"/>
      <c r="B23" s="30" t="n"/>
      <c r="C23" s="31" t="n"/>
      <c r="D23" s="32" t="n"/>
      <c r="E23" s="32" t="n"/>
      <c r="F23" s="32" t="n"/>
      <c r="G23" s="32" t="n"/>
      <c r="H23" s="32" t="n"/>
      <c r="I23" s="33" t="n"/>
      <c r="J23" s="33" t="n"/>
      <c r="K23" s="33" t="n"/>
      <c r="L23" s="34" t="str">
        <f>IF(AND(ISNUMBER(I23),ISNUMBER(J23),ISNUMBER(K23)),IF(OR(AND(F23="多",I23&gt;J23),AND(F23="空",I23&lt;J23)),ABS(K23-I23)/ABS(I23-J23),"止损方向不对"),"")</f>
        <v/>
      </c>
      <c r="M23" s="35" t="str">
        <f>IF(AND(ISNUMBER(I23),ISNUMBER(J23)),IF(I23=J23,"",IF(INT(ROUND('参数'!$C$7/(ABS(I23-J23)*IF(N(G23)&gt;0,G23,1)+2*(I23*IF(N(G23)&gt;0,G23,1)*'参数'!$C$12+'参数'!$C$13+'参数'!$C$14*IF(N(G23)&gt;0,G23,1)))/IF(N(H23)&gt;0,H23,1),6))*IF(N(H23)&gt;0,H23,1)&gt;0,INT(ROUND('参数'!$C$7/(ABS(I23-J23)*IF(N(G23)&gt;0,G23,1)+2*(I23*IF(N(G23)&gt;0,G23,1)*'参数'!$C$12+'参数'!$C$13+'参数'!$C$14*IF(N(G23)&gt;0,G23,1)))/IF(N(H23)&gt;0,H23,1),6))*IF(N(H23)&gt;0,H23,1),"预算不足，这笔不做")),"")</f>
        <v/>
      </c>
      <c r="N23" s="36" t="n"/>
      <c r="O23" s="20" t="str">
        <f>IF(AND(ISNUMBER(I23),ISNUMBER(J23),ISNUMBER(N23)),IF(AND(I23&lt;&gt;J23,N23&gt;0),ABS(I23-J23)*N23*IF(N(G23)&gt;0,G23,1),""),"")</f>
        <v/>
      </c>
      <c r="P23" s="31" t="n"/>
      <c r="Q23" s="32" t="n"/>
      <c r="R23" s="37" t="str">
        <f>IF(N(U23)&gt;0,SUMPRODUCT(LARGE(('成交明细'!$A$5:$A$804=A23)*('成交明细'!$D$5:$D$804=IF(F23="空","卖","买"))*'成交明细'!$B$5:$B$804,COUNTIFS('成交明细'!$A$5:$A$804,A23,'成交明细'!$D$5:$D$804,IF(F23="空","卖","买")))),"")</f>
        <v/>
      </c>
      <c r="S23" s="37" t="str">
        <f>IF(AND(N(U23)&gt;0,N(W23)&gt;=N(U23)),SUMPRODUCT(MAX(('成交明细'!$A$5:$A$804=A23)*('成交明细'!$D$5:$D$804=IF(F23="空","买","卖"))*'成交明细'!$B$5:$B$804)),"")</f>
        <v/>
      </c>
      <c r="T23" s="38" t="str">
        <f>IF(N(U23)=0,"",IF(SUMPRODUCT(('成交明细'!$A$5:$A$804=A23)*('成交明细'!$D$5:$D$804=IF(F23="空","卖","买"))*ISNUMBER('成交明细'!$C$5:$C$804))=0,"没填时间",IFERROR(VLOOKUP(MOD(SUMPRODUCT(LARGE(('成交明细'!$A$5:$A$804=A23)*('成交明细'!$D$5:$D$804=IF(F23="空","卖","买"))*('成交明细'!$B$5:$B$804+'成交明细'!$C$5:$C$804),COUNTIFS('成交明细'!$A$5:$A$804,A23,'成交明细'!$D$5:$D$804,IF(F23="空","卖","买")))),1),'参数'!$B$39:$C$48,2,TRUE),"")))</f>
        <v/>
      </c>
      <c r="U23" s="35" t="str">
        <f>IF(A23="","",SUMIFS('成交明细'!$F$5:$F$804,'成交明细'!$A$5:$A$804,A23,'成交明细'!$D$5:$D$804,IF(F23="空","卖","买")))</f>
        <v/>
      </c>
      <c r="V23" s="39" t="str">
        <f>IF(N(U23)&gt;0,SUMIFS('成交明细'!$H$5:$H$804,'成交明细'!$A$5:$A$804,A23,'成交明细'!$D$5:$D$804,IF(F23="空","卖","买"))/U23,"")</f>
        <v/>
      </c>
      <c r="W23" s="35" t="str">
        <f>IF(A23="","",SUMIFS('成交明细'!$F$5:$F$804,'成交明细'!$A$5:$A$804,A23,'成交明细'!$D$5:$D$804,IF(F23="空","买","卖")))</f>
        <v/>
      </c>
      <c r="X23" s="39" t="str">
        <f>IF(N(W23)&gt;0,SUMIFS('成交明细'!$H$5:$H$804,'成交明细'!$A$5:$A$804,A23,'成交明细'!$D$5:$D$804,IF(F23="空","买","卖"))/W23,"")</f>
        <v/>
      </c>
      <c r="Y23" s="40" t="str">
        <f>IF(A23="","",IF(Q23&lt;&gt;"已执行",IF(Q23="","未填执行情况",Q23),IF(N(U23)=0,"待录成交",IF(N(W23)&gt;N(U23),"平仓多于开仓",IF(N(W23)&lt;N(U23),"持仓中","已平仓")))))</f>
        <v/>
      </c>
      <c r="Z23" s="41" t="str">
        <f>IF(N(U23)=0,"",SUMIFS('成交明细'!$L$5:$L$804,'成交明细'!$A$5:$A$804,A23))</f>
        <v/>
      </c>
      <c r="AA23" s="42" t="str">
        <f>IF(Y23&lt;&gt;"已平仓","",(SUMIFS('成交明细'!$H$5:$H$804,'成交明细'!$A$5:$A$804,A23,'成交明细'!$D$5:$D$804,"卖")-SUMIFS('成交明细'!$H$5:$H$804,'成交明细'!$A$5:$A$804,A23,'成交明细'!$D$5:$D$804,"买"))*IF(N(G23)&gt;0,G23,1)-Z23)</f>
        <v/>
      </c>
      <c r="AB23" s="43" t="str">
        <f>IF(AND(Y23="已平仓",ISNUMBER(O23)),(SUMIFS('成交明细'!$H$5:$H$804,'成交明细'!$A$5:$A$804,A23,'成交明细'!$D$5:$D$804,"卖")-SUMIFS('成交明细'!$H$5:$H$804,'成交明细'!$A$5:$A$804,A23,'成交明细'!$D$5:$D$804,"买"))*IF(N(G23)&gt;0,G23,1)/O23,"")</f>
        <v/>
      </c>
      <c r="AC23" s="43" t="str">
        <f>IF(AND(Y23="已平仓",ISNUMBER(O23)),AA23/O23,"")</f>
        <v/>
      </c>
      <c r="AD23" s="44" t="str">
        <f>IF(AND(ISNUMBER(V23),ISNUMBER(I23)),IF(F23="空",I23-V23,V23-I23),"")</f>
        <v/>
      </c>
      <c r="AE23" s="44" t="str">
        <f>IF(OR(NOT(ISNUMBER(AA23)),NOT(ISNUMBER(X23))),"",IF(AA23&lt;0,IF(F23="空",X23-J23,J23-X23),IF(NOT(ISNUMBER(K23)),"",IF(F23="空",X23-K23,K23-X23))))</f>
        <v/>
      </c>
      <c r="AF23" s="32" t="n"/>
      <c r="AG23" s="32" t="n"/>
      <c r="AH23" s="31" t="n"/>
      <c r="AI23" s="43" t="str">
        <f>IF(A23="","",SUM(AC$5:AC23))</f>
        <v/>
      </c>
      <c r="AJ23" s="45" t="str">
        <f>IF(A23="","",MAX(0,MAX(AI$5:AI23))-AI23)</f>
        <v/>
      </c>
    </row>
    <row r="24">
      <c r="A24" s="29" t="n"/>
      <c r="B24" s="30" t="n"/>
      <c r="C24" s="31" t="n"/>
      <c r="D24" s="32" t="n"/>
      <c r="E24" s="32" t="n"/>
      <c r="F24" s="32" t="n"/>
      <c r="G24" s="32" t="n"/>
      <c r="H24" s="32" t="n"/>
      <c r="I24" s="33" t="n"/>
      <c r="J24" s="33" t="n"/>
      <c r="K24" s="33" t="n"/>
      <c r="L24" s="34" t="str">
        <f>IF(AND(ISNUMBER(I24),ISNUMBER(J24),ISNUMBER(K24)),IF(OR(AND(F24="多",I24&gt;J24),AND(F24="空",I24&lt;J24)),ABS(K24-I24)/ABS(I24-J24),"止损方向不对"),"")</f>
        <v/>
      </c>
      <c r="M24" s="35" t="str">
        <f>IF(AND(ISNUMBER(I24),ISNUMBER(J24)),IF(I24=J24,"",IF(INT(ROUND('参数'!$C$7/(ABS(I24-J24)*IF(N(G24)&gt;0,G24,1)+2*(I24*IF(N(G24)&gt;0,G24,1)*'参数'!$C$12+'参数'!$C$13+'参数'!$C$14*IF(N(G24)&gt;0,G24,1)))/IF(N(H24)&gt;0,H24,1),6))*IF(N(H24)&gt;0,H24,1)&gt;0,INT(ROUND('参数'!$C$7/(ABS(I24-J24)*IF(N(G24)&gt;0,G24,1)+2*(I24*IF(N(G24)&gt;0,G24,1)*'参数'!$C$12+'参数'!$C$13+'参数'!$C$14*IF(N(G24)&gt;0,G24,1)))/IF(N(H24)&gt;0,H24,1),6))*IF(N(H24)&gt;0,H24,1),"预算不足，这笔不做")),"")</f>
        <v/>
      </c>
      <c r="N24" s="36" t="n"/>
      <c r="O24" s="20" t="str">
        <f>IF(AND(ISNUMBER(I24),ISNUMBER(J24),ISNUMBER(N24)),IF(AND(I24&lt;&gt;J24,N24&gt;0),ABS(I24-J24)*N24*IF(N(G24)&gt;0,G24,1),""),"")</f>
        <v/>
      </c>
      <c r="P24" s="31" t="n"/>
      <c r="Q24" s="32" t="n"/>
      <c r="R24" s="37" t="str">
        <f>IF(N(U24)&gt;0,SUMPRODUCT(LARGE(('成交明细'!$A$5:$A$804=A24)*('成交明细'!$D$5:$D$804=IF(F24="空","卖","买"))*'成交明细'!$B$5:$B$804,COUNTIFS('成交明细'!$A$5:$A$804,A24,'成交明细'!$D$5:$D$804,IF(F24="空","卖","买")))),"")</f>
        <v/>
      </c>
      <c r="S24" s="37" t="str">
        <f>IF(AND(N(U24)&gt;0,N(W24)&gt;=N(U24)),SUMPRODUCT(MAX(('成交明细'!$A$5:$A$804=A24)*('成交明细'!$D$5:$D$804=IF(F24="空","买","卖"))*'成交明细'!$B$5:$B$804)),"")</f>
        <v/>
      </c>
      <c r="T24" s="38" t="str">
        <f>IF(N(U24)=0,"",IF(SUMPRODUCT(('成交明细'!$A$5:$A$804=A24)*('成交明细'!$D$5:$D$804=IF(F24="空","卖","买"))*ISNUMBER('成交明细'!$C$5:$C$804))=0,"没填时间",IFERROR(VLOOKUP(MOD(SUMPRODUCT(LARGE(('成交明细'!$A$5:$A$804=A24)*('成交明细'!$D$5:$D$804=IF(F24="空","卖","买"))*('成交明细'!$B$5:$B$804+'成交明细'!$C$5:$C$804),COUNTIFS('成交明细'!$A$5:$A$804,A24,'成交明细'!$D$5:$D$804,IF(F24="空","卖","买")))),1),'参数'!$B$39:$C$48,2,TRUE),"")))</f>
        <v/>
      </c>
      <c r="U24" s="35" t="str">
        <f>IF(A24="","",SUMIFS('成交明细'!$F$5:$F$804,'成交明细'!$A$5:$A$804,A24,'成交明细'!$D$5:$D$804,IF(F24="空","卖","买")))</f>
        <v/>
      </c>
      <c r="V24" s="39" t="str">
        <f>IF(N(U24)&gt;0,SUMIFS('成交明细'!$H$5:$H$804,'成交明细'!$A$5:$A$804,A24,'成交明细'!$D$5:$D$804,IF(F24="空","卖","买"))/U24,"")</f>
        <v/>
      </c>
      <c r="W24" s="35" t="str">
        <f>IF(A24="","",SUMIFS('成交明细'!$F$5:$F$804,'成交明细'!$A$5:$A$804,A24,'成交明细'!$D$5:$D$804,IF(F24="空","买","卖")))</f>
        <v/>
      </c>
      <c r="X24" s="39" t="str">
        <f>IF(N(W24)&gt;0,SUMIFS('成交明细'!$H$5:$H$804,'成交明细'!$A$5:$A$804,A24,'成交明细'!$D$5:$D$804,IF(F24="空","买","卖"))/W24,"")</f>
        <v/>
      </c>
      <c r="Y24" s="40" t="str">
        <f>IF(A24="","",IF(Q24&lt;&gt;"已执行",IF(Q24="","未填执行情况",Q24),IF(N(U24)=0,"待录成交",IF(N(W24)&gt;N(U24),"平仓多于开仓",IF(N(W24)&lt;N(U24),"持仓中","已平仓")))))</f>
        <v/>
      </c>
      <c r="Z24" s="41" t="str">
        <f>IF(N(U24)=0,"",SUMIFS('成交明细'!$L$5:$L$804,'成交明细'!$A$5:$A$804,A24))</f>
        <v/>
      </c>
      <c r="AA24" s="42" t="str">
        <f>IF(Y24&lt;&gt;"已平仓","",(SUMIFS('成交明细'!$H$5:$H$804,'成交明细'!$A$5:$A$804,A24,'成交明细'!$D$5:$D$804,"卖")-SUMIFS('成交明细'!$H$5:$H$804,'成交明细'!$A$5:$A$804,A24,'成交明细'!$D$5:$D$804,"买"))*IF(N(G24)&gt;0,G24,1)-Z24)</f>
        <v/>
      </c>
      <c r="AB24" s="43" t="str">
        <f>IF(AND(Y24="已平仓",ISNUMBER(O24)),(SUMIFS('成交明细'!$H$5:$H$804,'成交明细'!$A$5:$A$804,A24,'成交明细'!$D$5:$D$804,"卖")-SUMIFS('成交明细'!$H$5:$H$804,'成交明细'!$A$5:$A$804,A24,'成交明细'!$D$5:$D$804,"买"))*IF(N(G24)&gt;0,G24,1)/O24,"")</f>
        <v/>
      </c>
      <c r="AC24" s="43" t="str">
        <f>IF(AND(Y24="已平仓",ISNUMBER(O24)),AA24/O24,"")</f>
        <v/>
      </c>
      <c r="AD24" s="44" t="str">
        <f>IF(AND(ISNUMBER(V24),ISNUMBER(I24)),IF(F24="空",I24-V24,V24-I24),"")</f>
        <v/>
      </c>
      <c r="AE24" s="44" t="str">
        <f>IF(OR(NOT(ISNUMBER(AA24)),NOT(ISNUMBER(X24))),"",IF(AA24&lt;0,IF(F24="空",X24-J24,J24-X24),IF(NOT(ISNUMBER(K24)),"",IF(F24="空",X24-K24,K24-X24))))</f>
        <v/>
      </c>
      <c r="AF24" s="32" t="n"/>
      <c r="AG24" s="32" t="n"/>
      <c r="AH24" s="31" t="n"/>
      <c r="AI24" s="43" t="str">
        <f>IF(A24="","",SUM(AC$5:AC24))</f>
        <v/>
      </c>
      <c r="AJ24" s="45" t="str">
        <f>IF(A24="","",MAX(0,MAX(AI$5:AI24))-AI24)</f>
        <v/>
      </c>
    </row>
    <row r="25">
      <c r="A25" s="29" t="n"/>
      <c r="B25" s="30" t="n"/>
      <c r="C25" s="31" t="n"/>
      <c r="D25" s="32" t="n"/>
      <c r="E25" s="32" t="n"/>
      <c r="F25" s="32" t="n"/>
      <c r="G25" s="32" t="n"/>
      <c r="H25" s="32" t="n"/>
      <c r="I25" s="33" t="n"/>
      <c r="J25" s="33" t="n"/>
      <c r="K25" s="33" t="n"/>
      <c r="L25" s="34" t="str">
        <f>IF(AND(ISNUMBER(I25),ISNUMBER(J25),ISNUMBER(K25)),IF(OR(AND(F25="多",I25&gt;J25),AND(F25="空",I25&lt;J25)),ABS(K25-I25)/ABS(I25-J25),"止损方向不对"),"")</f>
        <v/>
      </c>
      <c r="M25" s="35" t="str">
        <f>IF(AND(ISNUMBER(I25),ISNUMBER(J25)),IF(I25=J25,"",IF(INT(ROUND('参数'!$C$7/(ABS(I25-J25)*IF(N(G25)&gt;0,G25,1)+2*(I25*IF(N(G25)&gt;0,G25,1)*'参数'!$C$12+'参数'!$C$13+'参数'!$C$14*IF(N(G25)&gt;0,G25,1)))/IF(N(H25)&gt;0,H25,1),6))*IF(N(H25)&gt;0,H25,1)&gt;0,INT(ROUND('参数'!$C$7/(ABS(I25-J25)*IF(N(G25)&gt;0,G25,1)+2*(I25*IF(N(G25)&gt;0,G25,1)*'参数'!$C$12+'参数'!$C$13+'参数'!$C$14*IF(N(G25)&gt;0,G25,1)))/IF(N(H25)&gt;0,H25,1),6))*IF(N(H25)&gt;0,H25,1),"预算不足，这笔不做")),"")</f>
        <v/>
      </c>
      <c r="N25" s="36" t="n"/>
      <c r="O25" s="20" t="str">
        <f>IF(AND(ISNUMBER(I25),ISNUMBER(J25),ISNUMBER(N25)),IF(AND(I25&lt;&gt;J25,N25&gt;0),ABS(I25-J25)*N25*IF(N(G25)&gt;0,G25,1),""),"")</f>
        <v/>
      </c>
      <c r="P25" s="31" t="n"/>
      <c r="Q25" s="32" t="n"/>
      <c r="R25" s="37" t="str">
        <f>IF(N(U25)&gt;0,SUMPRODUCT(LARGE(('成交明细'!$A$5:$A$804=A25)*('成交明细'!$D$5:$D$804=IF(F25="空","卖","买"))*'成交明细'!$B$5:$B$804,COUNTIFS('成交明细'!$A$5:$A$804,A25,'成交明细'!$D$5:$D$804,IF(F25="空","卖","买")))),"")</f>
        <v/>
      </c>
      <c r="S25" s="37" t="str">
        <f>IF(AND(N(U25)&gt;0,N(W25)&gt;=N(U25)),SUMPRODUCT(MAX(('成交明细'!$A$5:$A$804=A25)*('成交明细'!$D$5:$D$804=IF(F25="空","买","卖"))*'成交明细'!$B$5:$B$804)),"")</f>
        <v/>
      </c>
      <c r="T25" s="38" t="str">
        <f>IF(N(U25)=0,"",IF(SUMPRODUCT(('成交明细'!$A$5:$A$804=A25)*('成交明细'!$D$5:$D$804=IF(F25="空","卖","买"))*ISNUMBER('成交明细'!$C$5:$C$804))=0,"没填时间",IFERROR(VLOOKUP(MOD(SUMPRODUCT(LARGE(('成交明细'!$A$5:$A$804=A25)*('成交明细'!$D$5:$D$804=IF(F25="空","卖","买"))*('成交明细'!$B$5:$B$804+'成交明细'!$C$5:$C$804),COUNTIFS('成交明细'!$A$5:$A$804,A25,'成交明细'!$D$5:$D$804,IF(F25="空","卖","买")))),1),'参数'!$B$39:$C$48,2,TRUE),"")))</f>
        <v/>
      </c>
      <c r="U25" s="35" t="str">
        <f>IF(A25="","",SUMIFS('成交明细'!$F$5:$F$804,'成交明细'!$A$5:$A$804,A25,'成交明细'!$D$5:$D$804,IF(F25="空","卖","买")))</f>
        <v/>
      </c>
      <c r="V25" s="39" t="str">
        <f>IF(N(U25)&gt;0,SUMIFS('成交明细'!$H$5:$H$804,'成交明细'!$A$5:$A$804,A25,'成交明细'!$D$5:$D$804,IF(F25="空","卖","买"))/U25,"")</f>
        <v/>
      </c>
      <c r="W25" s="35" t="str">
        <f>IF(A25="","",SUMIFS('成交明细'!$F$5:$F$804,'成交明细'!$A$5:$A$804,A25,'成交明细'!$D$5:$D$804,IF(F25="空","买","卖")))</f>
        <v/>
      </c>
      <c r="X25" s="39" t="str">
        <f>IF(N(W25)&gt;0,SUMIFS('成交明细'!$H$5:$H$804,'成交明细'!$A$5:$A$804,A25,'成交明细'!$D$5:$D$804,IF(F25="空","买","卖"))/W25,"")</f>
        <v/>
      </c>
      <c r="Y25" s="40" t="str">
        <f>IF(A25="","",IF(Q25&lt;&gt;"已执行",IF(Q25="","未填执行情况",Q25),IF(N(U25)=0,"待录成交",IF(N(W25)&gt;N(U25),"平仓多于开仓",IF(N(W25)&lt;N(U25),"持仓中","已平仓")))))</f>
        <v/>
      </c>
      <c r="Z25" s="41" t="str">
        <f>IF(N(U25)=0,"",SUMIFS('成交明细'!$L$5:$L$804,'成交明细'!$A$5:$A$804,A25))</f>
        <v/>
      </c>
      <c r="AA25" s="42" t="str">
        <f>IF(Y25&lt;&gt;"已平仓","",(SUMIFS('成交明细'!$H$5:$H$804,'成交明细'!$A$5:$A$804,A25,'成交明细'!$D$5:$D$804,"卖")-SUMIFS('成交明细'!$H$5:$H$804,'成交明细'!$A$5:$A$804,A25,'成交明细'!$D$5:$D$804,"买"))*IF(N(G25)&gt;0,G25,1)-Z25)</f>
        <v/>
      </c>
      <c r="AB25" s="43" t="str">
        <f>IF(AND(Y25="已平仓",ISNUMBER(O25)),(SUMIFS('成交明细'!$H$5:$H$804,'成交明细'!$A$5:$A$804,A25,'成交明细'!$D$5:$D$804,"卖")-SUMIFS('成交明细'!$H$5:$H$804,'成交明细'!$A$5:$A$804,A25,'成交明细'!$D$5:$D$804,"买"))*IF(N(G25)&gt;0,G25,1)/O25,"")</f>
        <v/>
      </c>
      <c r="AC25" s="43" t="str">
        <f>IF(AND(Y25="已平仓",ISNUMBER(O25)),AA25/O25,"")</f>
        <v/>
      </c>
      <c r="AD25" s="44" t="str">
        <f>IF(AND(ISNUMBER(V25),ISNUMBER(I25)),IF(F25="空",I25-V25,V25-I25),"")</f>
        <v/>
      </c>
      <c r="AE25" s="44" t="str">
        <f>IF(OR(NOT(ISNUMBER(AA25)),NOT(ISNUMBER(X25))),"",IF(AA25&lt;0,IF(F25="空",X25-J25,J25-X25),IF(NOT(ISNUMBER(K25)),"",IF(F25="空",X25-K25,K25-X25))))</f>
        <v/>
      </c>
      <c r="AF25" s="32" t="n"/>
      <c r="AG25" s="32" t="n"/>
      <c r="AH25" s="31" t="n"/>
      <c r="AI25" s="43" t="str">
        <f>IF(A25="","",SUM(AC$5:AC25))</f>
        <v/>
      </c>
      <c r="AJ25" s="45" t="str">
        <f>IF(A25="","",MAX(0,MAX(AI$5:AI25))-AI25)</f>
        <v/>
      </c>
    </row>
    <row r="26">
      <c r="A26" s="29" t="n"/>
      <c r="B26" s="30" t="n"/>
      <c r="C26" s="31" t="n"/>
      <c r="D26" s="32" t="n"/>
      <c r="E26" s="32" t="n"/>
      <c r="F26" s="32" t="n"/>
      <c r="G26" s="32" t="n"/>
      <c r="H26" s="32" t="n"/>
      <c r="I26" s="33" t="n"/>
      <c r="J26" s="33" t="n"/>
      <c r="K26" s="33" t="n"/>
      <c r="L26" s="34" t="str">
        <f>IF(AND(ISNUMBER(I26),ISNUMBER(J26),ISNUMBER(K26)),IF(OR(AND(F26="多",I26&gt;J26),AND(F26="空",I26&lt;J26)),ABS(K26-I26)/ABS(I26-J26),"止损方向不对"),"")</f>
        <v/>
      </c>
      <c r="M26" s="35" t="str">
        <f>IF(AND(ISNUMBER(I26),ISNUMBER(J26)),IF(I26=J26,"",IF(INT(ROUND('参数'!$C$7/(ABS(I26-J26)*IF(N(G26)&gt;0,G26,1)+2*(I26*IF(N(G26)&gt;0,G26,1)*'参数'!$C$12+'参数'!$C$13+'参数'!$C$14*IF(N(G26)&gt;0,G26,1)))/IF(N(H26)&gt;0,H26,1),6))*IF(N(H26)&gt;0,H26,1)&gt;0,INT(ROUND('参数'!$C$7/(ABS(I26-J26)*IF(N(G26)&gt;0,G26,1)+2*(I26*IF(N(G26)&gt;0,G26,1)*'参数'!$C$12+'参数'!$C$13+'参数'!$C$14*IF(N(G26)&gt;0,G26,1)))/IF(N(H26)&gt;0,H26,1),6))*IF(N(H26)&gt;0,H26,1),"预算不足，这笔不做")),"")</f>
        <v/>
      </c>
      <c r="N26" s="36" t="n"/>
      <c r="O26" s="20" t="str">
        <f>IF(AND(ISNUMBER(I26),ISNUMBER(J26),ISNUMBER(N26)),IF(AND(I26&lt;&gt;J26,N26&gt;0),ABS(I26-J26)*N26*IF(N(G26)&gt;0,G26,1),""),"")</f>
        <v/>
      </c>
      <c r="P26" s="31" t="n"/>
      <c r="Q26" s="32" t="n"/>
      <c r="R26" s="37" t="str">
        <f>IF(N(U26)&gt;0,SUMPRODUCT(LARGE(('成交明细'!$A$5:$A$804=A26)*('成交明细'!$D$5:$D$804=IF(F26="空","卖","买"))*'成交明细'!$B$5:$B$804,COUNTIFS('成交明细'!$A$5:$A$804,A26,'成交明细'!$D$5:$D$804,IF(F26="空","卖","买")))),"")</f>
        <v/>
      </c>
      <c r="S26" s="37" t="str">
        <f>IF(AND(N(U26)&gt;0,N(W26)&gt;=N(U26)),SUMPRODUCT(MAX(('成交明细'!$A$5:$A$804=A26)*('成交明细'!$D$5:$D$804=IF(F26="空","买","卖"))*'成交明细'!$B$5:$B$804)),"")</f>
        <v/>
      </c>
      <c r="T26" s="38" t="str">
        <f>IF(N(U26)=0,"",IF(SUMPRODUCT(('成交明细'!$A$5:$A$804=A26)*('成交明细'!$D$5:$D$804=IF(F26="空","卖","买"))*ISNUMBER('成交明细'!$C$5:$C$804))=0,"没填时间",IFERROR(VLOOKUP(MOD(SUMPRODUCT(LARGE(('成交明细'!$A$5:$A$804=A26)*('成交明细'!$D$5:$D$804=IF(F26="空","卖","买"))*('成交明细'!$B$5:$B$804+'成交明细'!$C$5:$C$804),COUNTIFS('成交明细'!$A$5:$A$804,A26,'成交明细'!$D$5:$D$804,IF(F26="空","卖","买")))),1),'参数'!$B$39:$C$48,2,TRUE),"")))</f>
        <v/>
      </c>
      <c r="U26" s="35" t="str">
        <f>IF(A26="","",SUMIFS('成交明细'!$F$5:$F$804,'成交明细'!$A$5:$A$804,A26,'成交明细'!$D$5:$D$804,IF(F26="空","卖","买")))</f>
        <v/>
      </c>
      <c r="V26" s="39" t="str">
        <f>IF(N(U26)&gt;0,SUMIFS('成交明细'!$H$5:$H$804,'成交明细'!$A$5:$A$804,A26,'成交明细'!$D$5:$D$804,IF(F26="空","卖","买"))/U26,"")</f>
        <v/>
      </c>
      <c r="W26" s="35" t="str">
        <f>IF(A26="","",SUMIFS('成交明细'!$F$5:$F$804,'成交明细'!$A$5:$A$804,A26,'成交明细'!$D$5:$D$804,IF(F26="空","买","卖")))</f>
        <v/>
      </c>
      <c r="X26" s="39" t="str">
        <f>IF(N(W26)&gt;0,SUMIFS('成交明细'!$H$5:$H$804,'成交明细'!$A$5:$A$804,A26,'成交明细'!$D$5:$D$804,IF(F26="空","买","卖"))/W26,"")</f>
        <v/>
      </c>
      <c r="Y26" s="40" t="str">
        <f>IF(A26="","",IF(Q26&lt;&gt;"已执行",IF(Q26="","未填执行情况",Q26),IF(N(U26)=0,"待录成交",IF(N(W26)&gt;N(U26),"平仓多于开仓",IF(N(W26)&lt;N(U26),"持仓中","已平仓")))))</f>
        <v/>
      </c>
      <c r="Z26" s="41" t="str">
        <f>IF(N(U26)=0,"",SUMIFS('成交明细'!$L$5:$L$804,'成交明细'!$A$5:$A$804,A26))</f>
        <v/>
      </c>
      <c r="AA26" s="42" t="str">
        <f>IF(Y26&lt;&gt;"已平仓","",(SUMIFS('成交明细'!$H$5:$H$804,'成交明细'!$A$5:$A$804,A26,'成交明细'!$D$5:$D$804,"卖")-SUMIFS('成交明细'!$H$5:$H$804,'成交明细'!$A$5:$A$804,A26,'成交明细'!$D$5:$D$804,"买"))*IF(N(G26)&gt;0,G26,1)-Z26)</f>
        <v/>
      </c>
      <c r="AB26" s="43" t="str">
        <f>IF(AND(Y26="已平仓",ISNUMBER(O26)),(SUMIFS('成交明细'!$H$5:$H$804,'成交明细'!$A$5:$A$804,A26,'成交明细'!$D$5:$D$804,"卖")-SUMIFS('成交明细'!$H$5:$H$804,'成交明细'!$A$5:$A$804,A26,'成交明细'!$D$5:$D$804,"买"))*IF(N(G26)&gt;0,G26,1)/O26,"")</f>
        <v/>
      </c>
      <c r="AC26" s="43" t="str">
        <f>IF(AND(Y26="已平仓",ISNUMBER(O26)),AA26/O26,"")</f>
        <v/>
      </c>
      <c r="AD26" s="44" t="str">
        <f>IF(AND(ISNUMBER(V26),ISNUMBER(I26)),IF(F26="空",I26-V26,V26-I26),"")</f>
        <v/>
      </c>
      <c r="AE26" s="44" t="str">
        <f>IF(OR(NOT(ISNUMBER(AA26)),NOT(ISNUMBER(X26))),"",IF(AA26&lt;0,IF(F26="空",X26-J26,J26-X26),IF(NOT(ISNUMBER(K26)),"",IF(F26="空",X26-K26,K26-X26))))</f>
        <v/>
      </c>
      <c r="AF26" s="32" t="n"/>
      <c r="AG26" s="32" t="n"/>
      <c r="AH26" s="31" t="n"/>
      <c r="AI26" s="43" t="str">
        <f>IF(A26="","",SUM(AC$5:AC26))</f>
        <v/>
      </c>
      <c r="AJ26" s="45" t="str">
        <f>IF(A26="","",MAX(0,MAX(AI$5:AI26))-AI26)</f>
        <v/>
      </c>
    </row>
    <row r="27">
      <c r="A27" s="29" t="n"/>
      <c r="B27" s="30" t="n"/>
      <c r="C27" s="31" t="n"/>
      <c r="D27" s="32" t="n"/>
      <c r="E27" s="32" t="n"/>
      <c r="F27" s="32" t="n"/>
      <c r="G27" s="32" t="n"/>
      <c r="H27" s="32" t="n"/>
      <c r="I27" s="33" t="n"/>
      <c r="J27" s="33" t="n"/>
      <c r="K27" s="33" t="n"/>
      <c r="L27" s="34" t="str">
        <f>IF(AND(ISNUMBER(I27),ISNUMBER(J27),ISNUMBER(K27)),IF(OR(AND(F27="多",I27&gt;J27),AND(F27="空",I27&lt;J27)),ABS(K27-I27)/ABS(I27-J27),"止损方向不对"),"")</f>
        <v/>
      </c>
      <c r="M27" s="35" t="str">
        <f>IF(AND(ISNUMBER(I27),ISNUMBER(J27)),IF(I27=J27,"",IF(INT(ROUND('参数'!$C$7/(ABS(I27-J27)*IF(N(G27)&gt;0,G27,1)+2*(I27*IF(N(G27)&gt;0,G27,1)*'参数'!$C$12+'参数'!$C$13+'参数'!$C$14*IF(N(G27)&gt;0,G27,1)))/IF(N(H27)&gt;0,H27,1),6))*IF(N(H27)&gt;0,H27,1)&gt;0,INT(ROUND('参数'!$C$7/(ABS(I27-J27)*IF(N(G27)&gt;0,G27,1)+2*(I27*IF(N(G27)&gt;0,G27,1)*'参数'!$C$12+'参数'!$C$13+'参数'!$C$14*IF(N(G27)&gt;0,G27,1)))/IF(N(H27)&gt;0,H27,1),6))*IF(N(H27)&gt;0,H27,1),"预算不足，这笔不做")),"")</f>
        <v/>
      </c>
      <c r="N27" s="36" t="n"/>
      <c r="O27" s="20" t="str">
        <f>IF(AND(ISNUMBER(I27),ISNUMBER(J27),ISNUMBER(N27)),IF(AND(I27&lt;&gt;J27,N27&gt;0),ABS(I27-J27)*N27*IF(N(G27)&gt;0,G27,1),""),"")</f>
        <v/>
      </c>
      <c r="P27" s="31" t="n"/>
      <c r="Q27" s="32" t="n"/>
      <c r="R27" s="37" t="str">
        <f>IF(N(U27)&gt;0,SUMPRODUCT(LARGE(('成交明细'!$A$5:$A$804=A27)*('成交明细'!$D$5:$D$804=IF(F27="空","卖","买"))*'成交明细'!$B$5:$B$804,COUNTIFS('成交明细'!$A$5:$A$804,A27,'成交明细'!$D$5:$D$804,IF(F27="空","卖","买")))),"")</f>
        <v/>
      </c>
      <c r="S27" s="37" t="str">
        <f>IF(AND(N(U27)&gt;0,N(W27)&gt;=N(U27)),SUMPRODUCT(MAX(('成交明细'!$A$5:$A$804=A27)*('成交明细'!$D$5:$D$804=IF(F27="空","买","卖"))*'成交明细'!$B$5:$B$804)),"")</f>
        <v/>
      </c>
      <c r="T27" s="38" t="str">
        <f>IF(N(U27)=0,"",IF(SUMPRODUCT(('成交明细'!$A$5:$A$804=A27)*('成交明细'!$D$5:$D$804=IF(F27="空","卖","买"))*ISNUMBER('成交明细'!$C$5:$C$804))=0,"没填时间",IFERROR(VLOOKUP(MOD(SUMPRODUCT(LARGE(('成交明细'!$A$5:$A$804=A27)*('成交明细'!$D$5:$D$804=IF(F27="空","卖","买"))*('成交明细'!$B$5:$B$804+'成交明细'!$C$5:$C$804),COUNTIFS('成交明细'!$A$5:$A$804,A27,'成交明细'!$D$5:$D$804,IF(F27="空","卖","买")))),1),'参数'!$B$39:$C$48,2,TRUE),"")))</f>
        <v/>
      </c>
      <c r="U27" s="35" t="str">
        <f>IF(A27="","",SUMIFS('成交明细'!$F$5:$F$804,'成交明细'!$A$5:$A$804,A27,'成交明细'!$D$5:$D$804,IF(F27="空","卖","买")))</f>
        <v/>
      </c>
      <c r="V27" s="39" t="str">
        <f>IF(N(U27)&gt;0,SUMIFS('成交明细'!$H$5:$H$804,'成交明细'!$A$5:$A$804,A27,'成交明细'!$D$5:$D$804,IF(F27="空","卖","买"))/U27,"")</f>
        <v/>
      </c>
      <c r="W27" s="35" t="str">
        <f>IF(A27="","",SUMIFS('成交明细'!$F$5:$F$804,'成交明细'!$A$5:$A$804,A27,'成交明细'!$D$5:$D$804,IF(F27="空","买","卖")))</f>
        <v/>
      </c>
      <c r="X27" s="39" t="str">
        <f>IF(N(W27)&gt;0,SUMIFS('成交明细'!$H$5:$H$804,'成交明细'!$A$5:$A$804,A27,'成交明细'!$D$5:$D$804,IF(F27="空","买","卖"))/W27,"")</f>
        <v/>
      </c>
      <c r="Y27" s="40" t="str">
        <f>IF(A27="","",IF(Q27&lt;&gt;"已执行",IF(Q27="","未填执行情况",Q27),IF(N(U27)=0,"待录成交",IF(N(W27)&gt;N(U27),"平仓多于开仓",IF(N(W27)&lt;N(U27),"持仓中","已平仓")))))</f>
        <v/>
      </c>
      <c r="Z27" s="41" t="str">
        <f>IF(N(U27)=0,"",SUMIFS('成交明细'!$L$5:$L$804,'成交明细'!$A$5:$A$804,A27))</f>
        <v/>
      </c>
      <c r="AA27" s="42" t="str">
        <f>IF(Y27&lt;&gt;"已平仓","",(SUMIFS('成交明细'!$H$5:$H$804,'成交明细'!$A$5:$A$804,A27,'成交明细'!$D$5:$D$804,"卖")-SUMIFS('成交明细'!$H$5:$H$804,'成交明细'!$A$5:$A$804,A27,'成交明细'!$D$5:$D$804,"买"))*IF(N(G27)&gt;0,G27,1)-Z27)</f>
        <v/>
      </c>
      <c r="AB27" s="43" t="str">
        <f>IF(AND(Y27="已平仓",ISNUMBER(O27)),(SUMIFS('成交明细'!$H$5:$H$804,'成交明细'!$A$5:$A$804,A27,'成交明细'!$D$5:$D$804,"卖")-SUMIFS('成交明细'!$H$5:$H$804,'成交明细'!$A$5:$A$804,A27,'成交明细'!$D$5:$D$804,"买"))*IF(N(G27)&gt;0,G27,1)/O27,"")</f>
        <v/>
      </c>
      <c r="AC27" s="43" t="str">
        <f>IF(AND(Y27="已平仓",ISNUMBER(O27)),AA27/O27,"")</f>
        <v/>
      </c>
      <c r="AD27" s="44" t="str">
        <f>IF(AND(ISNUMBER(V27),ISNUMBER(I27)),IF(F27="空",I27-V27,V27-I27),"")</f>
        <v/>
      </c>
      <c r="AE27" s="44" t="str">
        <f>IF(OR(NOT(ISNUMBER(AA27)),NOT(ISNUMBER(X27))),"",IF(AA27&lt;0,IF(F27="空",X27-J27,J27-X27),IF(NOT(ISNUMBER(K27)),"",IF(F27="空",X27-K27,K27-X27))))</f>
        <v/>
      </c>
      <c r="AF27" s="32" t="n"/>
      <c r="AG27" s="32" t="n"/>
      <c r="AH27" s="31" t="n"/>
      <c r="AI27" s="43" t="str">
        <f>IF(A27="","",SUM(AC$5:AC27))</f>
        <v/>
      </c>
      <c r="AJ27" s="45" t="str">
        <f>IF(A27="","",MAX(0,MAX(AI$5:AI27))-AI27)</f>
        <v/>
      </c>
    </row>
    <row r="28">
      <c r="A28" s="29" t="n"/>
      <c r="B28" s="30" t="n"/>
      <c r="C28" s="31" t="n"/>
      <c r="D28" s="32" t="n"/>
      <c r="E28" s="32" t="n"/>
      <c r="F28" s="32" t="n"/>
      <c r="G28" s="32" t="n"/>
      <c r="H28" s="32" t="n"/>
      <c r="I28" s="33" t="n"/>
      <c r="J28" s="33" t="n"/>
      <c r="K28" s="33" t="n"/>
      <c r="L28" s="34" t="str">
        <f>IF(AND(ISNUMBER(I28),ISNUMBER(J28),ISNUMBER(K28)),IF(OR(AND(F28="多",I28&gt;J28),AND(F28="空",I28&lt;J28)),ABS(K28-I28)/ABS(I28-J28),"止损方向不对"),"")</f>
        <v/>
      </c>
      <c r="M28" s="35" t="str">
        <f>IF(AND(ISNUMBER(I28),ISNUMBER(J28)),IF(I28=J28,"",IF(INT(ROUND('参数'!$C$7/(ABS(I28-J28)*IF(N(G28)&gt;0,G28,1)+2*(I28*IF(N(G28)&gt;0,G28,1)*'参数'!$C$12+'参数'!$C$13+'参数'!$C$14*IF(N(G28)&gt;0,G28,1)))/IF(N(H28)&gt;0,H28,1),6))*IF(N(H28)&gt;0,H28,1)&gt;0,INT(ROUND('参数'!$C$7/(ABS(I28-J28)*IF(N(G28)&gt;0,G28,1)+2*(I28*IF(N(G28)&gt;0,G28,1)*'参数'!$C$12+'参数'!$C$13+'参数'!$C$14*IF(N(G28)&gt;0,G28,1)))/IF(N(H28)&gt;0,H28,1),6))*IF(N(H28)&gt;0,H28,1),"预算不足，这笔不做")),"")</f>
        <v/>
      </c>
      <c r="N28" s="36" t="n"/>
      <c r="O28" s="20" t="str">
        <f>IF(AND(ISNUMBER(I28),ISNUMBER(J28),ISNUMBER(N28)),IF(AND(I28&lt;&gt;J28,N28&gt;0),ABS(I28-J28)*N28*IF(N(G28)&gt;0,G28,1),""),"")</f>
        <v/>
      </c>
      <c r="P28" s="31" t="n"/>
      <c r="Q28" s="32" t="n"/>
      <c r="R28" s="37" t="str">
        <f>IF(N(U28)&gt;0,SUMPRODUCT(LARGE(('成交明细'!$A$5:$A$804=A28)*('成交明细'!$D$5:$D$804=IF(F28="空","卖","买"))*'成交明细'!$B$5:$B$804,COUNTIFS('成交明细'!$A$5:$A$804,A28,'成交明细'!$D$5:$D$804,IF(F28="空","卖","买")))),"")</f>
        <v/>
      </c>
      <c r="S28" s="37" t="str">
        <f>IF(AND(N(U28)&gt;0,N(W28)&gt;=N(U28)),SUMPRODUCT(MAX(('成交明细'!$A$5:$A$804=A28)*('成交明细'!$D$5:$D$804=IF(F28="空","买","卖"))*'成交明细'!$B$5:$B$804)),"")</f>
        <v/>
      </c>
      <c r="T28" s="38" t="str">
        <f>IF(N(U28)=0,"",IF(SUMPRODUCT(('成交明细'!$A$5:$A$804=A28)*('成交明细'!$D$5:$D$804=IF(F28="空","卖","买"))*ISNUMBER('成交明细'!$C$5:$C$804))=0,"没填时间",IFERROR(VLOOKUP(MOD(SUMPRODUCT(LARGE(('成交明细'!$A$5:$A$804=A28)*('成交明细'!$D$5:$D$804=IF(F28="空","卖","买"))*('成交明细'!$B$5:$B$804+'成交明细'!$C$5:$C$804),COUNTIFS('成交明细'!$A$5:$A$804,A28,'成交明细'!$D$5:$D$804,IF(F28="空","卖","买")))),1),'参数'!$B$39:$C$48,2,TRUE),"")))</f>
        <v/>
      </c>
      <c r="U28" s="35" t="str">
        <f>IF(A28="","",SUMIFS('成交明细'!$F$5:$F$804,'成交明细'!$A$5:$A$804,A28,'成交明细'!$D$5:$D$804,IF(F28="空","卖","买")))</f>
        <v/>
      </c>
      <c r="V28" s="39" t="str">
        <f>IF(N(U28)&gt;0,SUMIFS('成交明细'!$H$5:$H$804,'成交明细'!$A$5:$A$804,A28,'成交明细'!$D$5:$D$804,IF(F28="空","卖","买"))/U28,"")</f>
        <v/>
      </c>
      <c r="W28" s="35" t="str">
        <f>IF(A28="","",SUMIFS('成交明细'!$F$5:$F$804,'成交明细'!$A$5:$A$804,A28,'成交明细'!$D$5:$D$804,IF(F28="空","买","卖")))</f>
        <v/>
      </c>
      <c r="X28" s="39" t="str">
        <f>IF(N(W28)&gt;0,SUMIFS('成交明细'!$H$5:$H$804,'成交明细'!$A$5:$A$804,A28,'成交明细'!$D$5:$D$804,IF(F28="空","买","卖"))/W28,"")</f>
        <v/>
      </c>
      <c r="Y28" s="40" t="str">
        <f>IF(A28="","",IF(Q28&lt;&gt;"已执行",IF(Q28="","未填执行情况",Q28),IF(N(U28)=0,"待录成交",IF(N(W28)&gt;N(U28),"平仓多于开仓",IF(N(W28)&lt;N(U28),"持仓中","已平仓")))))</f>
        <v/>
      </c>
      <c r="Z28" s="41" t="str">
        <f>IF(N(U28)=0,"",SUMIFS('成交明细'!$L$5:$L$804,'成交明细'!$A$5:$A$804,A28))</f>
        <v/>
      </c>
      <c r="AA28" s="42" t="str">
        <f>IF(Y28&lt;&gt;"已平仓","",(SUMIFS('成交明细'!$H$5:$H$804,'成交明细'!$A$5:$A$804,A28,'成交明细'!$D$5:$D$804,"卖")-SUMIFS('成交明细'!$H$5:$H$804,'成交明细'!$A$5:$A$804,A28,'成交明细'!$D$5:$D$804,"买"))*IF(N(G28)&gt;0,G28,1)-Z28)</f>
        <v/>
      </c>
      <c r="AB28" s="43" t="str">
        <f>IF(AND(Y28="已平仓",ISNUMBER(O28)),(SUMIFS('成交明细'!$H$5:$H$804,'成交明细'!$A$5:$A$804,A28,'成交明细'!$D$5:$D$804,"卖")-SUMIFS('成交明细'!$H$5:$H$804,'成交明细'!$A$5:$A$804,A28,'成交明细'!$D$5:$D$804,"买"))*IF(N(G28)&gt;0,G28,1)/O28,"")</f>
        <v/>
      </c>
      <c r="AC28" s="43" t="str">
        <f>IF(AND(Y28="已平仓",ISNUMBER(O28)),AA28/O28,"")</f>
        <v/>
      </c>
      <c r="AD28" s="44" t="str">
        <f>IF(AND(ISNUMBER(V28),ISNUMBER(I28)),IF(F28="空",I28-V28,V28-I28),"")</f>
        <v/>
      </c>
      <c r="AE28" s="44" t="str">
        <f>IF(OR(NOT(ISNUMBER(AA28)),NOT(ISNUMBER(X28))),"",IF(AA28&lt;0,IF(F28="空",X28-J28,J28-X28),IF(NOT(ISNUMBER(K28)),"",IF(F28="空",X28-K28,K28-X28))))</f>
        <v/>
      </c>
      <c r="AF28" s="32" t="n"/>
      <c r="AG28" s="32" t="n"/>
      <c r="AH28" s="31" t="n"/>
      <c r="AI28" s="43" t="str">
        <f>IF(A28="","",SUM(AC$5:AC28))</f>
        <v/>
      </c>
      <c r="AJ28" s="45" t="str">
        <f>IF(A28="","",MAX(0,MAX(AI$5:AI28))-AI28)</f>
        <v/>
      </c>
    </row>
    <row r="29">
      <c r="A29" s="29" t="n"/>
      <c r="B29" s="30" t="n"/>
      <c r="C29" s="31" t="n"/>
      <c r="D29" s="32" t="n"/>
      <c r="E29" s="32" t="n"/>
      <c r="F29" s="32" t="n"/>
      <c r="G29" s="32" t="n"/>
      <c r="H29" s="32" t="n"/>
      <c r="I29" s="33" t="n"/>
      <c r="J29" s="33" t="n"/>
      <c r="K29" s="33" t="n"/>
      <c r="L29" s="34" t="str">
        <f>IF(AND(ISNUMBER(I29),ISNUMBER(J29),ISNUMBER(K29)),IF(OR(AND(F29="多",I29&gt;J29),AND(F29="空",I29&lt;J29)),ABS(K29-I29)/ABS(I29-J29),"止损方向不对"),"")</f>
        <v/>
      </c>
      <c r="M29" s="35" t="str">
        <f>IF(AND(ISNUMBER(I29),ISNUMBER(J29)),IF(I29=J29,"",IF(INT(ROUND('参数'!$C$7/(ABS(I29-J29)*IF(N(G29)&gt;0,G29,1)+2*(I29*IF(N(G29)&gt;0,G29,1)*'参数'!$C$12+'参数'!$C$13+'参数'!$C$14*IF(N(G29)&gt;0,G29,1)))/IF(N(H29)&gt;0,H29,1),6))*IF(N(H29)&gt;0,H29,1)&gt;0,INT(ROUND('参数'!$C$7/(ABS(I29-J29)*IF(N(G29)&gt;0,G29,1)+2*(I29*IF(N(G29)&gt;0,G29,1)*'参数'!$C$12+'参数'!$C$13+'参数'!$C$14*IF(N(G29)&gt;0,G29,1)))/IF(N(H29)&gt;0,H29,1),6))*IF(N(H29)&gt;0,H29,1),"预算不足，这笔不做")),"")</f>
        <v/>
      </c>
      <c r="N29" s="36" t="n"/>
      <c r="O29" s="20" t="str">
        <f>IF(AND(ISNUMBER(I29),ISNUMBER(J29),ISNUMBER(N29)),IF(AND(I29&lt;&gt;J29,N29&gt;0),ABS(I29-J29)*N29*IF(N(G29)&gt;0,G29,1),""),"")</f>
        <v/>
      </c>
      <c r="P29" s="31" t="n"/>
      <c r="Q29" s="32" t="n"/>
      <c r="R29" s="37" t="str">
        <f>IF(N(U29)&gt;0,SUMPRODUCT(LARGE(('成交明细'!$A$5:$A$804=A29)*('成交明细'!$D$5:$D$804=IF(F29="空","卖","买"))*'成交明细'!$B$5:$B$804,COUNTIFS('成交明细'!$A$5:$A$804,A29,'成交明细'!$D$5:$D$804,IF(F29="空","卖","买")))),"")</f>
        <v/>
      </c>
      <c r="S29" s="37" t="str">
        <f>IF(AND(N(U29)&gt;0,N(W29)&gt;=N(U29)),SUMPRODUCT(MAX(('成交明细'!$A$5:$A$804=A29)*('成交明细'!$D$5:$D$804=IF(F29="空","买","卖"))*'成交明细'!$B$5:$B$804)),"")</f>
        <v/>
      </c>
      <c r="T29" s="38" t="str">
        <f>IF(N(U29)=0,"",IF(SUMPRODUCT(('成交明细'!$A$5:$A$804=A29)*('成交明细'!$D$5:$D$804=IF(F29="空","卖","买"))*ISNUMBER('成交明细'!$C$5:$C$804))=0,"没填时间",IFERROR(VLOOKUP(MOD(SUMPRODUCT(LARGE(('成交明细'!$A$5:$A$804=A29)*('成交明细'!$D$5:$D$804=IF(F29="空","卖","买"))*('成交明细'!$B$5:$B$804+'成交明细'!$C$5:$C$804),COUNTIFS('成交明细'!$A$5:$A$804,A29,'成交明细'!$D$5:$D$804,IF(F29="空","卖","买")))),1),'参数'!$B$39:$C$48,2,TRUE),"")))</f>
        <v/>
      </c>
      <c r="U29" s="35" t="str">
        <f>IF(A29="","",SUMIFS('成交明细'!$F$5:$F$804,'成交明细'!$A$5:$A$804,A29,'成交明细'!$D$5:$D$804,IF(F29="空","卖","买")))</f>
        <v/>
      </c>
      <c r="V29" s="39" t="str">
        <f>IF(N(U29)&gt;0,SUMIFS('成交明细'!$H$5:$H$804,'成交明细'!$A$5:$A$804,A29,'成交明细'!$D$5:$D$804,IF(F29="空","卖","买"))/U29,"")</f>
        <v/>
      </c>
      <c r="W29" s="35" t="str">
        <f>IF(A29="","",SUMIFS('成交明细'!$F$5:$F$804,'成交明细'!$A$5:$A$804,A29,'成交明细'!$D$5:$D$804,IF(F29="空","买","卖")))</f>
        <v/>
      </c>
      <c r="X29" s="39" t="str">
        <f>IF(N(W29)&gt;0,SUMIFS('成交明细'!$H$5:$H$804,'成交明细'!$A$5:$A$804,A29,'成交明细'!$D$5:$D$804,IF(F29="空","买","卖"))/W29,"")</f>
        <v/>
      </c>
      <c r="Y29" s="40" t="str">
        <f>IF(A29="","",IF(Q29&lt;&gt;"已执行",IF(Q29="","未填执行情况",Q29),IF(N(U29)=0,"待录成交",IF(N(W29)&gt;N(U29),"平仓多于开仓",IF(N(W29)&lt;N(U29),"持仓中","已平仓")))))</f>
        <v/>
      </c>
      <c r="Z29" s="41" t="str">
        <f>IF(N(U29)=0,"",SUMIFS('成交明细'!$L$5:$L$804,'成交明细'!$A$5:$A$804,A29))</f>
        <v/>
      </c>
      <c r="AA29" s="42" t="str">
        <f>IF(Y29&lt;&gt;"已平仓","",(SUMIFS('成交明细'!$H$5:$H$804,'成交明细'!$A$5:$A$804,A29,'成交明细'!$D$5:$D$804,"卖")-SUMIFS('成交明细'!$H$5:$H$804,'成交明细'!$A$5:$A$804,A29,'成交明细'!$D$5:$D$804,"买"))*IF(N(G29)&gt;0,G29,1)-Z29)</f>
        <v/>
      </c>
      <c r="AB29" s="43" t="str">
        <f>IF(AND(Y29="已平仓",ISNUMBER(O29)),(SUMIFS('成交明细'!$H$5:$H$804,'成交明细'!$A$5:$A$804,A29,'成交明细'!$D$5:$D$804,"卖")-SUMIFS('成交明细'!$H$5:$H$804,'成交明细'!$A$5:$A$804,A29,'成交明细'!$D$5:$D$804,"买"))*IF(N(G29)&gt;0,G29,1)/O29,"")</f>
        <v/>
      </c>
      <c r="AC29" s="43" t="str">
        <f>IF(AND(Y29="已平仓",ISNUMBER(O29)),AA29/O29,"")</f>
        <v/>
      </c>
      <c r="AD29" s="44" t="str">
        <f>IF(AND(ISNUMBER(V29),ISNUMBER(I29)),IF(F29="空",I29-V29,V29-I29),"")</f>
        <v/>
      </c>
      <c r="AE29" s="44" t="str">
        <f>IF(OR(NOT(ISNUMBER(AA29)),NOT(ISNUMBER(X29))),"",IF(AA29&lt;0,IF(F29="空",X29-J29,J29-X29),IF(NOT(ISNUMBER(K29)),"",IF(F29="空",X29-K29,K29-X29))))</f>
        <v/>
      </c>
      <c r="AF29" s="32" t="n"/>
      <c r="AG29" s="32" t="n"/>
      <c r="AH29" s="31" t="n"/>
      <c r="AI29" s="43" t="str">
        <f>IF(A29="","",SUM(AC$5:AC29))</f>
        <v/>
      </c>
      <c r="AJ29" s="45" t="str">
        <f>IF(A29="","",MAX(0,MAX(AI$5:AI29))-AI29)</f>
        <v/>
      </c>
    </row>
    <row r="30">
      <c r="A30" s="29" t="n"/>
      <c r="B30" s="30" t="n"/>
      <c r="C30" s="31" t="n"/>
      <c r="D30" s="32" t="n"/>
      <c r="E30" s="32" t="n"/>
      <c r="F30" s="32" t="n"/>
      <c r="G30" s="32" t="n"/>
      <c r="H30" s="32" t="n"/>
      <c r="I30" s="33" t="n"/>
      <c r="J30" s="33" t="n"/>
      <c r="K30" s="33" t="n"/>
      <c r="L30" s="34" t="str">
        <f>IF(AND(ISNUMBER(I30),ISNUMBER(J30),ISNUMBER(K30)),IF(OR(AND(F30="多",I30&gt;J30),AND(F30="空",I30&lt;J30)),ABS(K30-I30)/ABS(I30-J30),"止损方向不对"),"")</f>
        <v/>
      </c>
      <c r="M30" s="35" t="str">
        <f>IF(AND(ISNUMBER(I30),ISNUMBER(J30)),IF(I30=J30,"",IF(INT(ROUND('参数'!$C$7/(ABS(I30-J30)*IF(N(G30)&gt;0,G30,1)+2*(I30*IF(N(G30)&gt;0,G30,1)*'参数'!$C$12+'参数'!$C$13+'参数'!$C$14*IF(N(G30)&gt;0,G30,1)))/IF(N(H30)&gt;0,H30,1),6))*IF(N(H30)&gt;0,H30,1)&gt;0,INT(ROUND('参数'!$C$7/(ABS(I30-J30)*IF(N(G30)&gt;0,G30,1)+2*(I30*IF(N(G30)&gt;0,G30,1)*'参数'!$C$12+'参数'!$C$13+'参数'!$C$14*IF(N(G30)&gt;0,G30,1)))/IF(N(H30)&gt;0,H30,1),6))*IF(N(H30)&gt;0,H30,1),"预算不足，这笔不做")),"")</f>
        <v/>
      </c>
      <c r="N30" s="36" t="n"/>
      <c r="O30" s="20" t="str">
        <f>IF(AND(ISNUMBER(I30),ISNUMBER(J30),ISNUMBER(N30)),IF(AND(I30&lt;&gt;J30,N30&gt;0),ABS(I30-J30)*N30*IF(N(G30)&gt;0,G30,1),""),"")</f>
        <v/>
      </c>
      <c r="P30" s="31" t="n"/>
      <c r="Q30" s="32" t="n"/>
      <c r="R30" s="37" t="str">
        <f>IF(N(U30)&gt;0,SUMPRODUCT(LARGE(('成交明细'!$A$5:$A$804=A30)*('成交明细'!$D$5:$D$804=IF(F30="空","卖","买"))*'成交明细'!$B$5:$B$804,COUNTIFS('成交明细'!$A$5:$A$804,A30,'成交明细'!$D$5:$D$804,IF(F30="空","卖","买")))),"")</f>
        <v/>
      </c>
      <c r="S30" s="37" t="str">
        <f>IF(AND(N(U30)&gt;0,N(W30)&gt;=N(U30)),SUMPRODUCT(MAX(('成交明细'!$A$5:$A$804=A30)*('成交明细'!$D$5:$D$804=IF(F30="空","买","卖"))*'成交明细'!$B$5:$B$804)),"")</f>
        <v/>
      </c>
      <c r="T30" s="38" t="str">
        <f>IF(N(U30)=0,"",IF(SUMPRODUCT(('成交明细'!$A$5:$A$804=A30)*('成交明细'!$D$5:$D$804=IF(F30="空","卖","买"))*ISNUMBER('成交明细'!$C$5:$C$804))=0,"没填时间",IFERROR(VLOOKUP(MOD(SUMPRODUCT(LARGE(('成交明细'!$A$5:$A$804=A30)*('成交明细'!$D$5:$D$804=IF(F30="空","卖","买"))*('成交明细'!$B$5:$B$804+'成交明细'!$C$5:$C$804),COUNTIFS('成交明细'!$A$5:$A$804,A30,'成交明细'!$D$5:$D$804,IF(F30="空","卖","买")))),1),'参数'!$B$39:$C$48,2,TRUE),"")))</f>
        <v/>
      </c>
      <c r="U30" s="35" t="str">
        <f>IF(A30="","",SUMIFS('成交明细'!$F$5:$F$804,'成交明细'!$A$5:$A$804,A30,'成交明细'!$D$5:$D$804,IF(F30="空","卖","买")))</f>
        <v/>
      </c>
      <c r="V30" s="39" t="str">
        <f>IF(N(U30)&gt;0,SUMIFS('成交明细'!$H$5:$H$804,'成交明细'!$A$5:$A$804,A30,'成交明细'!$D$5:$D$804,IF(F30="空","卖","买"))/U30,"")</f>
        <v/>
      </c>
      <c r="W30" s="35" t="str">
        <f>IF(A30="","",SUMIFS('成交明细'!$F$5:$F$804,'成交明细'!$A$5:$A$804,A30,'成交明细'!$D$5:$D$804,IF(F30="空","买","卖")))</f>
        <v/>
      </c>
      <c r="X30" s="39" t="str">
        <f>IF(N(W30)&gt;0,SUMIFS('成交明细'!$H$5:$H$804,'成交明细'!$A$5:$A$804,A30,'成交明细'!$D$5:$D$804,IF(F30="空","买","卖"))/W30,"")</f>
        <v/>
      </c>
      <c r="Y30" s="40" t="str">
        <f>IF(A30="","",IF(Q30&lt;&gt;"已执行",IF(Q30="","未填执行情况",Q30),IF(N(U30)=0,"待录成交",IF(N(W30)&gt;N(U30),"平仓多于开仓",IF(N(W30)&lt;N(U30),"持仓中","已平仓")))))</f>
        <v/>
      </c>
      <c r="Z30" s="41" t="str">
        <f>IF(N(U30)=0,"",SUMIFS('成交明细'!$L$5:$L$804,'成交明细'!$A$5:$A$804,A30))</f>
        <v/>
      </c>
      <c r="AA30" s="42" t="str">
        <f>IF(Y30&lt;&gt;"已平仓","",(SUMIFS('成交明细'!$H$5:$H$804,'成交明细'!$A$5:$A$804,A30,'成交明细'!$D$5:$D$804,"卖")-SUMIFS('成交明细'!$H$5:$H$804,'成交明细'!$A$5:$A$804,A30,'成交明细'!$D$5:$D$804,"买"))*IF(N(G30)&gt;0,G30,1)-Z30)</f>
        <v/>
      </c>
      <c r="AB30" s="43" t="str">
        <f>IF(AND(Y30="已平仓",ISNUMBER(O30)),(SUMIFS('成交明细'!$H$5:$H$804,'成交明细'!$A$5:$A$804,A30,'成交明细'!$D$5:$D$804,"卖")-SUMIFS('成交明细'!$H$5:$H$804,'成交明细'!$A$5:$A$804,A30,'成交明细'!$D$5:$D$804,"买"))*IF(N(G30)&gt;0,G30,1)/O30,"")</f>
        <v/>
      </c>
      <c r="AC30" s="43" t="str">
        <f>IF(AND(Y30="已平仓",ISNUMBER(O30)),AA30/O30,"")</f>
        <v/>
      </c>
      <c r="AD30" s="44" t="str">
        <f>IF(AND(ISNUMBER(V30),ISNUMBER(I30)),IF(F30="空",I30-V30,V30-I30),"")</f>
        <v/>
      </c>
      <c r="AE30" s="44" t="str">
        <f>IF(OR(NOT(ISNUMBER(AA30)),NOT(ISNUMBER(X30))),"",IF(AA30&lt;0,IF(F30="空",X30-J30,J30-X30),IF(NOT(ISNUMBER(K30)),"",IF(F30="空",X30-K30,K30-X30))))</f>
        <v/>
      </c>
      <c r="AF30" s="32" t="n"/>
      <c r="AG30" s="32" t="n"/>
      <c r="AH30" s="31" t="n"/>
      <c r="AI30" s="43" t="str">
        <f>IF(A30="","",SUM(AC$5:AC30))</f>
        <v/>
      </c>
      <c r="AJ30" s="45" t="str">
        <f>IF(A30="","",MAX(0,MAX(AI$5:AI30))-AI30)</f>
        <v/>
      </c>
    </row>
    <row r="31">
      <c r="A31" s="29" t="n"/>
      <c r="B31" s="30" t="n"/>
      <c r="C31" s="31" t="n"/>
      <c r="D31" s="32" t="n"/>
      <c r="E31" s="32" t="n"/>
      <c r="F31" s="32" t="n"/>
      <c r="G31" s="32" t="n"/>
      <c r="H31" s="32" t="n"/>
      <c r="I31" s="33" t="n"/>
      <c r="J31" s="33" t="n"/>
      <c r="K31" s="33" t="n"/>
      <c r="L31" s="34" t="str">
        <f>IF(AND(ISNUMBER(I31),ISNUMBER(J31),ISNUMBER(K31)),IF(OR(AND(F31="多",I31&gt;J31),AND(F31="空",I31&lt;J31)),ABS(K31-I31)/ABS(I31-J31),"止损方向不对"),"")</f>
        <v/>
      </c>
      <c r="M31" s="35" t="str">
        <f>IF(AND(ISNUMBER(I31),ISNUMBER(J31)),IF(I31=J31,"",IF(INT(ROUND('参数'!$C$7/(ABS(I31-J31)*IF(N(G31)&gt;0,G31,1)+2*(I31*IF(N(G31)&gt;0,G31,1)*'参数'!$C$12+'参数'!$C$13+'参数'!$C$14*IF(N(G31)&gt;0,G31,1)))/IF(N(H31)&gt;0,H31,1),6))*IF(N(H31)&gt;0,H31,1)&gt;0,INT(ROUND('参数'!$C$7/(ABS(I31-J31)*IF(N(G31)&gt;0,G31,1)+2*(I31*IF(N(G31)&gt;0,G31,1)*'参数'!$C$12+'参数'!$C$13+'参数'!$C$14*IF(N(G31)&gt;0,G31,1)))/IF(N(H31)&gt;0,H31,1),6))*IF(N(H31)&gt;0,H31,1),"预算不足，这笔不做")),"")</f>
        <v/>
      </c>
      <c r="N31" s="36" t="n"/>
      <c r="O31" s="20" t="str">
        <f>IF(AND(ISNUMBER(I31),ISNUMBER(J31),ISNUMBER(N31)),IF(AND(I31&lt;&gt;J31,N31&gt;0),ABS(I31-J31)*N31*IF(N(G31)&gt;0,G31,1),""),"")</f>
        <v/>
      </c>
      <c r="P31" s="31" t="n"/>
      <c r="Q31" s="32" t="n"/>
      <c r="R31" s="37" t="str">
        <f>IF(N(U31)&gt;0,SUMPRODUCT(LARGE(('成交明细'!$A$5:$A$804=A31)*('成交明细'!$D$5:$D$804=IF(F31="空","卖","买"))*'成交明细'!$B$5:$B$804,COUNTIFS('成交明细'!$A$5:$A$804,A31,'成交明细'!$D$5:$D$804,IF(F31="空","卖","买")))),"")</f>
        <v/>
      </c>
      <c r="S31" s="37" t="str">
        <f>IF(AND(N(U31)&gt;0,N(W31)&gt;=N(U31)),SUMPRODUCT(MAX(('成交明细'!$A$5:$A$804=A31)*('成交明细'!$D$5:$D$804=IF(F31="空","买","卖"))*'成交明细'!$B$5:$B$804)),"")</f>
        <v/>
      </c>
      <c r="T31" s="38" t="str">
        <f>IF(N(U31)=0,"",IF(SUMPRODUCT(('成交明细'!$A$5:$A$804=A31)*('成交明细'!$D$5:$D$804=IF(F31="空","卖","买"))*ISNUMBER('成交明细'!$C$5:$C$804))=0,"没填时间",IFERROR(VLOOKUP(MOD(SUMPRODUCT(LARGE(('成交明细'!$A$5:$A$804=A31)*('成交明细'!$D$5:$D$804=IF(F31="空","卖","买"))*('成交明细'!$B$5:$B$804+'成交明细'!$C$5:$C$804),COUNTIFS('成交明细'!$A$5:$A$804,A31,'成交明细'!$D$5:$D$804,IF(F31="空","卖","买")))),1),'参数'!$B$39:$C$48,2,TRUE),"")))</f>
        <v/>
      </c>
      <c r="U31" s="35" t="str">
        <f>IF(A31="","",SUMIFS('成交明细'!$F$5:$F$804,'成交明细'!$A$5:$A$804,A31,'成交明细'!$D$5:$D$804,IF(F31="空","卖","买")))</f>
        <v/>
      </c>
      <c r="V31" s="39" t="str">
        <f>IF(N(U31)&gt;0,SUMIFS('成交明细'!$H$5:$H$804,'成交明细'!$A$5:$A$804,A31,'成交明细'!$D$5:$D$804,IF(F31="空","卖","买"))/U31,"")</f>
        <v/>
      </c>
      <c r="W31" s="35" t="str">
        <f>IF(A31="","",SUMIFS('成交明细'!$F$5:$F$804,'成交明细'!$A$5:$A$804,A31,'成交明细'!$D$5:$D$804,IF(F31="空","买","卖")))</f>
        <v/>
      </c>
      <c r="X31" s="39" t="str">
        <f>IF(N(W31)&gt;0,SUMIFS('成交明细'!$H$5:$H$804,'成交明细'!$A$5:$A$804,A31,'成交明细'!$D$5:$D$804,IF(F31="空","买","卖"))/W31,"")</f>
        <v/>
      </c>
      <c r="Y31" s="40" t="str">
        <f>IF(A31="","",IF(Q31&lt;&gt;"已执行",IF(Q31="","未填执行情况",Q31),IF(N(U31)=0,"待录成交",IF(N(W31)&gt;N(U31),"平仓多于开仓",IF(N(W31)&lt;N(U31),"持仓中","已平仓")))))</f>
        <v/>
      </c>
      <c r="Z31" s="41" t="str">
        <f>IF(N(U31)=0,"",SUMIFS('成交明细'!$L$5:$L$804,'成交明细'!$A$5:$A$804,A31))</f>
        <v/>
      </c>
      <c r="AA31" s="42" t="str">
        <f>IF(Y31&lt;&gt;"已平仓","",(SUMIFS('成交明细'!$H$5:$H$804,'成交明细'!$A$5:$A$804,A31,'成交明细'!$D$5:$D$804,"卖")-SUMIFS('成交明细'!$H$5:$H$804,'成交明细'!$A$5:$A$804,A31,'成交明细'!$D$5:$D$804,"买"))*IF(N(G31)&gt;0,G31,1)-Z31)</f>
        <v/>
      </c>
      <c r="AB31" s="43" t="str">
        <f>IF(AND(Y31="已平仓",ISNUMBER(O31)),(SUMIFS('成交明细'!$H$5:$H$804,'成交明细'!$A$5:$A$804,A31,'成交明细'!$D$5:$D$804,"卖")-SUMIFS('成交明细'!$H$5:$H$804,'成交明细'!$A$5:$A$804,A31,'成交明细'!$D$5:$D$804,"买"))*IF(N(G31)&gt;0,G31,1)/O31,"")</f>
        <v/>
      </c>
      <c r="AC31" s="43" t="str">
        <f>IF(AND(Y31="已平仓",ISNUMBER(O31)),AA31/O31,"")</f>
        <v/>
      </c>
      <c r="AD31" s="44" t="str">
        <f>IF(AND(ISNUMBER(V31),ISNUMBER(I31)),IF(F31="空",I31-V31,V31-I31),"")</f>
        <v/>
      </c>
      <c r="AE31" s="44" t="str">
        <f>IF(OR(NOT(ISNUMBER(AA31)),NOT(ISNUMBER(X31))),"",IF(AA31&lt;0,IF(F31="空",X31-J31,J31-X31),IF(NOT(ISNUMBER(K31)),"",IF(F31="空",X31-K31,K31-X31))))</f>
        <v/>
      </c>
      <c r="AF31" s="32" t="n"/>
      <c r="AG31" s="32" t="n"/>
      <c r="AH31" s="31" t="n"/>
      <c r="AI31" s="43" t="str">
        <f>IF(A31="","",SUM(AC$5:AC31))</f>
        <v/>
      </c>
      <c r="AJ31" s="45" t="str">
        <f>IF(A31="","",MAX(0,MAX(AI$5:AI31))-AI31)</f>
        <v/>
      </c>
    </row>
    <row r="32">
      <c r="A32" s="29" t="n"/>
      <c r="B32" s="30" t="n"/>
      <c r="C32" s="31" t="n"/>
      <c r="D32" s="32" t="n"/>
      <c r="E32" s="32" t="n"/>
      <c r="F32" s="32" t="n"/>
      <c r="G32" s="32" t="n"/>
      <c r="H32" s="32" t="n"/>
      <c r="I32" s="33" t="n"/>
      <c r="J32" s="33" t="n"/>
      <c r="K32" s="33" t="n"/>
      <c r="L32" s="34" t="str">
        <f>IF(AND(ISNUMBER(I32),ISNUMBER(J32),ISNUMBER(K32)),IF(OR(AND(F32="多",I32&gt;J32),AND(F32="空",I32&lt;J32)),ABS(K32-I32)/ABS(I32-J32),"止损方向不对"),"")</f>
        <v/>
      </c>
      <c r="M32" s="35" t="str">
        <f>IF(AND(ISNUMBER(I32),ISNUMBER(J32)),IF(I32=J32,"",IF(INT(ROUND('参数'!$C$7/(ABS(I32-J32)*IF(N(G32)&gt;0,G32,1)+2*(I32*IF(N(G32)&gt;0,G32,1)*'参数'!$C$12+'参数'!$C$13+'参数'!$C$14*IF(N(G32)&gt;0,G32,1)))/IF(N(H32)&gt;0,H32,1),6))*IF(N(H32)&gt;0,H32,1)&gt;0,INT(ROUND('参数'!$C$7/(ABS(I32-J32)*IF(N(G32)&gt;0,G32,1)+2*(I32*IF(N(G32)&gt;0,G32,1)*'参数'!$C$12+'参数'!$C$13+'参数'!$C$14*IF(N(G32)&gt;0,G32,1)))/IF(N(H32)&gt;0,H32,1),6))*IF(N(H32)&gt;0,H32,1),"预算不足，这笔不做")),"")</f>
        <v/>
      </c>
      <c r="N32" s="36" t="n"/>
      <c r="O32" s="20" t="str">
        <f>IF(AND(ISNUMBER(I32),ISNUMBER(J32),ISNUMBER(N32)),IF(AND(I32&lt;&gt;J32,N32&gt;0),ABS(I32-J32)*N32*IF(N(G32)&gt;0,G32,1),""),"")</f>
        <v/>
      </c>
      <c r="P32" s="31" t="n"/>
      <c r="Q32" s="32" t="n"/>
      <c r="R32" s="37" t="str">
        <f>IF(N(U32)&gt;0,SUMPRODUCT(LARGE(('成交明细'!$A$5:$A$804=A32)*('成交明细'!$D$5:$D$804=IF(F32="空","卖","买"))*'成交明细'!$B$5:$B$804,COUNTIFS('成交明细'!$A$5:$A$804,A32,'成交明细'!$D$5:$D$804,IF(F32="空","卖","买")))),"")</f>
        <v/>
      </c>
      <c r="S32" s="37" t="str">
        <f>IF(AND(N(U32)&gt;0,N(W32)&gt;=N(U32)),SUMPRODUCT(MAX(('成交明细'!$A$5:$A$804=A32)*('成交明细'!$D$5:$D$804=IF(F32="空","买","卖"))*'成交明细'!$B$5:$B$804)),"")</f>
        <v/>
      </c>
      <c r="T32" s="38" t="str">
        <f>IF(N(U32)=0,"",IF(SUMPRODUCT(('成交明细'!$A$5:$A$804=A32)*('成交明细'!$D$5:$D$804=IF(F32="空","卖","买"))*ISNUMBER('成交明细'!$C$5:$C$804))=0,"没填时间",IFERROR(VLOOKUP(MOD(SUMPRODUCT(LARGE(('成交明细'!$A$5:$A$804=A32)*('成交明细'!$D$5:$D$804=IF(F32="空","卖","买"))*('成交明细'!$B$5:$B$804+'成交明细'!$C$5:$C$804),COUNTIFS('成交明细'!$A$5:$A$804,A32,'成交明细'!$D$5:$D$804,IF(F32="空","卖","买")))),1),'参数'!$B$39:$C$48,2,TRUE),"")))</f>
        <v/>
      </c>
      <c r="U32" s="35" t="str">
        <f>IF(A32="","",SUMIFS('成交明细'!$F$5:$F$804,'成交明细'!$A$5:$A$804,A32,'成交明细'!$D$5:$D$804,IF(F32="空","卖","买")))</f>
        <v/>
      </c>
      <c r="V32" s="39" t="str">
        <f>IF(N(U32)&gt;0,SUMIFS('成交明细'!$H$5:$H$804,'成交明细'!$A$5:$A$804,A32,'成交明细'!$D$5:$D$804,IF(F32="空","卖","买"))/U32,"")</f>
        <v/>
      </c>
      <c r="W32" s="35" t="str">
        <f>IF(A32="","",SUMIFS('成交明细'!$F$5:$F$804,'成交明细'!$A$5:$A$804,A32,'成交明细'!$D$5:$D$804,IF(F32="空","买","卖")))</f>
        <v/>
      </c>
      <c r="X32" s="39" t="str">
        <f>IF(N(W32)&gt;0,SUMIFS('成交明细'!$H$5:$H$804,'成交明细'!$A$5:$A$804,A32,'成交明细'!$D$5:$D$804,IF(F32="空","买","卖"))/W32,"")</f>
        <v/>
      </c>
      <c r="Y32" s="40" t="str">
        <f>IF(A32="","",IF(Q32&lt;&gt;"已执行",IF(Q32="","未填执行情况",Q32),IF(N(U32)=0,"待录成交",IF(N(W32)&gt;N(U32),"平仓多于开仓",IF(N(W32)&lt;N(U32),"持仓中","已平仓")))))</f>
        <v/>
      </c>
      <c r="Z32" s="41" t="str">
        <f>IF(N(U32)=0,"",SUMIFS('成交明细'!$L$5:$L$804,'成交明细'!$A$5:$A$804,A32))</f>
        <v/>
      </c>
      <c r="AA32" s="42" t="str">
        <f>IF(Y32&lt;&gt;"已平仓","",(SUMIFS('成交明细'!$H$5:$H$804,'成交明细'!$A$5:$A$804,A32,'成交明细'!$D$5:$D$804,"卖")-SUMIFS('成交明细'!$H$5:$H$804,'成交明细'!$A$5:$A$804,A32,'成交明细'!$D$5:$D$804,"买"))*IF(N(G32)&gt;0,G32,1)-Z32)</f>
        <v/>
      </c>
      <c r="AB32" s="43" t="str">
        <f>IF(AND(Y32="已平仓",ISNUMBER(O32)),(SUMIFS('成交明细'!$H$5:$H$804,'成交明细'!$A$5:$A$804,A32,'成交明细'!$D$5:$D$804,"卖")-SUMIFS('成交明细'!$H$5:$H$804,'成交明细'!$A$5:$A$804,A32,'成交明细'!$D$5:$D$804,"买"))*IF(N(G32)&gt;0,G32,1)/O32,"")</f>
        <v/>
      </c>
      <c r="AC32" s="43" t="str">
        <f>IF(AND(Y32="已平仓",ISNUMBER(O32)),AA32/O32,"")</f>
        <v/>
      </c>
      <c r="AD32" s="44" t="str">
        <f>IF(AND(ISNUMBER(V32),ISNUMBER(I32)),IF(F32="空",I32-V32,V32-I32),"")</f>
        <v/>
      </c>
      <c r="AE32" s="44" t="str">
        <f>IF(OR(NOT(ISNUMBER(AA32)),NOT(ISNUMBER(X32))),"",IF(AA32&lt;0,IF(F32="空",X32-J32,J32-X32),IF(NOT(ISNUMBER(K32)),"",IF(F32="空",X32-K32,K32-X32))))</f>
        <v/>
      </c>
      <c r="AF32" s="32" t="n"/>
      <c r="AG32" s="32" t="n"/>
      <c r="AH32" s="31" t="n"/>
      <c r="AI32" s="43" t="str">
        <f>IF(A32="","",SUM(AC$5:AC32))</f>
        <v/>
      </c>
      <c r="AJ32" s="45" t="str">
        <f>IF(A32="","",MAX(0,MAX(AI$5:AI32))-AI32)</f>
        <v/>
      </c>
    </row>
    <row r="33">
      <c r="A33" s="29" t="n"/>
      <c r="B33" s="30" t="n"/>
      <c r="C33" s="31" t="n"/>
      <c r="D33" s="32" t="n"/>
      <c r="E33" s="32" t="n"/>
      <c r="F33" s="32" t="n"/>
      <c r="G33" s="32" t="n"/>
      <c r="H33" s="32" t="n"/>
      <c r="I33" s="33" t="n"/>
      <c r="J33" s="33" t="n"/>
      <c r="K33" s="33" t="n"/>
      <c r="L33" s="34" t="str">
        <f>IF(AND(ISNUMBER(I33),ISNUMBER(J33),ISNUMBER(K33)),IF(OR(AND(F33="多",I33&gt;J33),AND(F33="空",I33&lt;J33)),ABS(K33-I33)/ABS(I33-J33),"止损方向不对"),"")</f>
        <v/>
      </c>
      <c r="M33" s="35" t="str">
        <f>IF(AND(ISNUMBER(I33),ISNUMBER(J33)),IF(I33=J33,"",IF(INT(ROUND('参数'!$C$7/(ABS(I33-J33)*IF(N(G33)&gt;0,G33,1)+2*(I33*IF(N(G33)&gt;0,G33,1)*'参数'!$C$12+'参数'!$C$13+'参数'!$C$14*IF(N(G33)&gt;0,G33,1)))/IF(N(H33)&gt;0,H33,1),6))*IF(N(H33)&gt;0,H33,1)&gt;0,INT(ROUND('参数'!$C$7/(ABS(I33-J33)*IF(N(G33)&gt;0,G33,1)+2*(I33*IF(N(G33)&gt;0,G33,1)*'参数'!$C$12+'参数'!$C$13+'参数'!$C$14*IF(N(G33)&gt;0,G33,1)))/IF(N(H33)&gt;0,H33,1),6))*IF(N(H33)&gt;0,H33,1),"预算不足，这笔不做")),"")</f>
        <v/>
      </c>
      <c r="N33" s="36" t="n"/>
      <c r="O33" s="20" t="str">
        <f>IF(AND(ISNUMBER(I33),ISNUMBER(J33),ISNUMBER(N33)),IF(AND(I33&lt;&gt;J33,N33&gt;0),ABS(I33-J33)*N33*IF(N(G33)&gt;0,G33,1),""),"")</f>
        <v/>
      </c>
      <c r="P33" s="31" t="n"/>
      <c r="Q33" s="32" t="n"/>
      <c r="R33" s="37" t="str">
        <f>IF(N(U33)&gt;0,SUMPRODUCT(LARGE(('成交明细'!$A$5:$A$804=A33)*('成交明细'!$D$5:$D$804=IF(F33="空","卖","买"))*'成交明细'!$B$5:$B$804,COUNTIFS('成交明细'!$A$5:$A$804,A33,'成交明细'!$D$5:$D$804,IF(F33="空","卖","买")))),"")</f>
        <v/>
      </c>
      <c r="S33" s="37" t="str">
        <f>IF(AND(N(U33)&gt;0,N(W33)&gt;=N(U33)),SUMPRODUCT(MAX(('成交明细'!$A$5:$A$804=A33)*('成交明细'!$D$5:$D$804=IF(F33="空","买","卖"))*'成交明细'!$B$5:$B$804)),"")</f>
        <v/>
      </c>
      <c r="T33" s="38" t="str">
        <f>IF(N(U33)=0,"",IF(SUMPRODUCT(('成交明细'!$A$5:$A$804=A33)*('成交明细'!$D$5:$D$804=IF(F33="空","卖","买"))*ISNUMBER('成交明细'!$C$5:$C$804))=0,"没填时间",IFERROR(VLOOKUP(MOD(SUMPRODUCT(LARGE(('成交明细'!$A$5:$A$804=A33)*('成交明细'!$D$5:$D$804=IF(F33="空","卖","买"))*('成交明细'!$B$5:$B$804+'成交明细'!$C$5:$C$804),COUNTIFS('成交明细'!$A$5:$A$804,A33,'成交明细'!$D$5:$D$804,IF(F33="空","卖","买")))),1),'参数'!$B$39:$C$48,2,TRUE),"")))</f>
        <v/>
      </c>
      <c r="U33" s="35" t="str">
        <f>IF(A33="","",SUMIFS('成交明细'!$F$5:$F$804,'成交明细'!$A$5:$A$804,A33,'成交明细'!$D$5:$D$804,IF(F33="空","卖","买")))</f>
        <v/>
      </c>
      <c r="V33" s="39" t="str">
        <f>IF(N(U33)&gt;0,SUMIFS('成交明细'!$H$5:$H$804,'成交明细'!$A$5:$A$804,A33,'成交明细'!$D$5:$D$804,IF(F33="空","卖","买"))/U33,"")</f>
        <v/>
      </c>
      <c r="W33" s="35" t="str">
        <f>IF(A33="","",SUMIFS('成交明细'!$F$5:$F$804,'成交明细'!$A$5:$A$804,A33,'成交明细'!$D$5:$D$804,IF(F33="空","买","卖")))</f>
        <v/>
      </c>
      <c r="X33" s="39" t="str">
        <f>IF(N(W33)&gt;0,SUMIFS('成交明细'!$H$5:$H$804,'成交明细'!$A$5:$A$804,A33,'成交明细'!$D$5:$D$804,IF(F33="空","买","卖"))/W33,"")</f>
        <v/>
      </c>
      <c r="Y33" s="40" t="str">
        <f>IF(A33="","",IF(Q33&lt;&gt;"已执行",IF(Q33="","未填执行情况",Q33),IF(N(U33)=0,"待录成交",IF(N(W33)&gt;N(U33),"平仓多于开仓",IF(N(W33)&lt;N(U33),"持仓中","已平仓")))))</f>
        <v/>
      </c>
      <c r="Z33" s="41" t="str">
        <f>IF(N(U33)=0,"",SUMIFS('成交明细'!$L$5:$L$804,'成交明细'!$A$5:$A$804,A33))</f>
        <v/>
      </c>
      <c r="AA33" s="42" t="str">
        <f>IF(Y33&lt;&gt;"已平仓","",(SUMIFS('成交明细'!$H$5:$H$804,'成交明细'!$A$5:$A$804,A33,'成交明细'!$D$5:$D$804,"卖")-SUMIFS('成交明细'!$H$5:$H$804,'成交明细'!$A$5:$A$804,A33,'成交明细'!$D$5:$D$804,"买"))*IF(N(G33)&gt;0,G33,1)-Z33)</f>
        <v/>
      </c>
      <c r="AB33" s="43" t="str">
        <f>IF(AND(Y33="已平仓",ISNUMBER(O33)),(SUMIFS('成交明细'!$H$5:$H$804,'成交明细'!$A$5:$A$804,A33,'成交明细'!$D$5:$D$804,"卖")-SUMIFS('成交明细'!$H$5:$H$804,'成交明细'!$A$5:$A$804,A33,'成交明细'!$D$5:$D$804,"买"))*IF(N(G33)&gt;0,G33,1)/O33,"")</f>
        <v/>
      </c>
      <c r="AC33" s="43" t="str">
        <f>IF(AND(Y33="已平仓",ISNUMBER(O33)),AA33/O33,"")</f>
        <v/>
      </c>
      <c r="AD33" s="44" t="str">
        <f>IF(AND(ISNUMBER(V33),ISNUMBER(I33)),IF(F33="空",I33-V33,V33-I33),"")</f>
        <v/>
      </c>
      <c r="AE33" s="44" t="str">
        <f>IF(OR(NOT(ISNUMBER(AA33)),NOT(ISNUMBER(X33))),"",IF(AA33&lt;0,IF(F33="空",X33-J33,J33-X33),IF(NOT(ISNUMBER(K33)),"",IF(F33="空",X33-K33,K33-X33))))</f>
        <v/>
      </c>
      <c r="AF33" s="32" t="n"/>
      <c r="AG33" s="32" t="n"/>
      <c r="AH33" s="31" t="n"/>
      <c r="AI33" s="43" t="str">
        <f>IF(A33="","",SUM(AC$5:AC33))</f>
        <v/>
      </c>
      <c r="AJ33" s="45" t="str">
        <f>IF(A33="","",MAX(0,MAX(AI$5:AI33))-AI33)</f>
        <v/>
      </c>
    </row>
    <row r="34">
      <c r="A34" s="29" t="n"/>
      <c r="B34" s="30" t="n"/>
      <c r="C34" s="31" t="n"/>
      <c r="D34" s="32" t="n"/>
      <c r="E34" s="32" t="n"/>
      <c r="F34" s="32" t="n"/>
      <c r="G34" s="32" t="n"/>
      <c r="H34" s="32" t="n"/>
      <c r="I34" s="33" t="n"/>
      <c r="J34" s="33" t="n"/>
      <c r="K34" s="33" t="n"/>
      <c r="L34" s="34" t="str">
        <f>IF(AND(ISNUMBER(I34),ISNUMBER(J34),ISNUMBER(K34)),IF(OR(AND(F34="多",I34&gt;J34),AND(F34="空",I34&lt;J34)),ABS(K34-I34)/ABS(I34-J34),"止损方向不对"),"")</f>
        <v/>
      </c>
      <c r="M34" s="35" t="str">
        <f>IF(AND(ISNUMBER(I34),ISNUMBER(J34)),IF(I34=J34,"",IF(INT(ROUND('参数'!$C$7/(ABS(I34-J34)*IF(N(G34)&gt;0,G34,1)+2*(I34*IF(N(G34)&gt;0,G34,1)*'参数'!$C$12+'参数'!$C$13+'参数'!$C$14*IF(N(G34)&gt;0,G34,1)))/IF(N(H34)&gt;0,H34,1),6))*IF(N(H34)&gt;0,H34,1)&gt;0,INT(ROUND('参数'!$C$7/(ABS(I34-J34)*IF(N(G34)&gt;0,G34,1)+2*(I34*IF(N(G34)&gt;0,G34,1)*'参数'!$C$12+'参数'!$C$13+'参数'!$C$14*IF(N(G34)&gt;0,G34,1)))/IF(N(H34)&gt;0,H34,1),6))*IF(N(H34)&gt;0,H34,1),"预算不足，这笔不做")),"")</f>
        <v/>
      </c>
      <c r="N34" s="36" t="n"/>
      <c r="O34" s="20" t="str">
        <f>IF(AND(ISNUMBER(I34),ISNUMBER(J34),ISNUMBER(N34)),IF(AND(I34&lt;&gt;J34,N34&gt;0),ABS(I34-J34)*N34*IF(N(G34)&gt;0,G34,1),""),"")</f>
        <v/>
      </c>
      <c r="P34" s="31" t="n"/>
      <c r="Q34" s="32" t="n"/>
      <c r="R34" s="37" t="str">
        <f>IF(N(U34)&gt;0,SUMPRODUCT(LARGE(('成交明细'!$A$5:$A$804=A34)*('成交明细'!$D$5:$D$804=IF(F34="空","卖","买"))*'成交明细'!$B$5:$B$804,COUNTIFS('成交明细'!$A$5:$A$804,A34,'成交明细'!$D$5:$D$804,IF(F34="空","卖","买")))),"")</f>
        <v/>
      </c>
      <c r="S34" s="37" t="str">
        <f>IF(AND(N(U34)&gt;0,N(W34)&gt;=N(U34)),SUMPRODUCT(MAX(('成交明细'!$A$5:$A$804=A34)*('成交明细'!$D$5:$D$804=IF(F34="空","买","卖"))*'成交明细'!$B$5:$B$804)),"")</f>
        <v/>
      </c>
      <c r="T34" s="38" t="str">
        <f>IF(N(U34)=0,"",IF(SUMPRODUCT(('成交明细'!$A$5:$A$804=A34)*('成交明细'!$D$5:$D$804=IF(F34="空","卖","买"))*ISNUMBER('成交明细'!$C$5:$C$804))=0,"没填时间",IFERROR(VLOOKUP(MOD(SUMPRODUCT(LARGE(('成交明细'!$A$5:$A$804=A34)*('成交明细'!$D$5:$D$804=IF(F34="空","卖","买"))*('成交明细'!$B$5:$B$804+'成交明细'!$C$5:$C$804),COUNTIFS('成交明细'!$A$5:$A$804,A34,'成交明细'!$D$5:$D$804,IF(F34="空","卖","买")))),1),'参数'!$B$39:$C$48,2,TRUE),"")))</f>
        <v/>
      </c>
      <c r="U34" s="35" t="str">
        <f>IF(A34="","",SUMIFS('成交明细'!$F$5:$F$804,'成交明细'!$A$5:$A$804,A34,'成交明细'!$D$5:$D$804,IF(F34="空","卖","买")))</f>
        <v/>
      </c>
      <c r="V34" s="39" t="str">
        <f>IF(N(U34)&gt;0,SUMIFS('成交明细'!$H$5:$H$804,'成交明细'!$A$5:$A$804,A34,'成交明细'!$D$5:$D$804,IF(F34="空","卖","买"))/U34,"")</f>
        <v/>
      </c>
      <c r="W34" s="35" t="str">
        <f>IF(A34="","",SUMIFS('成交明细'!$F$5:$F$804,'成交明细'!$A$5:$A$804,A34,'成交明细'!$D$5:$D$804,IF(F34="空","买","卖")))</f>
        <v/>
      </c>
      <c r="X34" s="39" t="str">
        <f>IF(N(W34)&gt;0,SUMIFS('成交明细'!$H$5:$H$804,'成交明细'!$A$5:$A$804,A34,'成交明细'!$D$5:$D$804,IF(F34="空","买","卖"))/W34,"")</f>
        <v/>
      </c>
      <c r="Y34" s="40" t="str">
        <f>IF(A34="","",IF(Q34&lt;&gt;"已执行",IF(Q34="","未填执行情况",Q34),IF(N(U34)=0,"待录成交",IF(N(W34)&gt;N(U34),"平仓多于开仓",IF(N(W34)&lt;N(U34),"持仓中","已平仓")))))</f>
        <v/>
      </c>
      <c r="Z34" s="41" t="str">
        <f>IF(N(U34)=0,"",SUMIFS('成交明细'!$L$5:$L$804,'成交明细'!$A$5:$A$804,A34))</f>
        <v/>
      </c>
      <c r="AA34" s="42" t="str">
        <f>IF(Y34&lt;&gt;"已平仓","",(SUMIFS('成交明细'!$H$5:$H$804,'成交明细'!$A$5:$A$804,A34,'成交明细'!$D$5:$D$804,"卖")-SUMIFS('成交明细'!$H$5:$H$804,'成交明细'!$A$5:$A$804,A34,'成交明细'!$D$5:$D$804,"买"))*IF(N(G34)&gt;0,G34,1)-Z34)</f>
        <v/>
      </c>
      <c r="AB34" s="43" t="str">
        <f>IF(AND(Y34="已平仓",ISNUMBER(O34)),(SUMIFS('成交明细'!$H$5:$H$804,'成交明细'!$A$5:$A$804,A34,'成交明细'!$D$5:$D$804,"卖")-SUMIFS('成交明细'!$H$5:$H$804,'成交明细'!$A$5:$A$804,A34,'成交明细'!$D$5:$D$804,"买"))*IF(N(G34)&gt;0,G34,1)/O34,"")</f>
        <v/>
      </c>
      <c r="AC34" s="43" t="str">
        <f>IF(AND(Y34="已平仓",ISNUMBER(O34)),AA34/O34,"")</f>
        <v/>
      </c>
      <c r="AD34" s="44" t="str">
        <f>IF(AND(ISNUMBER(V34),ISNUMBER(I34)),IF(F34="空",I34-V34,V34-I34),"")</f>
        <v/>
      </c>
      <c r="AE34" s="44" t="str">
        <f>IF(OR(NOT(ISNUMBER(AA34)),NOT(ISNUMBER(X34))),"",IF(AA34&lt;0,IF(F34="空",X34-J34,J34-X34),IF(NOT(ISNUMBER(K34)),"",IF(F34="空",X34-K34,K34-X34))))</f>
        <v/>
      </c>
      <c r="AF34" s="32" t="n"/>
      <c r="AG34" s="32" t="n"/>
      <c r="AH34" s="31" t="n"/>
      <c r="AI34" s="43" t="str">
        <f>IF(A34="","",SUM(AC$5:AC34))</f>
        <v/>
      </c>
      <c r="AJ34" s="45" t="str">
        <f>IF(A34="","",MAX(0,MAX(AI$5:AI34))-AI34)</f>
        <v/>
      </c>
    </row>
    <row r="35">
      <c r="A35" s="29" t="n"/>
      <c r="B35" s="30" t="n"/>
      <c r="C35" s="31" t="n"/>
      <c r="D35" s="32" t="n"/>
      <c r="E35" s="32" t="n"/>
      <c r="F35" s="32" t="n"/>
      <c r="G35" s="32" t="n"/>
      <c r="H35" s="32" t="n"/>
      <c r="I35" s="33" t="n"/>
      <c r="J35" s="33" t="n"/>
      <c r="K35" s="33" t="n"/>
      <c r="L35" s="34" t="str">
        <f>IF(AND(ISNUMBER(I35),ISNUMBER(J35),ISNUMBER(K35)),IF(OR(AND(F35="多",I35&gt;J35),AND(F35="空",I35&lt;J35)),ABS(K35-I35)/ABS(I35-J35),"止损方向不对"),"")</f>
        <v/>
      </c>
      <c r="M35" s="35" t="str">
        <f>IF(AND(ISNUMBER(I35),ISNUMBER(J35)),IF(I35=J35,"",IF(INT(ROUND('参数'!$C$7/(ABS(I35-J35)*IF(N(G35)&gt;0,G35,1)+2*(I35*IF(N(G35)&gt;0,G35,1)*'参数'!$C$12+'参数'!$C$13+'参数'!$C$14*IF(N(G35)&gt;0,G35,1)))/IF(N(H35)&gt;0,H35,1),6))*IF(N(H35)&gt;0,H35,1)&gt;0,INT(ROUND('参数'!$C$7/(ABS(I35-J35)*IF(N(G35)&gt;0,G35,1)+2*(I35*IF(N(G35)&gt;0,G35,1)*'参数'!$C$12+'参数'!$C$13+'参数'!$C$14*IF(N(G35)&gt;0,G35,1)))/IF(N(H35)&gt;0,H35,1),6))*IF(N(H35)&gt;0,H35,1),"预算不足，这笔不做")),"")</f>
        <v/>
      </c>
      <c r="N35" s="36" t="n"/>
      <c r="O35" s="20" t="str">
        <f>IF(AND(ISNUMBER(I35),ISNUMBER(J35),ISNUMBER(N35)),IF(AND(I35&lt;&gt;J35,N35&gt;0),ABS(I35-J35)*N35*IF(N(G35)&gt;0,G35,1),""),"")</f>
        <v/>
      </c>
      <c r="P35" s="31" t="n"/>
      <c r="Q35" s="32" t="n"/>
      <c r="R35" s="37" t="str">
        <f>IF(N(U35)&gt;0,SUMPRODUCT(LARGE(('成交明细'!$A$5:$A$804=A35)*('成交明细'!$D$5:$D$804=IF(F35="空","卖","买"))*'成交明细'!$B$5:$B$804,COUNTIFS('成交明细'!$A$5:$A$804,A35,'成交明细'!$D$5:$D$804,IF(F35="空","卖","买")))),"")</f>
        <v/>
      </c>
      <c r="S35" s="37" t="str">
        <f>IF(AND(N(U35)&gt;0,N(W35)&gt;=N(U35)),SUMPRODUCT(MAX(('成交明细'!$A$5:$A$804=A35)*('成交明细'!$D$5:$D$804=IF(F35="空","买","卖"))*'成交明细'!$B$5:$B$804)),"")</f>
        <v/>
      </c>
      <c r="T35" s="38" t="str">
        <f>IF(N(U35)=0,"",IF(SUMPRODUCT(('成交明细'!$A$5:$A$804=A35)*('成交明细'!$D$5:$D$804=IF(F35="空","卖","买"))*ISNUMBER('成交明细'!$C$5:$C$804))=0,"没填时间",IFERROR(VLOOKUP(MOD(SUMPRODUCT(LARGE(('成交明细'!$A$5:$A$804=A35)*('成交明细'!$D$5:$D$804=IF(F35="空","卖","买"))*('成交明细'!$B$5:$B$804+'成交明细'!$C$5:$C$804),COUNTIFS('成交明细'!$A$5:$A$804,A35,'成交明细'!$D$5:$D$804,IF(F35="空","卖","买")))),1),'参数'!$B$39:$C$48,2,TRUE),"")))</f>
        <v/>
      </c>
      <c r="U35" s="35" t="str">
        <f>IF(A35="","",SUMIFS('成交明细'!$F$5:$F$804,'成交明细'!$A$5:$A$804,A35,'成交明细'!$D$5:$D$804,IF(F35="空","卖","买")))</f>
        <v/>
      </c>
      <c r="V35" s="39" t="str">
        <f>IF(N(U35)&gt;0,SUMIFS('成交明细'!$H$5:$H$804,'成交明细'!$A$5:$A$804,A35,'成交明细'!$D$5:$D$804,IF(F35="空","卖","买"))/U35,"")</f>
        <v/>
      </c>
      <c r="W35" s="35" t="str">
        <f>IF(A35="","",SUMIFS('成交明细'!$F$5:$F$804,'成交明细'!$A$5:$A$804,A35,'成交明细'!$D$5:$D$804,IF(F35="空","买","卖")))</f>
        <v/>
      </c>
      <c r="X35" s="39" t="str">
        <f>IF(N(W35)&gt;0,SUMIFS('成交明细'!$H$5:$H$804,'成交明细'!$A$5:$A$804,A35,'成交明细'!$D$5:$D$804,IF(F35="空","买","卖"))/W35,"")</f>
        <v/>
      </c>
      <c r="Y35" s="40" t="str">
        <f>IF(A35="","",IF(Q35&lt;&gt;"已执行",IF(Q35="","未填执行情况",Q35),IF(N(U35)=0,"待录成交",IF(N(W35)&gt;N(U35),"平仓多于开仓",IF(N(W35)&lt;N(U35),"持仓中","已平仓")))))</f>
        <v/>
      </c>
      <c r="Z35" s="41" t="str">
        <f>IF(N(U35)=0,"",SUMIFS('成交明细'!$L$5:$L$804,'成交明细'!$A$5:$A$804,A35))</f>
        <v/>
      </c>
      <c r="AA35" s="42" t="str">
        <f>IF(Y35&lt;&gt;"已平仓","",(SUMIFS('成交明细'!$H$5:$H$804,'成交明细'!$A$5:$A$804,A35,'成交明细'!$D$5:$D$804,"卖")-SUMIFS('成交明细'!$H$5:$H$804,'成交明细'!$A$5:$A$804,A35,'成交明细'!$D$5:$D$804,"买"))*IF(N(G35)&gt;0,G35,1)-Z35)</f>
        <v/>
      </c>
      <c r="AB35" s="43" t="str">
        <f>IF(AND(Y35="已平仓",ISNUMBER(O35)),(SUMIFS('成交明细'!$H$5:$H$804,'成交明细'!$A$5:$A$804,A35,'成交明细'!$D$5:$D$804,"卖")-SUMIFS('成交明细'!$H$5:$H$804,'成交明细'!$A$5:$A$804,A35,'成交明细'!$D$5:$D$804,"买"))*IF(N(G35)&gt;0,G35,1)/O35,"")</f>
        <v/>
      </c>
      <c r="AC35" s="43" t="str">
        <f>IF(AND(Y35="已平仓",ISNUMBER(O35)),AA35/O35,"")</f>
        <v/>
      </c>
      <c r="AD35" s="44" t="str">
        <f>IF(AND(ISNUMBER(V35),ISNUMBER(I35)),IF(F35="空",I35-V35,V35-I35),"")</f>
        <v/>
      </c>
      <c r="AE35" s="44" t="str">
        <f>IF(OR(NOT(ISNUMBER(AA35)),NOT(ISNUMBER(X35))),"",IF(AA35&lt;0,IF(F35="空",X35-J35,J35-X35),IF(NOT(ISNUMBER(K35)),"",IF(F35="空",X35-K35,K35-X35))))</f>
        <v/>
      </c>
      <c r="AF35" s="32" t="n"/>
      <c r="AG35" s="32" t="n"/>
      <c r="AH35" s="31" t="n"/>
      <c r="AI35" s="43" t="str">
        <f>IF(A35="","",SUM(AC$5:AC35))</f>
        <v/>
      </c>
      <c r="AJ35" s="45" t="str">
        <f>IF(A35="","",MAX(0,MAX(AI$5:AI35))-AI35)</f>
        <v/>
      </c>
    </row>
    <row r="36">
      <c r="A36" s="29" t="n"/>
      <c r="B36" s="30" t="n"/>
      <c r="C36" s="31" t="n"/>
      <c r="D36" s="32" t="n"/>
      <c r="E36" s="32" t="n"/>
      <c r="F36" s="32" t="n"/>
      <c r="G36" s="32" t="n"/>
      <c r="H36" s="32" t="n"/>
      <c r="I36" s="33" t="n"/>
      <c r="J36" s="33" t="n"/>
      <c r="K36" s="33" t="n"/>
      <c r="L36" s="34" t="str">
        <f>IF(AND(ISNUMBER(I36),ISNUMBER(J36),ISNUMBER(K36)),IF(OR(AND(F36="多",I36&gt;J36),AND(F36="空",I36&lt;J36)),ABS(K36-I36)/ABS(I36-J36),"止损方向不对"),"")</f>
        <v/>
      </c>
      <c r="M36" s="35" t="str">
        <f>IF(AND(ISNUMBER(I36),ISNUMBER(J36)),IF(I36=J36,"",IF(INT(ROUND('参数'!$C$7/(ABS(I36-J36)*IF(N(G36)&gt;0,G36,1)+2*(I36*IF(N(G36)&gt;0,G36,1)*'参数'!$C$12+'参数'!$C$13+'参数'!$C$14*IF(N(G36)&gt;0,G36,1)))/IF(N(H36)&gt;0,H36,1),6))*IF(N(H36)&gt;0,H36,1)&gt;0,INT(ROUND('参数'!$C$7/(ABS(I36-J36)*IF(N(G36)&gt;0,G36,1)+2*(I36*IF(N(G36)&gt;0,G36,1)*'参数'!$C$12+'参数'!$C$13+'参数'!$C$14*IF(N(G36)&gt;0,G36,1)))/IF(N(H36)&gt;0,H36,1),6))*IF(N(H36)&gt;0,H36,1),"预算不足，这笔不做")),"")</f>
        <v/>
      </c>
      <c r="N36" s="36" t="n"/>
      <c r="O36" s="20" t="str">
        <f>IF(AND(ISNUMBER(I36),ISNUMBER(J36),ISNUMBER(N36)),IF(AND(I36&lt;&gt;J36,N36&gt;0),ABS(I36-J36)*N36*IF(N(G36)&gt;0,G36,1),""),"")</f>
        <v/>
      </c>
      <c r="P36" s="31" t="n"/>
      <c r="Q36" s="32" t="n"/>
      <c r="R36" s="37" t="str">
        <f>IF(N(U36)&gt;0,SUMPRODUCT(LARGE(('成交明细'!$A$5:$A$804=A36)*('成交明细'!$D$5:$D$804=IF(F36="空","卖","买"))*'成交明细'!$B$5:$B$804,COUNTIFS('成交明细'!$A$5:$A$804,A36,'成交明细'!$D$5:$D$804,IF(F36="空","卖","买")))),"")</f>
        <v/>
      </c>
      <c r="S36" s="37" t="str">
        <f>IF(AND(N(U36)&gt;0,N(W36)&gt;=N(U36)),SUMPRODUCT(MAX(('成交明细'!$A$5:$A$804=A36)*('成交明细'!$D$5:$D$804=IF(F36="空","买","卖"))*'成交明细'!$B$5:$B$804)),"")</f>
        <v/>
      </c>
      <c r="T36" s="38" t="str">
        <f>IF(N(U36)=0,"",IF(SUMPRODUCT(('成交明细'!$A$5:$A$804=A36)*('成交明细'!$D$5:$D$804=IF(F36="空","卖","买"))*ISNUMBER('成交明细'!$C$5:$C$804))=0,"没填时间",IFERROR(VLOOKUP(MOD(SUMPRODUCT(LARGE(('成交明细'!$A$5:$A$804=A36)*('成交明细'!$D$5:$D$804=IF(F36="空","卖","买"))*('成交明细'!$B$5:$B$804+'成交明细'!$C$5:$C$804),COUNTIFS('成交明细'!$A$5:$A$804,A36,'成交明细'!$D$5:$D$804,IF(F36="空","卖","买")))),1),'参数'!$B$39:$C$48,2,TRUE),"")))</f>
        <v/>
      </c>
      <c r="U36" s="35" t="str">
        <f>IF(A36="","",SUMIFS('成交明细'!$F$5:$F$804,'成交明细'!$A$5:$A$804,A36,'成交明细'!$D$5:$D$804,IF(F36="空","卖","买")))</f>
        <v/>
      </c>
      <c r="V36" s="39" t="str">
        <f>IF(N(U36)&gt;0,SUMIFS('成交明细'!$H$5:$H$804,'成交明细'!$A$5:$A$804,A36,'成交明细'!$D$5:$D$804,IF(F36="空","卖","买"))/U36,"")</f>
        <v/>
      </c>
      <c r="W36" s="35" t="str">
        <f>IF(A36="","",SUMIFS('成交明细'!$F$5:$F$804,'成交明细'!$A$5:$A$804,A36,'成交明细'!$D$5:$D$804,IF(F36="空","买","卖")))</f>
        <v/>
      </c>
      <c r="X36" s="39" t="str">
        <f>IF(N(W36)&gt;0,SUMIFS('成交明细'!$H$5:$H$804,'成交明细'!$A$5:$A$804,A36,'成交明细'!$D$5:$D$804,IF(F36="空","买","卖"))/W36,"")</f>
        <v/>
      </c>
      <c r="Y36" s="40" t="str">
        <f>IF(A36="","",IF(Q36&lt;&gt;"已执行",IF(Q36="","未填执行情况",Q36),IF(N(U36)=0,"待录成交",IF(N(W36)&gt;N(U36),"平仓多于开仓",IF(N(W36)&lt;N(U36),"持仓中","已平仓")))))</f>
        <v/>
      </c>
      <c r="Z36" s="41" t="str">
        <f>IF(N(U36)=0,"",SUMIFS('成交明细'!$L$5:$L$804,'成交明细'!$A$5:$A$804,A36))</f>
        <v/>
      </c>
      <c r="AA36" s="42" t="str">
        <f>IF(Y36&lt;&gt;"已平仓","",(SUMIFS('成交明细'!$H$5:$H$804,'成交明细'!$A$5:$A$804,A36,'成交明细'!$D$5:$D$804,"卖")-SUMIFS('成交明细'!$H$5:$H$804,'成交明细'!$A$5:$A$804,A36,'成交明细'!$D$5:$D$804,"买"))*IF(N(G36)&gt;0,G36,1)-Z36)</f>
        <v/>
      </c>
      <c r="AB36" s="43" t="str">
        <f>IF(AND(Y36="已平仓",ISNUMBER(O36)),(SUMIFS('成交明细'!$H$5:$H$804,'成交明细'!$A$5:$A$804,A36,'成交明细'!$D$5:$D$804,"卖")-SUMIFS('成交明细'!$H$5:$H$804,'成交明细'!$A$5:$A$804,A36,'成交明细'!$D$5:$D$804,"买"))*IF(N(G36)&gt;0,G36,1)/O36,"")</f>
        <v/>
      </c>
      <c r="AC36" s="43" t="str">
        <f>IF(AND(Y36="已平仓",ISNUMBER(O36)),AA36/O36,"")</f>
        <v/>
      </c>
      <c r="AD36" s="44" t="str">
        <f>IF(AND(ISNUMBER(V36),ISNUMBER(I36)),IF(F36="空",I36-V36,V36-I36),"")</f>
        <v/>
      </c>
      <c r="AE36" s="44" t="str">
        <f>IF(OR(NOT(ISNUMBER(AA36)),NOT(ISNUMBER(X36))),"",IF(AA36&lt;0,IF(F36="空",X36-J36,J36-X36),IF(NOT(ISNUMBER(K36)),"",IF(F36="空",X36-K36,K36-X36))))</f>
        <v/>
      </c>
      <c r="AF36" s="32" t="n"/>
      <c r="AG36" s="32" t="n"/>
      <c r="AH36" s="31" t="n"/>
      <c r="AI36" s="43" t="str">
        <f>IF(A36="","",SUM(AC$5:AC36))</f>
        <v/>
      </c>
      <c r="AJ36" s="45" t="str">
        <f>IF(A36="","",MAX(0,MAX(AI$5:AI36))-AI36)</f>
        <v/>
      </c>
    </row>
    <row r="37">
      <c r="A37" s="29" t="n"/>
      <c r="B37" s="30" t="n"/>
      <c r="C37" s="31" t="n"/>
      <c r="D37" s="32" t="n"/>
      <c r="E37" s="32" t="n"/>
      <c r="F37" s="32" t="n"/>
      <c r="G37" s="32" t="n"/>
      <c r="H37" s="32" t="n"/>
      <c r="I37" s="33" t="n"/>
      <c r="J37" s="33" t="n"/>
      <c r="K37" s="33" t="n"/>
      <c r="L37" s="34" t="str">
        <f>IF(AND(ISNUMBER(I37),ISNUMBER(J37),ISNUMBER(K37)),IF(OR(AND(F37="多",I37&gt;J37),AND(F37="空",I37&lt;J37)),ABS(K37-I37)/ABS(I37-J37),"止损方向不对"),"")</f>
        <v/>
      </c>
      <c r="M37" s="35" t="str">
        <f>IF(AND(ISNUMBER(I37),ISNUMBER(J37)),IF(I37=J37,"",IF(INT(ROUND('参数'!$C$7/(ABS(I37-J37)*IF(N(G37)&gt;0,G37,1)+2*(I37*IF(N(G37)&gt;0,G37,1)*'参数'!$C$12+'参数'!$C$13+'参数'!$C$14*IF(N(G37)&gt;0,G37,1)))/IF(N(H37)&gt;0,H37,1),6))*IF(N(H37)&gt;0,H37,1)&gt;0,INT(ROUND('参数'!$C$7/(ABS(I37-J37)*IF(N(G37)&gt;0,G37,1)+2*(I37*IF(N(G37)&gt;0,G37,1)*'参数'!$C$12+'参数'!$C$13+'参数'!$C$14*IF(N(G37)&gt;0,G37,1)))/IF(N(H37)&gt;0,H37,1),6))*IF(N(H37)&gt;0,H37,1),"预算不足，这笔不做")),"")</f>
        <v/>
      </c>
      <c r="N37" s="36" t="n"/>
      <c r="O37" s="20" t="str">
        <f>IF(AND(ISNUMBER(I37),ISNUMBER(J37),ISNUMBER(N37)),IF(AND(I37&lt;&gt;J37,N37&gt;0),ABS(I37-J37)*N37*IF(N(G37)&gt;0,G37,1),""),"")</f>
        <v/>
      </c>
      <c r="P37" s="31" t="n"/>
      <c r="Q37" s="32" t="n"/>
      <c r="R37" s="37" t="str">
        <f>IF(N(U37)&gt;0,SUMPRODUCT(LARGE(('成交明细'!$A$5:$A$804=A37)*('成交明细'!$D$5:$D$804=IF(F37="空","卖","买"))*'成交明细'!$B$5:$B$804,COUNTIFS('成交明细'!$A$5:$A$804,A37,'成交明细'!$D$5:$D$804,IF(F37="空","卖","买")))),"")</f>
        <v/>
      </c>
      <c r="S37" s="37" t="str">
        <f>IF(AND(N(U37)&gt;0,N(W37)&gt;=N(U37)),SUMPRODUCT(MAX(('成交明细'!$A$5:$A$804=A37)*('成交明细'!$D$5:$D$804=IF(F37="空","买","卖"))*'成交明细'!$B$5:$B$804)),"")</f>
        <v/>
      </c>
      <c r="T37" s="38" t="str">
        <f>IF(N(U37)=0,"",IF(SUMPRODUCT(('成交明细'!$A$5:$A$804=A37)*('成交明细'!$D$5:$D$804=IF(F37="空","卖","买"))*ISNUMBER('成交明细'!$C$5:$C$804))=0,"没填时间",IFERROR(VLOOKUP(MOD(SUMPRODUCT(LARGE(('成交明细'!$A$5:$A$804=A37)*('成交明细'!$D$5:$D$804=IF(F37="空","卖","买"))*('成交明细'!$B$5:$B$804+'成交明细'!$C$5:$C$804),COUNTIFS('成交明细'!$A$5:$A$804,A37,'成交明细'!$D$5:$D$804,IF(F37="空","卖","买")))),1),'参数'!$B$39:$C$48,2,TRUE),"")))</f>
        <v/>
      </c>
      <c r="U37" s="35" t="str">
        <f>IF(A37="","",SUMIFS('成交明细'!$F$5:$F$804,'成交明细'!$A$5:$A$804,A37,'成交明细'!$D$5:$D$804,IF(F37="空","卖","买")))</f>
        <v/>
      </c>
      <c r="V37" s="39" t="str">
        <f>IF(N(U37)&gt;0,SUMIFS('成交明细'!$H$5:$H$804,'成交明细'!$A$5:$A$804,A37,'成交明细'!$D$5:$D$804,IF(F37="空","卖","买"))/U37,"")</f>
        <v/>
      </c>
      <c r="W37" s="35" t="str">
        <f>IF(A37="","",SUMIFS('成交明细'!$F$5:$F$804,'成交明细'!$A$5:$A$804,A37,'成交明细'!$D$5:$D$804,IF(F37="空","买","卖")))</f>
        <v/>
      </c>
      <c r="X37" s="39" t="str">
        <f>IF(N(W37)&gt;0,SUMIFS('成交明细'!$H$5:$H$804,'成交明细'!$A$5:$A$804,A37,'成交明细'!$D$5:$D$804,IF(F37="空","买","卖"))/W37,"")</f>
        <v/>
      </c>
      <c r="Y37" s="40" t="str">
        <f>IF(A37="","",IF(Q37&lt;&gt;"已执行",IF(Q37="","未填执行情况",Q37),IF(N(U37)=0,"待录成交",IF(N(W37)&gt;N(U37),"平仓多于开仓",IF(N(W37)&lt;N(U37),"持仓中","已平仓")))))</f>
        <v/>
      </c>
      <c r="Z37" s="41" t="str">
        <f>IF(N(U37)=0,"",SUMIFS('成交明细'!$L$5:$L$804,'成交明细'!$A$5:$A$804,A37))</f>
        <v/>
      </c>
      <c r="AA37" s="42" t="str">
        <f>IF(Y37&lt;&gt;"已平仓","",(SUMIFS('成交明细'!$H$5:$H$804,'成交明细'!$A$5:$A$804,A37,'成交明细'!$D$5:$D$804,"卖")-SUMIFS('成交明细'!$H$5:$H$804,'成交明细'!$A$5:$A$804,A37,'成交明细'!$D$5:$D$804,"买"))*IF(N(G37)&gt;0,G37,1)-Z37)</f>
        <v/>
      </c>
      <c r="AB37" s="43" t="str">
        <f>IF(AND(Y37="已平仓",ISNUMBER(O37)),(SUMIFS('成交明细'!$H$5:$H$804,'成交明细'!$A$5:$A$804,A37,'成交明细'!$D$5:$D$804,"卖")-SUMIFS('成交明细'!$H$5:$H$804,'成交明细'!$A$5:$A$804,A37,'成交明细'!$D$5:$D$804,"买"))*IF(N(G37)&gt;0,G37,1)/O37,"")</f>
        <v/>
      </c>
      <c r="AC37" s="43" t="str">
        <f>IF(AND(Y37="已平仓",ISNUMBER(O37)),AA37/O37,"")</f>
        <v/>
      </c>
      <c r="AD37" s="44" t="str">
        <f>IF(AND(ISNUMBER(V37),ISNUMBER(I37)),IF(F37="空",I37-V37,V37-I37),"")</f>
        <v/>
      </c>
      <c r="AE37" s="44" t="str">
        <f>IF(OR(NOT(ISNUMBER(AA37)),NOT(ISNUMBER(X37))),"",IF(AA37&lt;0,IF(F37="空",X37-J37,J37-X37),IF(NOT(ISNUMBER(K37)),"",IF(F37="空",X37-K37,K37-X37))))</f>
        <v/>
      </c>
      <c r="AF37" s="32" t="n"/>
      <c r="AG37" s="32" t="n"/>
      <c r="AH37" s="31" t="n"/>
      <c r="AI37" s="43" t="str">
        <f>IF(A37="","",SUM(AC$5:AC37))</f>
        <v/>
      </c>
      <c r="AJ37" s="45" t="str">
        <f>IF(A37="","",MAX(0,MAX(AI$5:AI37))-AI37)</f>
        <v/>
      </c>
    </row>
    <row r="38">
      <c r="A38" s="29" t="n"/>
      <c r="B38" s="30" t="n"/>
      <c r="C38" s="31" t="n"/>
      <c r="D38" s="32" t="n"/>
      <c r="E38" s="32" t="n"/>
      <c r="F38" s="32" t="n"/>
      <c r="G38" s="32" t="n"/>
      <c r="H38" s="32" t="n"/>
      <c r="I38" s="33" t="n"/>
      <c r="J38" s="33" t="n"/>
      <c r="K38" s="33" t="n"/>
      <c r="L38" s="34" t="str">
        <f>IF(AND(ISNUMBER(I38),ISNUMBER(J38),ISNUMBER(K38)),IF(OR(AND(F38="多",I38&gt;J38),AND(F38="空",I38&lt;J38)),ABS(K38-I38)/ABS(I38-J38),"止损方向不对"),"")</f>
        <v/>
      </c>
      <c r="M38" s="35" t="str">
        <f>IF(AND(ISNUMBER(I38),ISNUMBER(J38)),IF(I38=J38,"",IF(INT(ROUND('参数'!$C$7/(ABS(I38-J38)*IF(N(G38)&gt;0,G38,1)+2*(I38*IF(N(G38)&gt;0,G38,1)*'参数'!$C$12+'参数'!$C$13+'参数'!$C$14*IF(N(G38)&gt;0,G38,1)))/IF(N(H38)&gt;0,H38,1),6))*IF(N(H38)&gt;0,H38,1)&gt;0,INT(ROUND('参数'!$C$7/(ABS(I38-J38)*IF(N(G38)&gt;0,G38,1)+2*(I38*IF(N(G38)&gt;0,G38,1)*'参数'!$C$12+'参数'!$C$13+'参数'!$C$14*IF(N(G38)&gt;0,G38,1)))/IF(N(H38)&gt;0,H38,1),6))*IF(N(H38)&gt;0,H38,1),"预算不足，这笔不做")),"")</f>
        <v/>
      </c>
      <c r="N38" s="36" t="n"/>
      <c r="O38" s="20" t="str">
        <f>IF(AND(ISNUMBER(I38),ISNUMBER(J38),ISNUMBER(N38)),IF(AND(I38&lt;&gt;J38,N38&gt;0),ABS(I38-J38)*N38*IF(N(G38)&gt;0,G38,1),""),"")</f>
        <v/>
      </c>
      <c r="P38" s="31" t="n"/>
      <c r="Q38" s="32" t="n"/>
      <c r="R38" s="37" t="str">
        <f>IF(N(U38)&gt;0,SUMPRODUCT(LARGE(('成交明细'!$A$5:$A$804=A38)*('成交明细'!$D$5:$D$804=IF(F38="空","卖","买"))*'成交明细'!$B$5:$B$804,COUNTIFS('成交明细'!$A$5:$A$804,A38,'成交明细'!$D$5:$D$804,IF(F38="空","卖","买")))),"")</f>
        <v/>
      </c>
      <c r="S38" s="37" t="str">
        <f>IF(AND(N(U38)&gt;0,N(W38)&gt;=N(U38)),SUMPRODUCT(MAX(('成交明细'!$A$5:$A$804=A38)*('成交明细'!$D$5:$D$804=IF(F38="空","买","卖"))*'成交明细'!$B$5:$B$804)),"")</f>
        <v/>
      </c>
      <c r="T38" s="38" t="str">
        <f>IF(N(U38)=0,"",IF(SUMPRODUCT(('成交明细'!$A$5:$A$804=A38)*('成交明细'!$D$5:$D$804=IF(F38="空","卖","买"))*ISNUMBER('成交明细'!$C$5:$C$804))=0,"没填时间",IFERROR(VLOOKUP(MOD(SUMPRODUCT(LARGE(('成交明细'!$A$5:$A$804=A38)*('成交明细'!$D$5:$D$804=IF(F38="空","卖","买"))*('成交明细'!$B$5:$B$804+'成交明细'!$C$5:$C$804),COUNTIFS('成交明细'!$A$5:$A$804,A38,'成交明细'!$D$5:$D$804,IF(F38="空","卖","买")))),1),'参数'!$B$39:$C$48,2,TRUE),"")))</f>
        <v/>
      </c>
      <c r="U38" s="35" t="str">
        <f>IF(A38="","",SUMIFS('成交明细'!$F$5:$F$804,'成交明细'!$A$5:$A$804,A38,'成交明细'!$D$5:$D$804,IF(F38="空","卖","买")))</f>
        <v/>
      </c>
      <c r="V38" s="39" t="str">
        <f>IF(N(U38)&gt;0,SUMIFS('成交明细'!$H$5:$H$804,'成交明细'!$A$5:$A$804,A38,'成交明细'!$D$5:$D$804,IF(F38="空","卖","买"))/U38,"")</f>
        <v/>
      </c>
      <c r="W38" s="35" t="str">
        <f>IF(A38="","",SUMIFS('成交明细'!$F$5:$F$804,'成交明细'!$A$5:$A$804,A38,'成交明细'!$D$5:$D$804,IF(F38="空","买","卖")))</f>
        <v/>
      </c>
      <c r="X38" s="39" t="str">
        <f>IF(N(W38)&gt;0,SUMIFS('成交明细'!$H$5:$H$804,'成交明细'!$A$5:$A$804,A38,'成交明细'!$D$5:$D$804,IF(F38="空","买","卖"))/W38,"")</f>
        <v/>
      </c>
      <c r="Y38" s="40" t="str">
        <f>IF(A38="","",IF(Q38&lt;&gt;"已执行",IF(Q38="","未填执行情况",Q38),IF(N(U38)=0,"待录成交",IF(N(W38)&gt;N(U38),"平仓多于开仓",IF(N(W38)&lt;N(U38),"持仓中","已平仓")))))</f>
        <v/>
      </c>
      <c r="Z38" s="41" t="str">
        <f>IF(N(U38)=0,"",SUMIFS('成交明细'!$L$5:$L$804,'成交明细'!$A$5:$A$804,A38))</f>
        <v/>
      </c>
      <c r="AA38" s="42" t="str">
        <f>IF(Y38&lt;&gt;"已平仓","",(SUMIFS('成交明细'!$H$5:$H$804,'成交明细'!$A$5:$A$804,A38,'成交明细'!$D$5:$D$804,"卖")-SUMIFS('成交明细'!$H$5:$H$804,'成交明细'!$A$5:$A$804,A38,'成交明细'!$D$5:$D$804,"买"))*IF(N(G38)&gt;0,G38,1)-Z38)</f>
        <v/>
      </c>
      <c r="AB38" s="43" t="str">
        <f>IF(AND(Y38="已平仓",ISNUMBER(O38)),(SUMIFS('成交明细'!$H$5:$H$804,'成交明细'!$A$5:$A$804,A38,'成交明细'!$D$5:$D$804,"卖")-SUMIFS('成交明细'!$H$5:$H$804,'成交明细'!$A$5:$A$804,A38,'成交明细'!$D$5:$D$804,"买"))*IF(N(G38)&gt;0,G38,1)/O38,"")</f>
        <v/>
      </c>
      <c r="AC38" s="43" t="str">
        <f>IF(AND(Y38="已平仓",ISNUMBER(O38)),AA38/O38,"")</f>
        <v/>
      </c>
      <c r="AD38" s="44" t="str">
        <f>IF(AND(ISNUMBER(V38),ISNUMBER(I38)),IF(F38="空",I38-V38,V38-I38),"")</f>
        <v/>
      </c>
      <c r="AE38" s="44" t="str">
        <f>IF(OR(NOT(ISNUMBER(AA38)),NOT(ISNUMBER(X38))),"",IF(AA38&lt;0,IF(F38="空",X38-J38,J38-X38),IF(NOT(ISNUMBER(K38)),"",IF(F38="空",X38-K38,K38-X38))))</f>
        <v/>
      </c>
      <c r="AF38" s="32" t="n"/>
      <c r="AG38" s="32" t="n"/>
      <c r="AH38" s="31" t="n"/>
      <c r="AI38" s="43" t="str">
        <f>IF(A38="","",SUM(AC$5:AC38))</f>
        <v/>
      </c>
      <c r="AJ38" s="45" t="str">
        <f>IF(A38="","",MAX(0,MAX(AI$5:AI38))-AI38)</f>
        <v/>
      </c>
    </row>
    <row r="39">
      <c r="A39" s="29" t="n"/>
      <c r="B39" s="30" t="n"/>
      <c r="C39" s="31" t="n"/>
      <c r="D39" s="32" t="n"/>
      <c r="E39" s="32" t="n"/>
      <c r="F39" s="32" t="n"/>
      <c r="G39" s="32" t="n"/>
      <c r="H39" s="32" t="n"/>
      <c r="I39" s="33" t="n"/>
      <c r="J39" s="33" t="n"/>
      <c r="K39" s="33" t="n"/>
      <c r="L39" s="34" t="str">
        <f>IF(AND(ISNUMBER(I39),ISNUMBER(J39),ISNUMBER(K39)),IF(OR(AND(F39="多",I39&gt;J39),AND(F39="空",I39&lt;J39)),ABS(K39-I39)/ABS(I39-J39),"止损方向不对"),"")</f>
        <v/>
      </c>
      <c r="M39" s="35" t="str">
        <f>IF(AND(ISNUMBER(I39),ISNUMBER(J39)),IF(I39=J39,"",IF(INT(ROUND('参数'!$C$7/(ABS(I39-J39)*IF(N(G39)&gt;0,G39,1)+2*(I39*IF(N(G39)&gt;0,G39,1)*'参数'!$C$12+'参数'!$C$13+'参数'!$C$14*IF(N(G39)&gt;0,G39,1)))/IF(N(H39)&gt;0,H39,1),6))*IF(N(H39)&gt;0,H39,1)&gt;0,INT(ROUND('参数'!$C$7/(ABS(I39-J39)*IF(N(G39)&gt;0,G39,1)+2*(I39*IF(N(G39)&gt;0,G39,1)*'参数'!$C$12+'参数'!$C$13+'参数'!$C$14*IF(N(G39)&gt;0,G39,1)))/IF(N(H39)&gt;0,H39,1),6))*IF(N(H39)&gt;0,H39,1),"预算不足，这笔不做")),"")</f>
        <v/>
      </c>
      <c r="N39" s="36" t="n"/>
      <c r="O39" s="20" t="str">
        <f>IF(AND(ISNUMBER(I39),ISNUMBER(J39),ISNUMBER(N39)),IF(AND(I39&lt;&gt;J39,N39&gt;0),ABS(I39-J39)*N39*IF(N(G39)&gt;0,G39,1),""),"")</f>
        <v/>
      </c>
      <c r="P39" s="31" t="n"/>
      <c r="Q39" s="32" t="n"/>
      <c r="R39" s="37" t="str">
        <f>IF(N(U39)&gt;0,SUMPRODUCT(LARGE(('成交明细'!$A$5:$A$804=A39)*('成交明细'!$D$5:$D$804=IF(F39="空","卖","买"))*'成交明细'!$B$5:$B$804,COUNTIFS('成交明细'!$A$5:$A$804,A39,'成交明细'!$D$5:$D$804,IF(F39="空","卖","买")))),"")</f>
        <v/>
      </c>
      <c r="S39" s="37" t="str">
        <f>IF(AND(N(U39)&gt;0,N(W39)&gt;=N(U39)),SUMPRODUCT(MAX(('成交明细'!$A$5:$A$804=A39)*('成交明细'!$D$5:$D$804=IF(F39="空","买","卖"))*'成交明细'!$B$5:$B$804)),"")</f>
        <v/>
      </c>
      <c r="T39" s="38" t="str">
        <f>IF(N(U39)=0,"",IF(SUMPRODUCT(('成交明细'!$A$5:$A$804=A39)*('成交明细'!$D$5:$D$804=IF(F39="空","卖","买"))*ISNUMBER('成交明细'!$C$5:$C$804))=0,"没填时间",IFERROR(VLOOKUP(MOD(SUMPRODUCT(LARGE(('成交明细'!$A$5:$A$804=A39)*('成交明细'!$D$5:$D$804=IF(F39="空","卖","买"))*('成交明细'!$B$5:$B$804+'成交明细'!$C$5:$C$804),COUNTIFS('成交明细'!$A$5:$A$804,A39,'成交明细'!$D$5:$D$804,IF(F39="空","卖","买")))),1),'参数'!$B$39:$C$48,2,TRUE),"")))</f>
        <v/>
      </c>
      <c r="U39" s="35" t="str">
        <f>IF(A39="","",SUMIFS('成交明细'!$F$5:$F$804,'成交明细'!$A$5:$A$804,A39,'成交明细'!$D$5:$D$804,IF(F39="空","卖","买")))</f>
        <v/>
      </c>
      <c r="V39" s="39" t="str">
        <f>IF(N(U39)&gt;0,SUMIFS('成交明细'!$H$5:$H$804,'成交明细'!$A$5:$A$804,A39,'成交明细'!$D$5:$D$804,IF(F39="空","卖","买"))/U39,"")</f>
        <v/>
      </c>
      <c r="W39" s="35" t="str">
        <f>IF(A39="","",SUMIFS('成交明细'!$F$5:$F$804,'成交明细'!$A$5:$A$804,A39,'成交明细'!$D$5:$D$804,IF(F39="空","买","卖")))</f>
        <v/>
      </c>
      <c r="X39" s="39" t="str">
        <f>IF(N(W39)&gt;0,SUMIFS('成交明细'!$H$5:$H$804,'成交明细'!$A$5:$A$804,A39,'成交明细'!$D$5:$D$804,IF(F39="空","买","卖"))/W39,"")</f>
        <v/>
      </c>
      <c r="Y39" s="40" t="str">
        <f>IF(A39="","",IF(Q39&lt;&gt;"已执行",IF(Q39="","未填执行情况",Q39),IF(N(U39)=0,"待录成交",IF(N(W39)&gt;N(U39),"平仓多于开仓",IF(N(W39)&lt;N(U39),"持仓中","已平仓")))))</f>
        <v/>
      </c>
      <c r="Z39" s="41" t="str">
        <f>IF(N(U39)=0,"",SUMIFS('成交明细'!$L$5:$L$804,'成交明细'!$A$5:$A$804,A39))</f>
        <v/>
      </c>
      <c r="AA39" s="42" t="str">
        <f>IF(Y39&lt;&gt;"已平仓","",(SUMIFS('成交明细'!$H$5:$H$804,'成交明细'!$A$5:$A$804,A39,'成交明细'!$D$5:$D$804,"卖")-SUMIFS('成交明细'!$H$5:$H$804,'成交明细'!$A$5:$A$804,A39,'成交明细'!$D$5:$D$804,"买"))*IF(N(G39)&gt;0,G39,1)-Z39)</f>
        <v/>
      </c>
      <c r="AB39" s="43" t="str">
        <f>IF(AND(Y39="已平仓",ISNUMBER(O39)),(SUMIFS('成交明细'!$H$5:$H$804,'成交明细'!$A$5:$A$804,A39,'成交明细'!$D$5:$D$804,"卖")-SUMIFS('成交明细'!$H$5:$H$804,'成交明细'!$A$5:$A$804,A39,'成交明细'!$D$5:$D$804,"买"))*IF(N(G39)&gt;0,G39,1)/O39,"")</f>
        <v/>
      </c>
      <c r="AC39" s="43" t="str">
        <f>IF(AND(Y39="已平仓",ISNUMBER(O39)),AA39/O39,"")</f>
        <v/>
      </c>
      <c r="AD39" s="44" t="str">
        <f>IF(AND(ISNUMBER(V39),ISNUMBER(I39)),IF(F39="空",I39-V39,V39-I39),"")</f>
        <v/>
      </c>
      <c r="AE39" s="44" t="str">
        <f>IF(OR(NOT(ISNUMBER(AA39)),NOT(ISNUMBER(X39))),"",IF(AA39&lt;0,IF(F39="空",X39-J39,J39-X39),IF(NOT(ISNUMBER(K39)),"",IF(F39="空",X39-K39,K39-X39))))</f>
        <v/>
      </c>
      <c r="AF39" s="32" t="n"/>
      <c r="AG39" s="32" t="n"/>
      <c r="AH39" s="31" t="n"/>
      <c r="AI39" s="43" t="str">
        <f>IF(A39="","",SUM(AC$5:AC39))</f>
        <v/>
      </c>
      <c r="AJ39" s="45" t="str">
        <f>IF(A39="","",MAX(0,MAX(AI$5:AI39))-AI39)</f>
        <v/>
      </c>
    </row>
    <row r="40">
      <c r="A40" s="29" t="n"/>
      <c r="B40" s="30" t="n"/>
      <c r="C40" s="31" t="n"/>
      <c r="D40" s="32" t="n"/>
      <c r="E40" s="32" t="n"/>
      <c r="F40" s="32" t="n"/>
      <c r="G40" s="32" t="n"/>
      <c r="H40" s="32" t="n"/>
      <c r="I40" s="33" t="n"/>
      <c r="J40" s="33" t="n"/>
      <c r="K40" s="33" t="n"/>
      <c r="L40" s="34" t="str">
        <f>IF(AND(ISNUMBER(I40),ISNUMBER(J40),ISNUMBER(K40)),IF(OR(AND(F40="多",I40&gt;J40),AND(F40="空",I40&lt;J40)),ABS(K40-I40)/ABS(I40-J40),"止损方向不对"),"")</f>
        <v/>
      </c>
      <c r="M40" s="35" t="str">
        <f>IF(AND(ISNUMBER(I40),ISNUMBER(J40)),IF(I40=J40,"",IF(INT(ROUND('参数'!$C$7/(ABS(I40-J40)*IF(N(G40)&gt;0,G40,1)+2*(I40*IF(N(G40)&gt;0,G40,1)*'参数'!$C$12+'参数'!$C$13+'参数'!$C$14*IF(N(G40)&gt;0,G40,1)))/IF(N(H40)&gt;0,H40,1),6))*IF(N(H40)&gt;0,H40,1)&gt;0,INT(ROUND('参数'!$C$7/(ABS(I40-J40)*IF(N(G40)&gt;0,G40,1)+2*(I40*IF(N(G40)&gt;0,G40,1)*'参数'!$C$12+'参数'!$C$13+'参数'!$C$14*IF(N(G40)&gt;0,G40,1)))/IF(N(H40)&gt;0,H40,1),6))*IF(N(H40)&gt;0,H40,1),"预算不足，这笔不做")),"")</f>
        <v/>
      </c>
      <c r="N40" s="36" t="n"/>
      <c r="O40" s="20" t="str">
        <f>IF(AND(ISNUMBER(I40),ISNUMBER(J40),ISNUMBER(N40)),IF(AND(I40&lt;&gt;J40,N40&gt;0),ABS(I40-J40)*N40*IF(N(G40)&gt;0,G40,1),""),"")</f>
        <v/>
      </c>
      <c r="P40" s="31" t="n"/>
      <c r="Q40" s="32" t="n"/>
      <c r="R40" s="37" t="str">
        <f>IF(N(U40)&gt;0,SUMPRODUCT(LARGE(('成交明细'!$A$5:$A$804=A40)*('成交明细'!$D$5:$D$804=IF(F40="空","卖","买"))*'成交明细'!$B$5:$B$804,COUNTIFS('成交明细'!$A$5:$A$804,A40,'成交明细'!$D$5:$D$804,IF(F40="空","卖","买")))),"")</f>
        <v/>
      </c>
      <c r="S40" s="37" t="str">
        <f>IF(AND(N(U40)&gt;0,N(W40)&gt;=N(U40)),SUMPRODUCT(MAX(('成交明细'!$A$5:$A$804=A40)*('成交明细'!$D$5:$D$804=IF(F40="空","买","卖"))*'成交明细'!$B$5:$B$804)),"")</f>
        <v/>
      </c>
      <c r="T40" s="38" t="str">
        <f>IF(N(U40)=0,"",IF(SUMPRODUCT(('成交明细'!$A$5:$A$804=A40)*('成交明细'!$D$5:$D$804=IF(F40="空","卖","买"))*ISNUMBER('成交明细'!$C$5:$C$804))=0,"没填时间",IFERROR(VLOOKUP(MOD(SUMPRODUCT(LARGE(('成交明细'!$A$5:$A$804=A40)*('成交明细'!$D$5:$D$804=IF(F40="空","卖","买"))*('成交明细'!$B$5:$B$804+'成交明细'!$C$5:$C$804),COUNTIFS('成交明细'!$A$5:$A$804,A40,'成交明细'!$D$5:$D$804,IF(F40="空","卖","买")))),1),'参数'!$B$39:$C$48,2,TRUE),"")))</f>
        <v/>
      </c>
      <c r="U40" s="35" t="str">
        <f>IF(A40="","",SUMIFS('成交明细'!$F$5:$F$804,'成交明细'!$A$5:$A$804,A40,'成交明细'!$D$5:$D$804,IF(F40="空","卖","买")))</f>
        <v/>
      </c>
      <c r="V40" s="39" t="str">
        <f>IF(N(U40)&gt;0,SUMIFS('成交明细'!$H$5:$H$804,'成交明细'!$A$5:$A$804,A40,'成交明细'!$D$5:$D$804,IF(F40="空","卖","买"))/U40,"")</f>
        <v/>
      </c>
      <c r="W40" s="35" t="str">
        <f>IF(A40="","",SUMIFS('成交明细'!$F$5:$F$804,'成交明细'!$A$5:$A$804,A40,'成交明细'!$D$5:$D$804,IF(F40="空","买","卖")))</f>
        <v/>
      </c>
      <c r="X40" s="39" t="str">
        <f>IF(N(W40)&gt;0,SUMIFS('成交明细'!$H$5:$H$804,'成交明细'!$A$5:$A$804,A40,'成交明细'!$D$5:$D$804,IF(F40="空","买","卖"))/W40,"")</f>
        <v/>
      </c>
      <c r="Y40" s="40" t="str">
        <f>IF(A40="","",IF(Q40&lt;&gt;"已执行",IF(Q40="","未填执行情况",Q40),IF(N(U40)=0,"待录成交",IF(N(W40)&gt;N(U40),"平仓多于开仓",IF(N(W40)&lt;N(U40),"持仓中","已平仓")))))</f>
        <v/>
      </c>
      <c r="Z40" s="41" t="str">
        <f>IF(N(U40)=0,"",SUMIFS('成交明细'!$L$5:$L$804,'成交明细'!$A$5:$A$804,A40))</f>
        <v/>
      </c>
      <c r="AA40" s="42" t="str">
        <f>IF(Y40&lt;&gt;"已平仓","",(SUMIFS('成交明细'!$H$5:$H$804,'成交明细'!$A$5:$A$804,A40,'成交明细'!$D$5:$D$804,"卖")-SUMIFS('成交明细'!$H$5:$H$804,'成交明细'!$A$5:$A$804,A40,'成交明细'!$D$5:$D$804,"买"))*IF(N(G40)&gt;0,G40,1)-Z40)</f>
        <v/>
      </c>
      <c r="AB40" s="43" t="str">
        <f>IF(AND(Y40="已平仓",ISNUMBER(O40)),(SUMIFS('成交明细'!$H$5:$H$804,'成交明细'!$A$5:$A$804,A40,'成交明细'!$D$5:$D$804,"卖")-SUMIFS('成交明细'!$H$5:$H$804,'成交明细'!$A$5:$A$804,A40,'成交明细'!$D$5:$D$804,"买"))*IF(N(G40)&gt;0,G40,1)/O40,"")</f>
        <v/>
      </c>
      <c r="AC40" s="43" t="str">
        <f>IF(AND(Y40="已平仓",ISNUMBER(O40)),AA40/O40,"")</f>
        <v/>
      </c>
      <c r="AD40" s="44" t="str">
        <f>IF(AND(ISNUMBER(V40),ISNUMBER(I40)),IF(F40="空",I40-V40,V40-I40),"")</f>
        <v/>
      </c>
      <c r="AE40" s="44" t="str">
        <f>IF(OR(NOT(ISNUMBER(AA40)),NOT(ISNUMBER(X40))),"",IF(AA40&lt;0,IF(F40="空",X40-J40,J40-X40),IF(NOT(ISNUMBER(K40)),"",IF(F40="空",X40-K40,K40-X40))))</f>
        <v/>
      </c>
      <c r="AF40" s="32" t="n"/>
      <c r="AG40" s="32" t="n"/>
      <c r="AH40" s="31" t="n"/>
      <c r="AI40" s="43" t="str">
        <f>IF(A40="","",SUM(AC$5:AC40))</f>
        <v/>
      </c>
      <c r="AJ40" s="45" t="str">
        <f>IF(A40="","",MAX(0,MAX(AI$5:AI40))-AI40)</f>
        <v/>
      </c>
    </row>
    <row r="41">
      <c r="A41" s="29" t="n"/>
      <c r="B41" s="30" t="n"/>
      <c r="C41" s="31" t="n"/>
      <c r="D41" s="32" t="n"/>
      <c r="E41" s="32" t="n"/>
      <c r="F41" s="32" t="n"/>
      <c r="G41" s="32" t="n"/>
      <c r="H41" s="32" t="n"/>
      <c r="I41" s="33" t="n"/>
      <c r="J41" s="33" t="n"/>
      <c r="K41" s="33" t="n"/>
      <c r="L41" s="34" t="str">
        <f>IF(AND(ISNUMBER(I41),ISNUMBER(J41),ISNUMBER(K41)),IF(OR(AND(F41="多",I41&gt;J41),AND(F41="空",I41&lt;J41)),ABS(K41-I41)/ABS(I41-J41),"止损方向不对"),"")</f>
        <v/>
      </c>
      <c r="M41" s="35" t="str">
        <f>IF(AND(ISNUMBER(I41),ISNUMBER(J41)),IF(I41=J41,"",IF(INT(ROUND('参数'!$C$7/(ABS(I41-J41)*IF(N(G41)&gt;0,G41,1)+2*(I41*IF(N(G41)&gt;0,G41,1)*'参数'!$C$12+'参数'!$C$13+'参数'!$C$14*IF(N(G41)&gt;0,G41,1)))/IF(N(H41)&gt;0,H41,1),6))*IF(N(H41)&gt;0,H41,1)&gt;0,INT(ROUND('参数'!$C$7/(ABS(I41-J41)*IF(N(G41)&gt;0,G41,1)+2*(I41*IF(N(G41)&gt;0,G41,1)*'参数'!$C$12+'参数'!$C$13+'参数'!$C$14*IF(N(G41)&gt;0,G41,1)))/IF(N(H41)&gt;0,H41,1),6))*IF(N(H41)&gt;0,H41,1),"预算不足，这笔不做")),"")</f>
        <v/>
      </c>
      <c r="N41" s="36" t="n"/>
      <c r="O41" s="20" t="str">
        <f>IF(AND(ISNUMBER(I41),ISNUMBER(J41),ISNUMBER(N41)),IF(AND(I41&lt;&gt;J41,N41&gt;0),ABS(I41-J41)*N41*IF(N(G41)&gt;0,G41,1),""),"")</f>
        <v/>
      </c>
      <c r="P41" s="31" t="n"/>
      <c r="Q41" s="32" t="n"/>
      <c r="R41" s="37" t="str">
        <f>IF(N(U41)&gt;0,SUMPRODUCT(LARGE(('成交明细'!$A$5:$A$804=A41)*('成交明细'!$D$5:$D$804=IF(F41="空","卖","买"))*'成交明细'!$B$5:$B$804,COUNTIFS('成交明细'!$A$5:$A$804,A41,'成交明细'!$D$5:$D$804,IF(F41="空","卖","买")))),"")</f>
        <v/>
      </c>
      <c r="S41" s="37" t="str">
        <f>IF(AND(N(U41)&gt;0,N(W41)&gt;=N(U41)),SUMPRODUCT(MAX(('成交明细'!$A$5:$A$804=A41)*('成交明细'!$D$5:$D$804=IF(F41="空","买","卖"))*'成交明细'!$B$5:$B$804)),"")</f>
        <v/>
      </c>
      <c r="T41" s="38" t="str">
        <f>IF(N(U41)=0,"",IF(SUMPRODUCT(('成交明细'!$A$5:$A$804=A41)*('成交明细'!$D$5:$D$804=IF(F41="空","卖","买"))*ISNUMBER('成交明细'!$C$5:$C$804))=0,"没填时间",IFERROR(VLOOKUP(MOD(SUMPRODUCT(LARGE(('成交明细'!$A$5:$A$804=A41)*('成交明细'!$D$5:$D$804=IF(F41="空","卖","买"))*('成交明细'!$B$5:$B$804+'成交明细'!$C$5:$C$804),COUNTIFS('成交明细'!$A$5:$A$804,A41,'成交明细'!$D$5:$D$804,IF(F41="空","卖","买")))),1),'参数'!$B$39:$C$48,2,TRUE),"")))</f>
        <v/>
      </c>
      <c r="U41" s="35" t="str">
        <f>IF(A41="","",SUMIFS('成交明细'!$F$5:$F$804,'成交明细'!$A$5:$A$804,A41,'成交明细'!$D$5:$D$804,IF(F41="空","卖","买")))</f>
        <v/>
      </c>
      <c r="V41" s="39" t="str">
        <f>IF(N(U41)&gt;0,SUMIFS('成交明细'!$H$5:$H$804,'成交明细'!$A$5:$A$804,A41,'成交明细'!$D$5:$D$804,IF(F41="空","卖","买"))/U41,"")</f>
        <v/>
      </c>
      <c r="W41" s="35" t="str">
        <f>IF(A41="","",SUMIFS('成交明细'!$F$5:$F$804,'成交明细'!$A$5:$A$804,A41,'成交明细'!$D$5:$D$804,IF(F41="空","买","卖")))</f>
        <v/>
      </c>
      <c r="X41" s="39" t="str">
        <f>IF(N(W41)&gt;0,SUMIFS('成交明细'!$H$5:$H$804,'成交明细'!$A$5:$A$804,A41,'成交明细'!$D$5:$D$804,IF(F41="空","买","卖"))/W41,"")</f>
        <v/>
      </c>
      <c r="Y41" s="40" t="str">
        <f>IF(A41="","",IF(Q41&lt;&gt;"已执行",IF(Q41="","未填执行情况",Q41),IF(N(U41)=0,"待录成交",IF(N(W41)&gt;N(U41),"平仓多于开仓",IF(N(W41)&lt;N(U41),"持仓中","已平仓")))))</f>
        <v/>
      </c>
      <c r="Z41" s="41" t="str">
        <f>IF(N(U41)=0,"",SUMIFS('成交明细'!$L$5:$L$804,'成交明细'!$A$5:$A$804,A41))</f>
        <v/>
      </c>
      <c r="AA41" s="42" t="str">
        <f>IF(Y41&lt;&gt;"已平仓","",(SUMIFS('成交明细'!$H$5:$H$804,'成交明细'!$A$5:$A$804,A41,'成交明细'!$D$5:$D$804,"卖")-SUMIFS('成交明细'!$H$5:$H$804,'成交明细'!$A$5:$A$804,A41,'成交明细'!$D$5:$D$804,"买"))*IF(N(G41)&gt;0,G41,1)-Z41)</f>
        <v/>
      </c>
      <c r="AB41" s="43" t="str">
        <f>IF(AND(Y41="已平仓",ISNUMBER(O41)),(SUMIFS('成交明细'!$H$5:$H$804,'成交明细'!$A$5:$A$804,A41,'成交明细'!$D$5:$D$804,"卖")-SUMIFS('成交明细'!$H$5:$H$804,'成交明细'!$A$5:$A$804,A41,'成交明细'!$D$5:$D$804,"买"))*IF(N(G41)&gt;0,G41,1)/O41,"")</f>
        <v/>
      </c>
      <c r="AC41" s="43" t="str">
        <f>IF(AND(Y41="已平仓",ISNUMBER(O41)),AA41/O41,"")</f>
        <v/>
      </c>
      <c r="AD41" s="44" t="str">
        <f>IF(AND(ISNUMBER(V41),ISNUMBER(I41)),IF(F41="空",I41-V41,V41-I41),"")</f>
        <v/>
      </c>
      <c r="AE41" s="44" t="str">
        <f>IF(OR(NOT(ISNUMBER(AA41)),NOT(ISNUMBER(X41))),"",IF(AA41&lt;0,IF(F41="空",X41-J41,J41-X41),IF(NOT(ISNUMBER(K41)),"",IF(F41="空",X41-K41,K41-X41))))</f>
        <v/>
      </c>
      <c r="AF41" s="32" t="n"/>
      <c r="AG41" s="32" t="n"/>
      <c r="AH41" s="31" t="n"/>
      <c r="AI41" s="43" t="str">
        <f>IF(A41="","",SUM(AC$5:AC41))</f>
        <v/>
      </c>
      <c r="AJ41" s="45" t="str">
        <f>IF(A41="","",MAX(0,MAX(AI$5:AI41))-AI41)</f>
        <v/>
      </c>
    </row>
    <row r="42">
      <c r="A42" s="29" t="n"/>
      <c r="B42" s="30" t="n"/>
      <c r="C42" s="31" t="n"/>
      <c r="D42" s="32" t="n"/>
      <c r="E42" s="32" t="n"/>
      <c r="F42" s="32" t="n"/>
      <c r="G42" s="32" t="n"/>
      <c r="H42" s="32" t="n"/>
      <c r="I42" s="33" t="n"/>
      <c r="J42" s="33" t="n"/>
      <c r="K42" s="33" t="n"/>
      <c r="L42" s="34" t="str">
        <f>IF(AND(ISNUMBER(I42),ISNUMBER(J42),ISNUMBER(K42)),IF(OR(AND(F42="多",I42&gt;J42),AND(F42="空",I42&lt;J42)),ABS(K42-I42)/ABS(I42-J42),"止损方向不对"),"")</f>
        <v/>
      </c>
      <c r="M42" s="35" t="str">
        <f>IF(AND(ISNUMBER(I42),ISNUMBER(J42)),IF(I42=J42,"",IF(INT(ROUND('参数'!$C$7/(ABS(I42-J42)*IF(N(G42)&gt;0,G42,1)+2*(I42*IF(N(G42)&gt;0,G42,1)*'参数'!$C$12+'参数'!$C$13+'参数'!$C$14*IF(N(G42)&gt;0,G42,1)))/IF(N(H42)&gt;0,H42,1),6))*IF(N(H42)&gt;0,H42,1)&gt;0,INT(ROUND('参数'!$C$7/(ABS(I42-J42)*IF(N(G42)&gt;0,G42,1)+2*(I42*IF(N(G42)&gt;0,G42,1)*'参数'!$C$12+'参数'!$C$13+'参数'!$C$14*IF(N(G42)&gt;0,G42,1)))/IF(N(H42)&gt;0,H42,1),6))*IF(N(H42)&gt;0,H42,1),"预算不足，这笔不做")),"")</f>
        <v/>
      </c>
      <c r="N42" s="36" t="n"/>
      <c r="O42" s="20" t="str">
        <f>IF(AND(ISNUMBER(I42),ISNUMBER(J42),ISNUMBER(N42)),IF(AND(I42&lt;&gt;J42,N42&gt;0),ABS(I42-J42)*N42*IF(N(G42)&gt;0,G42,1),""),"")</f>
        <v/>
      </c>
      <c r="P42" s="31" t="n"/>
      <c r="Q42" s="32" t="n"/>
      <c r="R42" s="37" t="str">
        <f>IF(N(U42)&gt;0,SUMPRODUCT(LARGE(('成交明细'!$A$5:$A$804=A42)*('成交明细'!$D$5:$D$804=IF(F42="空","卖","买"))*'成交明细'!$B$5:$B$804,COUNTIFS('成交明细'!$A$5:$A$804,A42,'成交明细'!$D$5:$D$804,IF(F42="空","卖","买")))),"")</f>
        <v/>
      </c>
      <c r="S42" s="37" t="str">
        <f>IF(AND(N(U42)&gt;0,N(W42)&gt;=N(U42)),SUMPRODUCT(MAX(('成交明细'!$A$5:$A$804=A42)*('成交明细'!$D$5:$D$804=IF(F42="空","买","卖"))*'成交明细'!$B$5:$B$804)),"")</f>
        <v/>
      </c>
      <c r="T42" s="38" t="str">
        <f>IF(N(U42)=0,"",IF(SUMPRODUCT(('成交明细'!$A$5:$A$804=A42)*('成交明细'!$D$5:$D$804=IF(F42="空","卖","买"))*ISNUMBER('成交明细'!$C$5:$C$804))=0,"没填时间",IFERROR(VLOOKUP(MOD(SUMPRODUCT(LARGE(('成交明细'!$A$5:$A$804=A42)*('成交明细'!$D$5:$D$804=IF(F42="空","卖","买"))*('成交明细'!$B$5:$B$804+'成交明细'!$C$5:$C$804),COUNTIFS('成交明细'!$A$5:$A$804,A42,'成交明细'!$D$5:$D$804,IF(F42="空","卖","买")))),1),'参数'!$B$39:$C$48,2,TRUE),"")))</f>
        <v/>
      </c>
      <c r="U42" s="35" t="str">
        <f>IF(A42="","",SUMIFS('成交明细'!$F$5:$F$804,'成交明细'!$A$5:$A$804,A42,'成交明细'!$D$5:$D$804,IF(F42="空","卖","买")))</f>
        <v/>
      </c>
      <c r="V42" s="39" t="str">
        <f>IF(N(U42)&gt;0,SUMIFS('成交明细'!$H$5:$H$804,'成交明细'!$A$5:$A$804,A42,'成交明细'!$D$5:$D$804,IF(F42="空","卖","买"))/U42,"")</f>
        <v/>
      </c>
      <c r="W42" s="35" t="str">
        <f>IF(A42="","",SUMIFS('成交明细'!$F$5:$F$804,'成交明细'!$A$5:$A$804,A42,'成交明细'!$D$5:$D$804,IF(F42="空","买","卖")))</f>
        <v/>
      </c>
      <c r="X42" s="39" t="str">
        <f>IF(N(W42)&gt;0,SUMIFS('成交明细'!$H$5:$H$804,'成交明细'!$A$5:$A$804,A42,'成交明细'!$D$5:$D$804,IF(F42="空","买","卖"))/W42,"")</f>
        <v/>
      </c>
      <c r="Y42" s="40" t="str">
        <f>IF(A42="","",IF(Q42&lt;&gt;"已执行",IF(Q42="","未填执行情况",Q42),IF(N(U42)=0,"待录成交",IF(N(W42)&gt;N(U42),"平仓多于开仓",IF(N(W42)&lt;N(U42),"持仓中","已平仓")))))</f>
        <v/>
      </c>
      <c r="Z42" s="41" t="str">
        <f>IF(N(U42)=0,"",SUMIFS('成交明细'!$L$5:$L$804,'成交明细'!$A$5:$A$804,A42))</f>
        <v/>
      </c>
      <c r="AA42" s="42" t="str">
        <f>IF(Y42&lt;&gt;"已平仓","",(SUMIFS('成交明细'!$H$5:$H$804,'成交明细'!$A$5:$A$804,A42,'成交明细'!$D$5:$D$804,"卖")-SUMIFS('成交明细'!$H$5:$H$804,'成交明细'!$A$5:$A$804,A42,'成交明细'!$D$5:$D$804,"买"))*IF(N(G42)&gt;0,G42,1)-Z42)</f>
        <v/>
      </c>
      <c r="AB42" s="43" t="str">
        <f>IF(AND(Y42="已平仓",ISNUMBER(O42)),(SUMIFS('成交明细'!$H$5:$H$804,'成交明细'!$A$5:$A$804,A42,'成交明细'!$D$5:$D$804,"卖")-SUMIFS('成交明细'!$H$5:$H$804,'成交明细'!$A$5:$A$804,A42,'成交明细'!$D$5:$D$804,"买"))*IF(N(G42)&gt;0,G42,1)/O42,"")</f>
        <v/>
      </c>
      <c r="AC42" s="43" t="str">
        <f>IF(AND(Y42="已平仓",ISNUMBER(O42)),AA42/O42,"")</f>
        <v/>
      </c>
      <c r="AD42" s="44" t="str">
        <f>IF(AND(ISNUMBER(V42),ISNUMBER(I42)),IF(F42="空",I42-V42,V42-I42),"")</f>
        <v/>
      </c>
      <c r="AE42" s="44" t="str">
        <f>IF(OR(NOT(ISNUMBER(AA42)),NOT(ISNUMBER(X42))),"",IF(AA42&lt;0,IF(F42="空",X42-J42,J42-X42),IF(NOT(ISNUMBER(K42)),"",IF(F42="空",X42-K42,K42-X42))))</f>
        <v/>
      </c>
      <c r="AF42" s="32" t="n"/>
      <c r="AG42" s="32" t="n"/>
      <c r="AH42" s="31" t="n"/>
      <c r="AI42" s="43" t="str">
        <f>IF(A42="","",SUM(AC$5:AC42))</f>
        <v/>
      </c>
      <c r="AJ42" s="45" t="str">
        <f>IF(A42="","",MAX(0,MAX(AI$5:AI42))-AI42)</f>
        <v/>
      </c>
    </row>
    <row r="43">
      <c r="A43" s="29" t="n"/>
      <c r="B43" s="30" t="n"/>
      <c r="C43" s="31" t="n"/>
      <c r="D43" s="32" t="n"/>
      <c r="E43" s="32" t="n"/>
      <c r="F43" s="32" t="n"/>
      <c r="G43" s="32" t="n"/>
      <c r="H43" s="32" t="n"/>
      <c r="I43" s="33" t="n"/>
      <c r="J43" s="33" t="n"/>
      <c r="K43" s="33" t="n"/>
      <c r="L43" s="34" t="str">
        <f>IF(AND(ISNUMBER(I43),ISNUMBER(J43),ISNUMBER(K43)),IF(OR(AND(F43="多",I43&gt;J43),AND(F43="空",I43&lt;J43)),ABS(K43-I43)/ABS(I43-J43),"止损方向不对"),"")</f>
        <v/>
      </c>
      <c r="M43" s="35" t="str">
        <f>IF(AND(ISNUMBER(I43),ISNUMBER(J43)),IF(I43=J43,"",IF(INT(ROUND('参数'!$C$7/(ABS(I43-J43)*IF(N(G43)&gt;0,G43,1)+2*(I43*IF(N(G43)&gt;0,G43,1)*'参数'!$C$12+'参数'!$C$13+'参数'!$C$14*IF(N(G43)&gt;0,G43,1)))/IF(N(H43)&gt;0,H43,1),6))*IF(N(H43)&gt;0,H43,1)&gt;0,INT(ROUND('参数'!$C$7/(ABS(I43-J43)*IF(N(G43)&gt;0,G43,1)+2*(I43*IF(N(G43)&gt;0,G43,1)*'参数'!$C$12+'参数'!$C$13+'参数'!$C$14*IF(N(G43)&gt;0,G43,1)))/IF(N(H43)&gt;0,H43,1),6))*IF(N(H43)&gt;0,H43,1),"预算不足，这笔不做")),"")</f>
        <v/>
      </c>
      <c r="N43" s="36" t="n"/>
      <c r="O43" s="20" t="str">
        <f>IF(AND(ISNUMBER(I43),ISNUMBER(J43),ISNUMBER(N43)),IF(AND(I43&lt;&gt;J43,N43&gt;0),ABS(I43-J43)*N43*IF(N(G43)&gt;0,G43,1),""),"")</f>
        <v/>
      </c>
      <c r="P43" s="31" t="n"/>
      <c r="Q43" s="32" t="n"/>
      <c r="R43" s="37" t="str">
        <f>IF(N(U43)&gt;0,SUMPRODUCT(LARGE(('成交明细'!$A$5:$A$804=A43)*('成交明细'!$D$5:$D$804=IF(F43="空","卖","买"))*'成交明细'!$B$5:$B$804,COUNTIFS('成交明细'!$A$5:$A$804,A43,'成交明细'!$D$5:$D$804,IF(F43="空","卖","买")))),"")</f>
        <v/>
      </c>
      <c r="S43" s="37" t="str">
        <f>IF(AND(N(U43)&gt;0,N(W43)&gt;=N(U43)),SUMPRODUCT(MAX(('成交明细'!$A$5:$A$804=A43)*('成交明细'!$D$5:$D$804=IF(F43="空","买","卖"))*'成交明细'!$B$5:$B$804)),"")</f>
        <v/>
      </c>
      <c r="T43" s="38" t="str">
        <f>IF(N(U43)=0,"",IF(SUMPRODUCT(('成交明细'!$A$5:$A$804=A43)*('成交明细'!$D$5:$D$804=IF(F43="空","卖","买"))*ISNUMBER('成交明细'!$C$5:$C$804))=0,"没填时间",IFERROR(VLOOKUP(MOD(SUMPRODUCT(LARGE(('成交明细'!$A$5:$A$804=A43)*('成交明细'!$D$5:$D$804=IF(F43="空","卖","买"))*('成交明细'!$B$5:$B$804+'成交明细'!$C$5:$C$804),COUNTIFS('成交明细'!$A$5:$A$804,A43,'成交明细'!$D$5:$D$804,IF(F43="空","卖","买")))),1),'参数'!$B$39:$C$48,2,TRUE),"")))</f>
        <v/>
      </c>
      <c r="U43" s="35" t="str">
        <f>IF(A43="","",SUMIFS('成交明细'!$F$5:$F$804,'成交明细'!$A$5:$A$804,A43,'成交明细'!$D$5:$D$804,IF(F43="空","卖","买")))</f>
        <v/>
      </c>
      <c r="V43" s="39" t="str">
        <f>IF(N(U43)&gt;0,SUMIFS('成交明细'!$H$5:$H$804,'成交明细'!$A$5:$A$804,A43,'成交明细'!$D$5:$D$804,IF(F43="空","卖","买"))/U43,"")</f>
        <v/>
      </c>
      <c r="W43" s="35" t="str">
        <f>IF(A43="","",SUMIFS('成交明细'!$F$5:$F$804,'成交明细'!$A$5:$A$804,A43,'成交明细'!$D$5:$D$804,IF(F43="空","买","卖")))</f>
        <v/>
      </c>
      <c r="X43" s="39" t="str">
        <f>IF(N(W43)&gt;0,SUMIFS('成交明细'!$H$5:$H$804,'成交明细'!$A$5:$A$804,A43,'成交明细'!$D$5:$D$804,IF(F43="空","买","卖"))/W43,"")</f>
        <v/>
      </c>
      <c r="Y43" s="40" t="str">
        <f>IF(A43="","",IF(Q43&lt;&gt;"已执行",IF(Q43="","未填执行情况",Q43),IF(N(U43)=0,"待录成交",IF(N(W43)&gt;N(U43),"平仓多于开仓",IF(N(W43)&lt;N(U43),"持仓中","已平仓")))))</f>
        <v/>
      </c>
      <c r="Z43" s="41" t="str">
        <f>IF(N(U43)=0,"",SUMIFS('成交明细'!$L$5:$L$804,'成交明细'!$A$5:$A$804,A43))</f>
        <v/>
      </c>
      <c r="AA43" s="42" t="str">
        <f>IF(Y43&lt;&gt;"已平仓","",(SUMIFS('成交明细'!$H$5:$H$804,'成交明细'!$A$5:$A$804,A43,'成交明细'!$D$5:$D$804,"卖")-SUMIFS('成交明细'!$H$5:$H$804,'成交明细'!$A$5:$A$804,A43,'成交明细'!$D$5:$D$804,"买"))*IF(N(G43)&gt;0,G43,1)-Z43)</f>
        <v/>
      </c>
      <c r="AB43" s="43" t="str">
        <f>IF(AND(Y43="已平仓",ISNUMBER(O43)),(SUMIFS('成交明细'!$H$5:$H$804,'成交明细'!$A$5:$A$804,A43,'成交明细'!$D$5:$D$804,"卖")-SUMIFS('成交明细'!$H$5:$H$804,'成交明细'!$A$5:$A$804,A43,'成交明细'!$D$5:$D$804,"买"))*IF(N(G43)&gt;0,G43,1)/O43,"")</f>
        <v/>
      </c>
      <c r="AC43" s="43" t="str">
        <f>IF(AND(Y43="已平仓",ISNUMBER(O43)),AA43/O43,"")</f>
        <v/>
      </c>
      <c r="AD43" s="44" t="str">
        <f>IF(AND(ISNUMBER(V43),ISNUMBER(I43)),IF(F43="空",I43-V43,V43-I43),"")</f>
        <v/>
      </c>
      <c r="AE43" s="44" t="str">
        <f>IF(OR(NOT(ISNUMBER(AA43)),NOT(ISNUMBER(X43))),"",IF(AA43&lt;0,IF(F43="空",X43-J43,J43-X43),IF(NOT(ISNUMBER(K43)),"",IF(F43="空",X43-K43,K43-X43))))</f>
        <v/>
      </c>
      <c r="AF43" s="32" t="n"/>
      <c r="AG43" s="32" t="n"/>
      <c r="AH43" s="31" t="n"/>
      <c r="AI43" s="43" t="str">
        <f>IF(A43="","",SUM(AC$5:AC43))</f>
        <v/>
      </c>
      <c r="AJ43" s="45" t="str">
        <f>IF(A43="","",MAX(0,MAX(AI$5:AI43))-AI43)</f>
        <v/>
      </c>
    </row>
    <row r="44">
      <c r="A44" s="29" t="n"/>
      <c r="B44" s="30" t="n"/>
      <c r="C44" s="31" t="n"/>
      <c r="D44" s="32" t="n"/>
      <c r="E44" s="32" t="n"/>
      <c r="F44" s="32" t="n"/>
      <c r="G44" s="32" t="n"/>
      <c r="H44" s="32" t="n"/>
      <c r="I44" s="33" t="n"/>
      <c r="J44" s="33" t="n"/>
      <c r="K44" s="33" t="n"/>
      <c r="L44" s="34" t="str">
        <f>IF(AND(ISNUMBER(I44),ISNUMBER(J44),ISNUMBER(K44)),IF(OR(AND(F44="多",I44&gt;J44),AND(F44="空",I44&lt;J44)),ABS(K44-I44)/ABS(I44-J44),"止损方向不对"),"")</f>
        <v/>
      </c>
      <c r="M44" s="35" t="str">
        <f>IF(AND(ISNUMBER(I44),ISNUMBER(J44)),IF(I44=J44,"",IF(INT(ROUND('参数'!$C$7/(ABS(I44-J44)*IF(N(G44)&gt;0,G44,1)+2*(I44*IF(N(G44)&gt;0,G44,1)*'参数'!$C$12+'参数'!$C$13+'参数'!$C$14*IF(N(G44)&gt;0,G44,1)))/IF(N(H44)&gt;0,H44,1),6))*IF(N(H44)&gt;0,H44,1)&gt;0,INT(ROUND('参数'!$C$7/(ABS(I44-J44)*IF(N(G44)&gt;0,G44,1)+2*(I44*IF(N(G44)&gt;0,G44,1)*'参数'!$C$12+'参数'!$C$13+'参数'!$C$14*IF(N(G44)&gt;0,G44,1)))/IF(N(H44)&gt;0,H44,1),6))*IF(N(H44)&gt;0,H44,1),"预算不足，这笔不做")),"")</f>
        <v/>
      </c>
      <c r="N44" s="36" t="n"/>
      <c r="O44" s="20" t="str">
        <f>IF(AND(ISNUMBER(I44),ISNUMBER(J44),ISNUMBER(N44)),IF(AND(I44&lt;&gt;J44,N44&gt;0),ABS(I44-J44)*N44*IF(N(G44)&gt;0,G44,1),""),"")</f>
        <v/>
      </c>
      <c r="P44" s="31" t="n"/>
      <c r="Q44" s="32" t="n"/>
      <c r="R44" s="37" t="str">
        <f>IF(N(U44)&gt;0,SUMPRODUCT(LARGE(('成交明细'!$A$5:$A$804=A44)*('成交明细'!$D$5:$D$804=IF(F44="空","卖","买"))*'成交明细'!$B$5:$B$804,COUNTIFS('成交明细'!$A$5:$A$804,A44,'成交明细'!$D$5:$D$804,IF(F44="空","卖","买")))),"")</f>
        <v/>
      </c>
      <c r="S44" s="37" t="str">
        <f>IF(AND(N(U44)&gt;0,N(W44)&gt;=N(U44)),SUMPRODUCT(MAX(('成交明细'!$A$5:$A$804=A44)*('成交明细'!$D$5:$D$804=IF(F44="空","买","卖"))*'成交明细'!$B$5:$B$804)),"")</f>
        <v/>
      </c>
      <c r="T44" s="38" t="str">
        <f>IF(N(U44)=0,"",IF(SUMPRODUCT(('成交明细'!$A$5:$A$804=A44)*('成交明细'!$D$5:$D$804=IF(F44="空","卖","买"))*ISNUMBER('成交明细'!$C$5:$C$804))=0,"没填时间",IFERROR(VLOOKUP(MOD(SUMPRODUCT(LARGE(('成交明细'!$A$5:$A$804=A44)*('成交明细'!$D$5:$D$804=IF(F44="空","卖","买"))*('成交明细'!$B$5:$B$804+'成交明细'!$C$5:$C$804),COUNTIFS('成交明细'!$A$5:$A$804,A44,'成交明细'!$D$5:$D$804,IF(F44="空","卖","买")))),1),'参数'!$B$39:$C$48,2,TRUE),"")))</f>
        <v/>
      </c>
      <c r="U44" s="35" t="str">
        <f>IF(A44="","",SUMIFS('成交明细'!$F$5:$F$804,'成交明细'!$A$5:$A$804,A44,'成交明细'!$D$5:$D$804,IF(F44="空","卖","买")))</f>
        <v/>
      </c>
      <c r="V44" s="39" t="str">
        <f>IF(N(U44)&gt;0,SUMIFS('成交明细'!$H$5:$H$804,'成交明细'!$A$5:$A$804,A44,'成交明细'!$D$5:$D$804,IF(F44="空","卖","买"))/U44,"")</f>
        <v/>
      </c>
      <c r="W44" s="35" t="str">
        <f>IF(A44="","",SUMIFS('成交明细'!$F$5:$F$804,'成交明细'!$A$5:$A$804,A44,'成交明细'!$D$5:$D$804,IF(F44="空","买","卖")))</f>
        <v/>
      </c>
      <c r="X44" s="39" t="str">
        <f>IF(N(W44)&gt;0,SUMIFS('成交明细'!$H$5:$H$804,'成交明细'!$A$5:$A$804,A44,'成交明细'!$D$5:$D$804,IF(F44="空","买","卖"))/W44,"")</f>
        <v/>
      </c>
      <c r="Y44" s="40" t="str">
        <f>IF(A44="","",IF(Q44&lt;&gt;"已执行",IF(Q44="","未填执行情况",Q44),IF(N(U44)=0,"待录成交",IF(N(W44)&gt;N(U44),"平仓多于开仓",IF(N(W44)&lt;N(U44),"持仓中","已平仓")))))</f>
        <v/>
      </c>
      <c r="Z44" s="41" t="str">
        <f>IF(N(U44)=0,"",SUMIFS('成交明细'!$L$5:$L$804,'成交明细'!$A$5:$A$804,A44))</f>
        <v/>
      </c>
      <c r="AA44" s="42" t="str">
        <f>IF(Y44&lt;&gt;"已平仓","",(SUMIFS('成交明细'!$H$5:$H$804,'成交明细'!$A$5:$A$804,A44,'成交明细'!$D$5:$D$804,"卖")-SUMIFS('成交明细'!$H$5:$H$804,'成交明细'!$A$5:$A$804,A44,'成交明细'!$D$5:$D$804,"买"))*IF(N(G44)&gt;0,G44,1)-Z44)</f>
        <v/>
      </c>
      <c r="AB44" s="43" t="str">
        <f>IF(AND(Y44="已平仓",ISNUMBER(O44)),(SUMIFS('成交明细'!$H$5:$H$804,'成交明细'!$A$5:$A$804,A44,'成交明细'!$D$5:$D$804,"卖")-SUMIFS('成交明细'!$H$5:$H$804,'成交明细'!$A$5:$A$804,A44,'成交明细'!$D$5:$D$804,"买"))*IF(N(G44)&gt;0,G44,1)/O44,"")</f>
        <v/>
      </c>
      <c r="AC44" s="43" t="str">
        <f>IF(AND(Y44="已平仓",ISNUMBER(O44)),AA44/O44,"")</f>
        <v/>
      </c>
      <c r="AD44" s="44" t="str">
        <f>IF(AND(ISNUMBER(V44),ISNUMBER(I44)),IF(F44="空",I44-V44,V44-I44),"")</f>
        <v/>
      </c>
      <c r="AE44" s="44" t="str">
        <f>IF(OR(NOT(ISNUMBER(AA44)),NOT(ISNUMBER(X44))),"",IF(AA44&lt;0,IF(F44="空",X44-J44,J44-X44),IF(NOT(ISNUMBER(K44)),"",IF(F44="空",X44-K44,K44-X44))))</f>
        <v/>
      </c>
      <c r="AF44" s="32" t="n"/>
      <c r="AG44" s="32" t="n"/>
      <c r="AH44" s="31" t="n"/>
      <c r="AI44" s="43" t="str">
        <f>IF(A44="","",SUM(AC$5:AC44))</f>
        <v/>
      </c>
      <c r="AJ44" s="45" t="str">
        <f>IF(A44="","",MAX(0,MAX(AI$5:AI44))-AI44)</f>
        <v/>
      </c>
    </row>
    <row r="45">
      <c r="A45" s="29" t="n"/>
      <c r="B45" s="30" t="n"/>
      <c r="C45" s="31" t="n"/>
      <c r="D45" s="32" t="n"/>
      <c r="E45" s="32" t="n"/>
      <c r="F45" s="32" t="n"/>
      <c r="G45" s="32" t="n"/>
      <c r="H45" s="32" t="n"/>
      <c r="I45" s="33" t="n"/>
      <c r="J45" s="33" t="n"/>
      <c r="K45" s="33" t="n"/>
      <c r="L45" s="34" t="str">
        <f>IF(AND(ISNUMBER(I45),ISNUMBER(J45),ISNUMBER(K45)),IF(OR(AND(F45="多",I45&gt;J45),AND(F45="空",I45&lt;J45)),ABS(K45-I45)/ABS(I45-J45),"止损方向不对"),"")</f>
        <v/>
      </c>
      <c r="M45" s="35" t="str">
        <f>IF(AND(ISNUMBER(I45),ISNUMBER(J45)),IF(I45=J45,"",IF(INT(ROUND('参数'!$C$7/(ABS(I45-J45)*IF(N(G45)&gt;0,G45,1)+2*(I45*IF(N(G45)&gt;0,G45,1)*'参数'!$C$12+'参数'!$C$13+'参数'!$C$14*IF(N(G45)&gt;0,G45,1)))/IF(N(H45)&gt;0,H45,1),6))*IF(N(H45)&gt;0,H45,1)&gt;0,INT(ROUND('参数'!$C$7/(ABS(I45-J45)*IF(N(G45)&gt;0,G45,1)+2*(I45*IF(N(G45)&gt;0,G45,1)*'参数'!$C$12+'参数'!$C$13+'参数'!$C$14*IF(N(G45)&gt;0,G45,1)))/IF(N(H45)&gt;0,H45,1),6))*IF(N(H45)&gt;0,H45,1),"预算不足，这笔不做")),"")</f>
        <v/>
      </c>
      <c r="N45" s="36" t="n"/>
      <c r="O45" s="20" t="str">
        <f>IF(AND(ISNUMBER(I45),ISNUMBER(J45),ISNUMBER(N45)),IF(AND(I45&lt;&gt;J45,N45&gt;0),ABS(I45-J45)*N45*IF(N(G45)&gt;0,G45,1),""),"")</f>
        <v/>
      </c>
      <c r="P45" s="31" t="n"/>
      <c r="Q45" s="32" t="n"/>
      <c r="R45" s="37" t="str">
        <f>IF(N(U45)&gt;0,SUMPRODUCT(LARGE(('成交明细'!$A$5:$A$804=A45)*('成交明细'!$D$5:$D$804=IF(F45="空","卖","买"))*'成交明细'!$B$5:$B$804,COUNTIFS('成交明细'!$A$5:$A$804,A45,'成交明细'!$D$5:$D$804,IF(F45="空","卖","买")))),"")</f>
        <v/>
      </c>
      <c r="S45" s="37" t="str">
        <f>IF(AND(N(U45)&gt;0,N(W45)&gt;=N(U45)),SUMPRODUCT(MAX(('成交明细'!$A$5:$A$804=A45)*('成交明细'!$D$5:$D$804=IF(F45="空","买","卖"))*'成交明细'!$B$5:$B$804)),"")</f>
        <v/>
      </c>
      <c r="T45" s="38" t="str">
        <f>IF(N(U45)=0,"",IF(SUMPRODUCT(('成交明细'!$A$5:$A$804=A45)*('成交明细'!$D$5:$D$804=IF(F45="空","卖","买"))*ISNUMBER('成交明细'!$C$5:$C$804))=0,"没填时间",IFERROR(VLOOKUP(MOD(SUMPRODUCT(LARGE(('成交明细'!$A$5:$A$804=A45)*('成交明细'!$D$5:$D$804=IF(F45="空","卖","买"))*('成交明细'!$B$5:$B$804+'成交明细'!$C$5:$C$804),COUNTIFS('成交明细'!$A$5:$A$804,A45,'成交明细'!$D$5:$D$804,IF(F45="空","卖","买")))),1),'参数'!$B$39:$C$48,2,TRUE),"")))</f>
        <v/>
      </c>
      <c r="U45" s="35" t="str">
        <f>IF(A45="","",SUMIFS('成交明细'!$F$5:$F$804,'成交明细'!$A$5:$A$804,A45,'成交明细'!$D$5:$D$804,IF(F45="空","卖","买")))</f>
        <v/>
      </c>
      <c r="V45" s="39" t="str">
        <f>IF(N(U45)&gt;0,SUMIFS('成交明细'!$H$5:$H$804,'成交明细'!$A$5:$A$804,A45,'成交明细'!$D$5:$D$804,IF(F45="空","卖","买"))/U45,"")</f>
        <v/>
      </c>
      <c r="W45" s="35" t="str">
        <f>IF(A45="","",SUMIFS('成交明细'!$F$5:$F$804,'成交明细'!$A$5:$A$804,A45,'成交明细'!$D$5:$D$804,IF(F45="空","买","卖")))</f>
        <v/>
      </c>
      <c r="X45" s="39" t="str">
        <f>IF(N(W45)&gt;0,SUMIFS('成交明细'!$H$5:$H$804,'成交明细'!$A$5:$A$804,A45,'成交明细'!$D$5:$D$804,IF(F45="空","买","卖"))/W45,"")</f>
        <v/>
      </c>
      <c r="Y45" s="40" t="str">
        <f>IF(A45="","",IF(Q45&lt;&gt;"已执行",IF(Q45="","未填执行情况",Q45),IF(N(U45)=0,"待录成交",IF(N(W45)&gt;N(U45),"平仓多于开仓",IF(N(W45)&lt;N(U45),"持仓中","已平仓")))))</f>
        <v/>
      </c>
      <c r="Z45" s="41" t="str">
        <f>IF(N(U45)=0,"",SUMIFS('成交明细'!$L$5:$L$804,'成交明细'!$A$5:$A$804,A45))</f>
        <v/>
      </c>
      <c r="AA45" s="42" t="str">
        <f>IF(Y45&lt;&gt;"已平仓","",(SUMIFS('成交明细'!$H$5:$H$804,'成交明细'!$A$5:$A$804,A45,'成交明细'!$D$5:$D$804,"卖")-SUMIFS('成交明细'!$H$5:$H$804,'成交明细'!$A$5:$A$804,A45,'成交明细'!$D$5:$D$804,"买"))*IF(N(G45)&gt;0,G45,1)-Z45)</f>
        <v/>
      </c>
      <c r="AB45" s="43" t="str">
        <f>IF(AND(Y45="已平仓",ISNUMBER(O45)),(SUMIFS('成交明细'!$H$5:$H$804,'成交明细'!$A$5:$A$804,A45,'成交明细'!$D$5:$D$804,"卖")-SUMIFS('成交明细'!$H$5:$H$804,'成交明细'!$A$5:$A$804,A45,'成交明细'!$D$5:$D$804,"买"))*IF(N(G45)&gt;0,G45,1)/O45,"")</f>
        <v/>
      </c>
      <c r="AC45" s="43" t="str">
        <f>IF(AND(Y45="已平仓",ISNUMBER(O45)),AA45/O45,"")</f>
        <v/>
      </c>
      <c r="AD45" s="44" t="str">
        <f>IF(AND(ISNUMBER(V45),ISNUMBER(I45)),IF(F45="空",I45-V45,V45-I45),"")</f>
        <v/>
      </c>
      <c r="AE45" s="44" t="str">
        <f>IF(OR(NOT(ISNUMBER(AA45)),NOT(ISNUMBER(X45))),"",IF(AA45&lt;0,IF(F45="空",X45-J45,J45-X45),IF(NOT(ISNUMBER(K45)),"",IF(F45="空",X45-K45,K45-X45))))</f>
        <v/>
      </c>
      <c r="AF45" s="32" t="n"/>
      <c r="AG45" s="32" t="n"/>
      <c r="AH45" s="31" t="n"/>
      <c r="AI45" s="43" t="str">
        <f>IF(A45="","",SUM(AC$5:AC45))</f>
        <v/>
      </c>
      <c r="AJ45" s="45" t="str">
        <f>IF(A45="","",MAX(0,MAX(AI$5:AI45))-AI45)</f>
        <v/>
      </c>
    </row>
    <row r="46">
      <c r="A46" s="29" t="n"/>
      <c r="B46" s="30" t="n"/>
      <c r="C46" s="31" t="n"/>
      <c r="D46" s="32" t="n"/>
      <c r="E46" s="32" t="n"/>
      <c r="F46" s="32" t="n"/>
      <c r="G46" s="32" t="n"/>
      <c r="H46" s="32" t="n"/>
      <c r="I46" s="33" t="n"/>
      <c r="J46" s="33" t="n"/>
      <c r="K46" s="33" t="n"/>
      <c r="L46" s="34" t="str">
        <f>IF(AND(ISNUMBER(I46),ISNUMBER(J46),ISNUMBER(K46)),IF(OR(AND(F46="多",I46&gt;J46),AND(F46="空",I46&lt;J46)),ABS(K46-I46)/ABS(I46-J46),"止损方向不对"),"")</f>
        <v/>
      </c>
      <c r="M46" s="35" t="str">
        <f>IF(AND(ISNUMBER(I46),ISNUMBER(J46)),IF(I46=J46,"",IF(INT(ROUND('参数'!$C$7/(ABS(I46-J46)*IF(N(G46)&gt;0,G46,1)+2*(I46*IF(N(G46)&gt;0,G46,1)*'参数'!$C$12+'参数'!$C$13+'参数'!$C$14*IF(N(G46)&gt;0,G46,1)))/IF(N(H46)&gt;0,H46,1),6))*IF(N(H46)&gt;0,H46,1)&gt;0,INT(ROUND('参数'!$C$7/(ABS(I46-J46)*IF(N(G46)&gt;0,G46,1)+2*(I46*IF(N(G46)&gt;0,G46,1)*'参数'!$C$12+'参数'!$C$13+'参数'!$C$14*IF(N(G46)&gt;0,G46,1)))/IF(N(H46)&gt;0,H46,1),6))*IF(N(H46)&gt;0,H46,1),"预算不足，这笔不做")),"")</f>
        <v/>
      </c>
      <c r="N46" s="36" t="n"/>
      <c r="O46" s="20" t="str">
        <f>IF(AND(ISNUMBER(I46),ISNUMBER(J46),ISNUMBER(N46)),IF(AND(I46&lt;&gt;J46,N46&gt;0),ABS(I46-J46)*N46*IF(N(G46)&gt;0,G46,1),""),"")</f>
        <v/>
      </c>
      <c r="P46" s="31" t="n"/>
      <c r="Q46" s="32" t="n"/>
      <c r="R46" s="37" t="str">
        <f>IF(N(U46)&gt;0,SUMPRODUCT(LARGE(('成交明细'!$A$5:$A$804=A46)*('成交明细'!$D$5:$D$804=IF(F46="空","卖","买"))*'成交明细'!$B$5:$B$804,COUNTIFS('成交明细'!$A$5:$A$804,A46,'成交明细'!$D$5:$D$804,IF(F46="空","卖","买")))),"")</f>
        <v/>
      </c>
      <c r="S46" s="37" t="str">
        <f>IF(AND(N(U46)&gt;0,N(W46)&gt;=N(U46)),SUMPRODUCT(MAX(('成交明细'!$A$5:$A$804=A46)*('成交明细'!$D$5:$D$804=IF(F46="空","买","卖"))*'成交明细'!$B$5:$B$804)),"")</f>
        <v/>
      </c>
      <c r="T46" s="38" t="str">
        <f>IF(N(U46)=0,"",IF(SUMPRODUCT(('成交明细'!$A$5:$A$804=A46)*('成交明细'!$D$5:$D$804=IF(F46="空","卖","买"))*ISNUMBER('成交明细'!$C$5:$C$804))=0,"没填时间",IFERROR(VLOOKUP(MOD(SUMPRODUCT(LARGE(('成交明细'!$A$5:$A$804=A46)*('成交明细'!$D$5:$D$804=IF(F46="空","卖","买"))*('成交明细'!$B$5:$B$804+'成交明细'!$C$5:$C$804),COUNTIFS('成交明细'!$A$5:$A$804,A46,'成交明细'!$D$5:$D$804,IF(F46="空","卖","买")))),1),'参数'!$B$39:$C$48,2,TRUE),"")))</f>
        <v/>
      </c>
      <c r="U46" s="35" t="str">
        <f>IF(A46="","",SUMIFS('成交明细'!$F$5:$F$804,'成交明细'!$A$5:$A$804,A46,'成交明细'!$D$5:$D$804,IF(F46="空","卖","买")))</f>
        <v/>
      </c>
      <c r="V46" s="39" t="str">
        <f>IF(N(U46)&gt;0,SUMIFS('成交明细'!$H$5:$H$804,'成交明细'!$A$5:$A$804,A46,'成交明细'!$D$5:$D$804,IF(F46="空","卖","买"))/U46,"")</f>
        <v/>
      </c>
      <c r="W46" s="35" t="str">
        <f>IF(A46="","",SUMIFS('成交明细'!$F$5:$F$804,'成交明细'!$A$5:$A$804,A46,'成交明细'!$D$5:$D$804,IF(F46="空","买","卖")))</f>
        <v/>
      </c>
      <c r="X46" s="39" t="str">
        <f>IF(N(W46)&gt;0,SUMIFS('成交明细'!$H$5:$H$804,'成交明细'!$A$5:$A$804,A46,'成交明细'!$D$5:$D$804,IF(F46="空","买","卖"))/W46,"")</f>
        <v/>
      </c>
      <c r="Y46" s="40" t="str">
        <f>IF(A46="","",IF(Q46&lt;&gt;"已执行",IF(Q46="","未填执行情况",Q46),IF(N(U46)=0,"待录成交",IF(N(W46)&gt;N(U46),"平仓多于开仓",IF(N(W46)&lt;N(U46),"持仓中","已平仓")))))</f>
        <v/>
      </c>
      <c r="Z46" s="41" t="str">
        <f>IF(N(U46)=0,"",SUMIFS('成交明细'!$L$5:$L$804,'成交明细'!$A$5:$A$804,A46))</f>
        <v/>
      </c>
      <c r="AA46" s="42" t="str">
        <f>IF(Y46&lt;&gt;"已平仓","",(SUMIFS('成交明细'!$H$5:$H$804,'成交明细'!$A$5:$A$804,A46,'成交明细'!$D$5:$D$804,"卖")-SUMIFS('成交明细'!$H$5:$H$804,'成交明细'!$A$5:$A$804,A46,'成交明细'!$D$5:$D$804,"买"))*IF(N(G46)&gt;0,G46,1)-Z46)</f>
        <v/>
      </c>
      <c r="AB46" s="43" t="str">
        <f>IF(AND(Y46="已平仓",ISNUMBER(O46)),(SUMIFS('成交明细'!$H$5:$H$804,'成交明细'!$A$5:$A$804,A46,'成交明细'!$D$5:$D$804,"卖")-SUMIFS('成交明细'!$H$5:$H$804,'成交明细'!$A$5:$A$804,A46,'成交明细'!$D$5:$D$804,"买"))*IF(N(G46)&gt;0,G46,1)/O46,"")</f>
        <v/>
      </c>
      <c r="AC46" s="43" t="str">
        <f>IF(AND(Y46="已平仓",ISNUMBER(O46)),AA46/O46,"")</f>
        <v/>
      </c>
      <c r="AD46" s="44" t="str">
        <f>IF(AND(ISNUMBER(V46),ISNUMBER(I46)),IF(F46="空",I46-V46,V46-I46),"")</f>
        <v/>
      </c>
      <c r="AE46" s="44" t="str">
        <f>IF(OR(NOT(ISNUMBER(AA46)),NOT(ISNUMBER(X46))),"",IF(AA46&lt;0,IF(F46="空",X46-J46,J46-X46),IF(NOT(ISNUMBER(K46)),"",IF(F46="空",X46-K46,K46-X46))))</f>
        <v/>
      </c>
      <c r="AF46" s="32" t="n"/>
      <c r="AG46" s="32" t="n"/>
      <c r="AH46" s="31" t="n"/>
      <c r="AI46" s="43" t="str">
        <f>IF(A46="","",SUM(AC$5:AC46))</f>
        <v/>
      </c>
      <c r="AJ46" s="45" t="str">
        <f>IF(A46="","",MAX(0,MAX(AI$5:AI46))-AI46)</f>
        <v/>
      </c>
    </row>
    <row r="47">
      <c r="A47" s="29" t="n"/>
      <c r="B47" s="30" t="n"/>
      <c r="C47" s="31" t="n"/>
      <c r="D47" s="32" t="n"/>
      <c r="E47" s="32" t="n"/>
      <c r="F47" s="32" t="n"/>
      <c r="G47" s="32" t="n"/>
      <c r="H47" s="32" t="n"/>
      <c r="I47" s="33" t="n"/>
      <c r="J47" s="33" t="n"/>
      <c r="K47" s="33" t="n"/>
      <c r="L47" s="34" t="str">
        <f>IF(AND(ISNUMBER(I47),ISNUMBER(J47),ISNUMBER(K47)),IF(OR(AND(F47="多",I47&gt;J47),AND(F47="空",I47&lt;J47)),ABS(K47-I47)/ABS(I47-J47),"止损方向不对"),"")</f>
        <v/>
      </c>
      <c r="M47" s="35" t="str">
        <f>IF(AND(ISNUMBER(I47),ISNUMBER(J47)),IF(I47=J47,"",IF(INT(ROUND('参数'!$C$7/(ABS(I47-J47)*IF(N(G47)&gt;0,G47,1)+2*(I47*IF(N(G47)&gt;0,G47,1)*'参数'!$C$12+'参数'!$C$13+'参数'!$C$14*IF(N(G47)&gt;0,G47,1)))/IF(N(H47)&gt;0,H47,1),6))*IF(N(H47)&gt;0,H47,1)&gt;0,INT(ROUND('参数'!$C$7/(ABS(I47-J47)*IF(N(G47)&gt;0,G47,1)+2*(I47*IF(N(G47)&gt;0,G47,1)*'参数'!$C$12+'参数'!$C$13+'参数'!$C$14*IF(N(G47)&gt;0,G47,1)))/IF(N(H47)&gt;0,H47,1),6))*IF(N(H47)&gt;0,H47,1),"预算不足，这笔不做")),"")</f>
        <v/>
      </c>
      <c r="N47" s="36" t="n"/>
      <c r="O47" s="20" t="str">
        <f>IF(AND(ISNUMBER(I47),ISNUMBER(J47),ISNUMBER(N47)),IF(AND(I47&lt;&gt;J47,N47&gt;0),ABS(I47-J47)*N47*IF(N(G47)&gt;0,G47,1),""),"")</f>
        <v/>
      </c>
      <c r="P47" s="31" t="n"/>
      <c r="Q47" s="32" t="n"/>
      <c r="R47" s="37" t="str">
        <f>IF(N(U47)&gt;0,SUMPRODUCT(LARGE(('成交明细'!$A$5:$A$804=A47)*('成交明细'!$D$5:$D$804=IF(F47="空","卖","买"))*'成交明细'!$B$5:$B$804,COUNTIFS('成交明细'!$A$5:$A$804,A47,'成交明细'!$D$5:$D$804,IF(F47="空","卖","买")))),"")</f>
        <v/>
      </c>
      <c r="S47" s="37" t="str">
        <f>IF(AND(N(U47)&gt;0,N(W47)&gt;=N(U47)),SUMPRODUCT(MAX(('成交明细'!$A$5:$A$804=A47)*('成交明细'!$D$5:$D$804=IF(F47="空","买","卖"))*'成交明细'!$B$5:$B$804)),"")</f>
        <v/>
      </c>
      <c r="T47" s="38" t="str">
        <f>IF(N(U47)=0,"",IF(SUMPRODUCT(('成交明细'!$A$5:$A$804=A47)*('成交明细'!$D$5:$D$804=IF(F47="空","卖","买"))*ISNUMBER('成交明细'!$C$5:$C$804))=0,"没填时间",IFERROR(VLOOKUP(MOD(SUMPRODUCT(LARGE(('成交明细'!$A$5:$A$804=A47)*('成交明细'!$D$5:$D$804=IF(F47="空","卖","买"))*('成交明细'!$B$5:$B$804+'成交明细'!$C$5:$C$804),COUNTIFS('成交明细'!$A$5:$A$804,A47,'成交明细'!$D$5:$D$804,IF(F47="空","卖","买")))),1),'参数'!$B$39:$C$48,2,TRUE),"")))</f>
        <v/>
      </c>
      <c r="U47" s="35" t="str">
        <f>IF(A47="","",SUMIFS('成交明细'!$F$5:$F$804,'成交明细'!$A$5:$A$804,A47,'成交明细'!$D$5:$D$804,IF(F47="空","卖","买")))</f>
        <v/>
      </c>
      <c r="V47" s="39" t="str">
        <f>IF(N(U47)&gt;0,SUMIFS('成交明细'!$H$5:$H$804,'成交明细'!$A$5:$A$804,A47,'成交明细'!$D$5:$D$804,IF(F47="空","卖","买"))/U47,"")</f>
        <v/>
      </c>
      <c r="W47" s="35" t="str">
        <f>IF(A47="","",SUMIFS('成交明细'!$F$5:$F$804,'成交明细'!$A$5:$A$804,A47,'成交明细'!$D$5:$D$804,IF(F47="空","买","卖")))</f>
        <v/>
      </c>
      <c r="X47" s="39" t="str">
        <f>IF(N(W47)&gt;0,SUMIFS('成交明细'!$H$5:$H$804,'成交明细'!$A$5:$A$804,A47,'成交明细'!$D$5:$D$804,IF(F47="空","买","卖"))/W47,"")</f>
        <v/>
      </c>
      <c r="Y47" s="40" t="str">
        <f>IF(A47="","",IF(Q47&lt;&gt;"已执行",IF(Q47="","未填执行情况",Q47),IF(N(U47)=0,"待录成交",IF(N(W47)&gt;N(U47),"平仓多于开仓",IF(N(W47)&lt;N(U47),"持仓中","已平仓")))))</f>
        <v/>
      </c>
      <c r="Z47" s="41" t="str">
        <f>IF(N(U47)=0,"",SUMIFS('成交明细'!$L$5:$L$804,'成交明细'!$A$5:$A$804,A47))</f>
        <v/>
      </c>
      <c r="AA47" s="42" t="str">
        <f>IF(Y47&lt;&gt;"已平仓","",(SUMIFS('成交明细'!$H$5:$H$804,'成交明细'!$A$5:$A$804,A47,'成交明细'!$D$5:$D$804,"卖")-SUMIFS('成交明细'!$H$5:$H$804,'成交明细'!$A$5:$A$804,A47,'成交明细'!$D$5:$D$804,"买"))*IF(N(G47)&gt;0,G47,1)-Z47)</f>
        <v/>
      </c>
      <c r="AB47" s="43" t="str">
        <f>IF(AND(Y47="已平仓",ISNUMBER(O47)),(SUMIFS('成交明细'!$H$5:$H$804,'成交明细'!$A$5:$A$804,A47,'成交明细'!$D$5:$D$804,"卖")-SUMIFS('成交明细'!$H$5:$H$804,'成交明细'!$A$5:$A$804,A47,'成交明细'!$D$5:$D$804,"买"))*IF(N(G47)&gt;0,G47,1)/O47,"")</f>
        <v/>
      </c>
      <c r="AC47" s="43" t="str">
        <f>IF(AND(Y47="已平仓",ISNUMBER(O47)),AA47/O47,"")</f>
        <v/>
      </c>
      <c r="AD47" s="44" t="str">
        <f>IF(AND(ISNUMBER(V47),ISNUMBER(I47)),IF(F47="空",I47-V47,V47-I47),"")</f>
        <v/>
      </c>
      <c r="AE47" s="44" t="str">
        <f>IF(OR(NOT(ISNUMBER(AA47)),NOT(ISNUMBER(X47))),"",IF(AA47&lt;0,IF(F47="空",X47-J47,J47-X47),IF(NOT(ISNUMBER(K47)),"",IF(F47="空",X47-K47,K47-X47))))</f>
        <v/>
      </c>
      <c r="AF47" s="32" t="n"/>
      <c r="AG47" s="32" t="n"/>
      <c r="AH47" s="31" t="n"/>
      <c r="AI47" s="43" t="str">
        <f>IF(A47="","",SUM(AC$5:AC47))</f>
        <v/>
      </c>
      <c r="AJ47" s="45" t="str">
        <f>IF(A47="","",MAX(0,MAX(AI$5:AI47))-AI47)</f>
        <v/>
      </c>
    </row>
    <row r="48">
      <c r="A48" s="29" t="n"/>
      <c r="B48" s="30" t="n"/>
      <c r="C48" s="31" t="n"/>
      <c r="D48" s="32" t="n"/>
      <c r="E48" s="32" t="n"/>
      <c r="F48" s="32" t="n"/>
      <c r="G48" s="32" t="n"/>
      <c r="H48" s="32" t="n"/>
      <c r="I48" s="33" t="n"/>
      <c r="J48" s="33" t="n"/>
      <c r="K48" s="33" t="n"/>
      <c r="L48" s="34" t="str">
        <f>IF(AND(ISNUMBER(I48),ISNUMBER(J48),ISNUMBER(K48)),IF(OR(AND(F48="多",I48&gt;J48),AND(F48="空",I48&lt;J48)),ABS(K48-I48)/ABS(I48-J48),"止损方向不对"),"")</f>
        <v/>
      </c>
      <c r="M48" s="35" t="str">
        <f>IF(AND(ISNUMBER(I48),ISNUMBER(J48)),IF(I48=J48,"",IF(INT(ROUND('参数'!$C$7/(ABS(I48-J48)*IF(N(G48)&gt;0,G48,1)+2*(I48*IF(N(G48)&gt;0,G48,1)*'参数'!$C$12+'参数'!$C$13+'参数'!$C$14*IF(N(G48)&gt;0,G48,1)))/IF(N(H48)&gt;0,H48,1),6))*IF(N(H48)&gt;0,H48,1)&gt;0,INT(ROUND('参数'!$C$7/(ABS(I48-J48)*IF(N(G48)&gt;0,G48,1)+2*(I48*IF(N(G48)&gt;0,G48,1)*'参数'!$C$12+'参数'!$C$13+'参数'!$C$14*IF(N(G48)&gt;0,G48,1)))/IF(N(H48)&gt;0,H48,1),6))*IF(N(H48)&gt;0,H48,1),"预算不足，这笔不做")),"")</f>
        <v/>
      </c>
      <c r="N48" s="36" t="n"/>
      <c r="O48" s="20" t="str">
        <f>IF(AND(ISNUMBER(I48),ISNUMBER(J48),ISNUMBER(N48)),IF(AND(I48&lt;&gt;J48,N48&gt;0),ABS(I48-J48)*N48*IF(N(G48)&gt;0,G48,1),""),"")</f>
        <v/>
      </c>
      <c r="P48" s="31" t="n"/>
      <c r="Q48" s="32" t="n"/>
      <c r="R48" s="37" t="str">
        <f>IF(N(U48)&gt;0,SUMPRODUCT(LARGE(('成交明细'!$A$5:$A$804=A48)*('成交明细'!$D$5:$D$804=IF(F48="空","卖","买"))*'成交明细'!$B$5:$B$804,COUNTIFS('成交明细'!$A$5:$A$804,A48,'成交明细'!$D$5:$D$804,IF(F48="空","卖","买")))),"")</f>
        <v/>
      </c>
      <c r="S48" s="37" t="str">
        <f>IF(AND(N(U48)&gt;0,N(W48)&gt;=N(U48)),SUMPRODUCT(MAX(('成交明细'!$A$5:$A$804=A48)*('成交明细'!$D$5:$D$804=IF(F48="空","买","卖"))*'成交明细'!$B$5:$B$804)),"")</f>
        <v/>
      </c>
      <c r="T48" s="38" t="str">
        <f>IF(N(U48)=0,"",IF(SUMPRODUCT(('成交明细'!$A$5:$A$804=A48)*('成交明细'!$D$5:$D$804=IF(F48="空","卖","买"))*ISNUMBER('成交明细'!$C$5:$C$804))=0,"没填时间",IFERROR(VLOOKUP(MOD(SUMPRODUCT(LARGE(('成交明细'!$A$5:$A$804=A48)*('成交明细'!$D$5:$D$804=IF(F48="空","卖","买"))*('成交明细'!$B$5:$B$804+'成交明细'!$C$5:$C$804),COUNTIFS('成交明细'!$A$5:$A$804,A48,'成交明细'!$D$5:$D$804,IF(F48="空","卖","买")))),1),'参数'!$B$39:$C$48,2,TRUE),"")))</f>
        <v/>
      </c>
      <c r="U48" s="35" t="str">
        <f>IF(A48="","",SUMIFS('成交明细'!$F$5:$F$804,'成交明细'!$A$5:$A$804,A48,'成交明细'!$D$5:$D$804,IF(F48="空","卖","买")))</f>
        <v/>
      </c>
      <c r="V48" s="39" t="str">
        <f>IF(N(U48)&gt;0,SUMIFS('成交明细'!$H$5:$H$804,'成交明细'!$A$5:$A$804,A48,'成交明细'!$D$5:$D$804,IF(F48="空","卖","买"))/U48,"")</f>
        <v/>
      </c>
      <c r="W48" s="35" t="str">
        <f>IF(A48="","",SUMIFS('成交明细'!$F$5:$F$804,'成交明细'!$A$5:$A$804,A48,'成交明细'!$D$5:$D$804,IF(F48="空","买","卖")))</f>
        <v/>
      </c>
      <c r="X48" s="39" t="str">
        <f>IF(N(W48)&gt;0,SUMIFS('成交明细'!$H$5:$H$804,'成交明细'!$A$5:$A$804,A48,'成交明细'!$D$5:$D$804,IF(F48="空","买","卖"))/W48,"")</f>
        <v/>
      </c>
      <c r="Y48" s="40" t="str">
        <f>IF(A48="","",IF(Q48&lt;&gt;"已执行",IF(Q48="","未填执行情况",Q48),IF(N(U48)=0,"待录成交",IF(N(W48)&gt;N(U48),"平仓多于开仓",IF(N(W48)&lt;N(U48),"持仓中","已平仓")))))</f>
        <v/>
      </c>
      <c r="Z48" s="41" t="str">
        <f>IF(N(U48)=0,"",SUMIFS('成交明细'!$L$5:$L$804,'成交明细'!$A$5:$A$804,A48))</f>
        <v/>
      </c>
      <c r="AA48" s="42" t="str">
        <f>IF(Y48&lt;&gt;"已平仓","",(SUMIFS('成交明细'!$H$5:$H$804,'成交明细'!$A$5:$A$804,A48,'成交明细'!$D$5:$D$804,"卖")-SUMIFS('成交明细'!$H$5:$H$804,'成交明细'!$A$5:$A$804,A48,'成交明细'!$D$5:$D$804,"买"))*IF(N(G48)&gt;0,G48,1)-Z48)</f>
        <v/>
      </c>
      <c r="AB48" s="43" t="str">
        <f>IF(AND(Y48="已平仓",ISNUMBER(O48)),(SUMIFS('成交明细'!$H$5:$H$804,'成交明细'!$A$5:$A$804,A48,'成交明细'!$D$5:$D$804,"卖")-SUMIFS('成交明细'!$H$5:$H$804,'成交明细'!$A$5:$A$804,A48,'成交明细'!$D$5:$D$804,"买"))*IF(N(G48)&gt;0,G48,1)/O48,"")</f>
        <v/>
      </c>
      <c r="AC48" s="43" t="str">
        <f>IF(AND(Y48="已平仓",ISNUMBER(O48)),AA48/O48,"")</f>
        <v/>
      </c>
      <c r="AD48" s="44" t="str">
        <f>IF(AND(ISNUMBER(V48),ISNUMBER(I48)),IF(F48="空",I48-V48,V48-I48),"")</f>
        <v/>
      </c>
      <c r="AE48" s="44" t="str">
        <f>IF(OR(NOT(ISNUMBER(AA48)),NOT(ISNUMBER(X48))),"",IF(AA48&lt;0,IF(F48="空",X48-J48,J48-X48),IF(NOT(ISNUMBER(K48)),"",IF(F48="空",X48-K48,K48-X48))))</f>
        <v/>
      </c>
      <c r="AF48" s="32" t="n"/>
      <c r="AG48" s="32" t="n"/>
      <c r="AH48" s="31" t="n"/>
      <c r="AI48" s="43" t="str">
        <f>IF(A48="","",SUM(AC$5:AC48))</f>
        <v/>
      </c>
      <c r="AJ48" s="45" t="str">
        <f>IF(A48="","",MAX(0,MAX(AI$5:AI48))-AI48)</f>
        <v/>
      </c>
    </row>
    <row r="49">
      <c r="A49" s="29" t="n"/>
      <c r="B49" s="30" t="n"/>
      <c r="C49" s="31" t="n"/>
      <c r="D49" s="32" t="n"/>
      <c r="E49" s="32" t="n"/>
      <c r="F49" s="32" t="n"/>
      <c r="G49" s="32" t="n"/>
      <c r="H49" s="32" t="n"/>
      <c r="I49" s="33" t="n"/>
      <c r="J49" s="33" t="n"/>
      <c r="K49" s="33" t="n"/>
      <c r="L49" s="34" t="str">
        <f>IF(AND(ISNUMBER(I49),ISNUMBER(J49),ISNUMBER(K49)),IF(OR(AND(F49="多",I49&gt;J49),AND(F49="空",I49&lt;J49)),ABS(K49-I49)/ABS(I49-J49),"止损方向不对"),"")</f>
        <v/>
      </c>
      <c r="M49" s="35" t="str">
        <f>IF(AND(ISNUMBER(I49),ISNUMBER(J49)),IF(I49=J49,"",IF(INT(ROUND('参数'!$C$7/(ABS(I49-J49)*IF(N(G49)&gt;0,G49,1)+2*(I49*IF(N(G49)&gt;0,G49,1)*'参数'!$C$12+'参数'!$C$13+'参数'!$C$14*IF(N(G49)&gt;0,G49,1)))/IF(N(H49)&gt;0,H49,1),6))*IF(N(H49)&gt;0,H49,1)&gt;0,INT(ROUND('参数'!$C$7/(ABS(I49-J49)*IF(N(G49)&gt;0,G49,1)+2*(I49*IF(N(G49)&gt;0,G49,1)*'参数'!$C$12+'参数'!$C$13+'参数'!$C$14*IF(N(G49)&gt;0,G49,1)))/IF(N(H49)&gt;0,H49,1),6))*IF(N(H49)&gt;0,H49,1),"预算不足，这笔不做")),"")</f>
        <v/>
      </c>
      <c r="N49" s="36" t="n"/>
      <c r="O49" s="20" t="str">
        <f>IF(AND(ISNUMBER(I49),ISNUMBER(J49),ISNUMBER(N49)),IF(AND(I49&lt;&gt;J49,N49&gt;0),ABS(I49-J49)*N49*IF(N(G49)&gt;0,G49,1),""),"")</f>
        <v/>
      </c>
      <c r="P49" s="31" t="n"/>
      <c r="Q49" s="32" t="n"/>
      <c r="R49" s="37" t="str">
        <f>IF(N(U49)&gt;0,SUMPRODUCT(LARGE(('成交明细'!$A$5:$A$804=A49)*('成交明细'!$D$5:$D$804=IF(F49="空","卖","买"))*'成交明细'!$B$5:$B$804,COUNTIFS('成交明细'!$A$5:$A$804,A49,'成交明细'!$D$5:$D$804,IF(F49="空","卖","买")))),"")</f>
        <v/>
      </c>
      <c r="S49" s="37" t="str">
        <f>IF(AND(N(U49)&gt;0,N(W49)&gt;=N(U49)),SUMPRODUCT(MAX(('成交明细'!$A$5:$A$804=A49)*('成交明细'!$D$5:$D$804=IF(F49="空","买","卖"))*'成交明细'!$B$5:$B$804)),"")</f>
        <v/>
      </c>
      <c r="T49" s="38" t="str">
        <f>IF(N(U49)=0,"",IF(SUMPRODUCT(('成交明细'!$A$5:$A$804=A49)*('成交明细'!$D$5:$D$804=IF(F49="空","卖","买"))*ISNUMBER('成交明细'!$C$5:$C$804))=0,"没填时间",IFERROR(VLOOKUP(MOD(SUMPRODUCT(LARGE(('成交明细'!$A$5:$A$804=A49)*('成交明细'!$D$5:$D$804=IF(F49="空","卖","买"))*('成交明细'!$B$5:$B$804+'成交明细'!$C$5:$C$804),COUNTIFS('成交明细'!$A$5:$A$804,A49,'成交明细'!$D$5:$D$804,IF(F49="空","卖","买")))),1),'参数'!$B$39:$C$48,2,TRUE),"")))</f>
        <v/>
      </c>
      <c r="U49" s="35" t="str">
        <f>IF(A49="","",SUMIFS('成交明细'!$F$5:$F$804,'成交明细'!$A$5:$A$804,A49,'成交明细'!$D$5:$D$804,IF(F49="空","卖","买")))</f>
        <v/>
      </c>
      <c r="V49" s="39" t="str">
        <f>IF(N(U49)&gt;0,SUMIFS('成交明细'!$H$5:$H$804,'成交明细'!$A$5:$A$804,A49,'成交明细'!$D$5:$D$804,IF(F49="空","卖","买"))/U49,"")</f>
        <v/>
      </c>
      <c r="W49" s="35" t="str">
        <f>IF(A49="","",SUMIFS('成交明细'!$F$5:$F$804,'成交明细'!$A$5:$A$804,A49,'成交明细'!$D$5:$D$804,IF(F49="空","买","卖")))</f>
        <v/>
      </c>
      <c r="X49" s="39" t="str">
        <f>IF(N(W49)&gt;0,SUMIFS('成交明细'!$H$5:$H$804,'成交明细'!$A$5:$A$804,A49,'成交明细'!$D$5:$D$804,IF(F49="空","买","卖"))/W49,"")</f>
        <v/>
      </c>
      <c r="Y49" s="40" t="str">
        <f>IF(A49="","",IF(Q49&lt;&gt;"已执行",IF(Q49="","未填执行情况",Q49),IF(N(U49)=0,"待录成交",IF(N(W49)&gt;N(U49),"平仓多于开仓",IF(N(W49)&lt;N(U49),"持仓中","已平仓")))))</f>
        <v/>
      </c>
      <c r="Z49" s="41" t="str">
        <f>IF(N(U49)=0,"",SUMIFS('成交明细'!$L$5:$L$804,'成交明细'!$A$5:$A$804,A49))</f>
        <v/>
      </c>
      <c r="AA49" s="42" t="str">
        <f>IF(Y49&lt;&gt;"已平仓","",(SUMIFS('成交明细'!$H$5:$H$804,'成交明细'!$A$5:$A$804,A49,'成交明细'!$D$5:$D$804,"卖")-SUMIFS('成交明细'!$H$5:$H$804,'成交明细'!$A$5:$A$804,A49,'成交明细'!$D$5:$D$804,"买"))*IF(N(G49)&gt;0,G49,1)-Z49)</f>
        <v/>
      </c>
      <c r="AB49" s="43" t="str">
        <f>IF(AND(Y49="已平仓",ISNUMBER(O49)),(SUMIFS('成交明细'!$H$5:$H$804,'成交明细'!$A$5:$A$804,A49,'成交明细'!$D$5:$D$804,"卖")-SUMIFS('成交明细'!$H$5:$H$804,'成交明细'!$A$5:$A$804,A49,'成交明细'!$D$5:$D$804,"买"))*IF(N(G49)&gt;0,G49,1)/O49,"")</f>
        <v/>
      </c>
      <c r="AC49" s="43" t="str">
        <f>IF(AND(Y49="已平仓",ISNUMBER(O49)),AA49/O49,"")</f>
        <v/>
      </c>
      <c r="AD49" s="44" t="str">
        <f>IF(AND(ISNUMBER(V49),ISNUMBER(I49)),IF(F49="空",I49-V49,V49-I49),"")</f>
        <v/>
      </c>
      <c r="AE49" s="44" t="str">
        <f>IF(OR(NOT(ISNUMBER(AA49)),NOT(ISNUMBER(X49))),"",IF(AA49&lt;0,IF(F49="空",X49-J49,J49-X49),IF(NOT(ISNUMBER(K49)),"",IF(F49="空",X49-K49,K49-X49))))</f>
        <v/>
      </c>
      <c r="AF49" s="32" t="n"/>
      <c r="AG49" s="32" t="n"/>
      <c r="AH49" s="31" t="n"/>
      <c r="AI49" s="43" t="str">
        <f>IF(A49="","",SUM(AC$5:AC49))</f>
        <v/>
      </c>
      <c r="AJ49" s="45" t="str">
        <f>IF(A49="","",MAX(0,MAX(AI$5:AI49))-AI49)</f>
        <v/>
      </c>
    </row>
    <row r="50">
      <c r="A50" s="29" t="n"/>
      <c r="B50" s="30" t="n"/>
      <c r="C50" s="31" t="n"/>
      <c r="D50" s="32" t="n"/>
      <c r="E50" s="32" t="n"/>
      <c r="F50" s="32" t="n"/>
      <c r="G50" s="32" t="n"/>
      <c r="H50" s="32" t="n"/>
      <c r="I50" s="33" t="n"/>
      <c r="J50" s="33" t="n"/>
      <c r="K50" s="33" t="n"/>
      <c r="L50" s="34" t="str">
        <f>IF(AND(ISNUMBER(I50),ISNUMBER(J50),ISNUMBER(K50)),IF(OR(AND(F50="多",I50&gt;J50),AND(F50="空",I50&lt;J50)),ABS(K50-I50)/ABS(I50-J50),"止损方向不对"),"")</f>
        <v/>
      </c>
      <c r="M50" s="35" t="str">
        <f>IF(AND(ISNUMBER(I50),ISNUMBER(J50)),IF(I50=J50,"",IF(INT(ROUND('参数'!$C$7/(ABS(I50-J50)*IF(N(G50)&gt;0,G50,1)+2*(I50*IF(N(G50)&gt;0,G50,1)*'参数'!$C$12+'参数'!$C$13+'参数'!$C$14*IF(N(G50)&gt;0,G50,1)))/IF(N(H50)&gt;0,H50,1),6))*IF(N(H50)&gt;0,H50,1)&gt;0,INT(ROUND('参数'!$C$7/(ABS(I50-J50)*IF(N(G50)&gt;0,G50,1)+2*(I50*IF(N(G50)&gt;0,G50,1)*'参数'!$C$12+'参数'!$C$13+'参数'!$C$14*IF(N(G50)&gt;0,G50,1)))/IF(N(H50)&gt;0,H50,1),6))*IF(N(H50)&gt;0,H50,1),"预算不足，这笔不做")),"")</f>
        <v/>
      </c>
      <c r="N50" s="36" t="n"/>
      <c r="O50" s="20" t="str">
        <f>IF(AND(ISNUMBER(I50),ISNUMBER(J50),ISNUMBER(N50)),IF(AND(I50&lt;&gt;J50,N50&gt;0),ABS(I50-J50)*N50*IF(N(G50)&gt;0,G50,1),""),"")</f>
        <v/>
      </c>
      <c r="P50" s="31" t="n"/>
      <c r="Q50" s="32" t="n"/>
      <c r="R50" s="37" t="str">
        <f>IF(N(U50)&gt;0,SUMPRODUCT(LARGE(('成交明细'!$A$5:$A$804=A50)*('成交明细'!$D$5:$D$804=IF(F50="空","卖","买"))*'成交明细'!$B$5:$B$804,COUNTIFS('成交明细'!$A$5:$A$804,A50,'成交明细'!$D$5:$D$804,IF(F50="空","卖","买")))),"")</f>
        <v/>
      </c>
      <c r="S50" s="37" t="str">
        <f>IF(AND(N(U50)&gt;0,N(W50)&gt;=N(U50)),SUMPRODUCT(MAX(('成交明细'!$A$5:$A$804=A50)*('成交明细'!$D$5:$D$804=IF(F50="空","买","卖"))*'成交明细'!$B$5:$B$804)),"")</f>
        <v/>
      </c>
      <c r="T50" s="38" t="str">
        <f>IF(N(U50)=0,"",IF(SUMPRODUCT(('成交明细'!$A$5:$A$804=A50)*('成交明细'!$D$5:$D$804=IF(F50="空","卖","买"))*ISNUMBER('成交明细'!$C$5:$C$804))=0,"没填时间",IFERROR(VLOOKUP(MOD(SUMPRODUCT(LARGE(('成交明细'!$A$5:$A$804=A50)*('成交明细'!$D$5:$D$804=IF(F50="空","卖","买"))*('成交明细'!$B$5:$B$804+'成交明细'!$C$5:$C$804),COUNTIFS('成交明细'!$A$5:$A$804,A50,'成交明细'!$D$5:$D$804,IF(F50="空","卖","买")))),1),'参数'!$B$39:$C$48,2,TRUE),"")))</f>
        <v/>
      </c>
      <c r="U50" s="35" t="str">
        <f>IF(A50="","",SUMIFS('成交明细'!$F$5:$F$804,'成交明细'!$A$5:$A$804,A50,'成交明细'!$D$5:$D$804,IF(F50="空","卖","买")))</f>
        <v/>
      </c>
      <c r="V50" s="39" t="str">
        <f>IF(N(U50)&gt;0,SUMIFS('成交明细'!$H$5:$H$804,'成交明细'!$A$5:$A$804,A50,'成交明细'!$D$5:$D$804,IF(F50="空","卖","买"))/U50,"")</f>
        <v/>
      </c>
      <c r="W50" s="35" t="str">
        <f>IF(A50="","",SUMIFS('成交明细'!$F$5:$F$804,'成交明细'!$A$5:$A$804,A50,'成交明细'!$D$5:$D$804,IF(F50="空","买","卖")))</f>
        <v/>
      </c>
      <c r="X50" s="39" t="str">
        <f>IF(N(W50)&gt;0,SUMIFS('成交明细'!$H$5:$H$804,'成交明细'!$A$5:$A$804,A50,'成交明细'!$D$5:$D$804,IF(F50="空","买","卖"))/W50,"")</f>
        <v/>
      </c>
      <c r="Y50" s="40" t="str">
        <f>IF(A50="","",IF(Q50&lt;&gt;"已执行",IF(Q50="","未填执行情况",Q50),IF(N(U50)=0,"待录成交",IF(N(W50)&gt;N(U50),"平仓多于开仓",IF(N(W50)&lt;N(U50),"持仓中","已平仓")))))</f>
        <v/>
      </c>
      <c r="Z50" s="41" t="str">
        <f>IF(N(U50)=0,"",SUMIFS('成交明细'!$L$5:$L$804,'成交明细'!$A$5:$A$804,A50))</f>
        <v/>
      </c>
      <c r="AA50" s="42" t="str">
        <f>IF(Y50&lt;&gt;"已平仓","",(SUMIFS('成交明细'!$H$5:$H$804,'成交明细'!$A$5:$A$804,A50,'成交明细'!$D$5:$D$804,"卖")-SUMIFS('成交明细'!$H$5:$H$804,'成交明细'!$A$5:$A$804,A50,'成交明细'!$D$5:$D$804,"买"))*IF(N(G50)&gt;0,G50,1)-Z50)</f>
        <v/>
      </c>
      <c r="AB50" s="43" t="str">
        <f>IF(AND(Y50="已平仓",ISNUMBER(O50)),(SUMIFS('成交明细'!$H$5:$H$804,'成交明细'!$A$5:$A$804,A50,'成交明细'!$D$5:$D$804,"卖")-SUMIFS('成交明细'!$H$5:$H$804,'成交明细'!$A$5:$A$804,A50,'成交明细'!$D$5:$D$804,"买"))*IF(N(G50)&gt;0,G50,1)/O50,"")</f>
        <v/>
      </c>
      <c r="AC50" s="43" t="str">
        <f>IF(AND(Y50="已平仓",ISNUMBER(O50)),AA50/O50,"")</f>
        <v/>
      </c>
      <c r="AD50" s="44" t="str">
        <f>IF(AND(ISNUMBER(V50),ISNUMBER(I50)),IF(F50="空",I50-V50,V50-I50),"")</f>
        <v/>
      </c>
      <c r="AE50" s="44" t="str">
        <f>IF(OR(NOT(ISNUMBER(AA50)),NOT(ISNUMBER(X50))),"",IF(AA50&lt;0,IF(F50="空",X50-J50,J50-X50),IF(NOT(ISNUMBER(K50)),"",IF(F50="空",X50-K50,K50-X50))))</f>
        <v/>
      </c>
      <c r="AF50" s="32" t="n"/>
      <c r="AG50" s="32" t="n"/>
      <c r="AH50" s="31" t="n"/>
      <c r="AI50" s="43" t="str">
        <f>IF(A50="","",SUM(AC$5:AC50))</f>
        <v/>
      </c>
      <c r="AJ50" s="45" t="str">
        <f>IF(A50="","",MAX(0,MAX(AI$5:AI50))-AI50)</f>
        <v/>
      </c>
    </row>
    <row r="51">
      <c r="A51" s="29" t="n"/>
      <c r="B51" s="30" t="n"/>
      <c r="C51" s="31" t="n"/>
      <c r="D51" s="32" t="n"/>
      <c r="E51" s="32" t="n"/>
      <c r="F51" s="32" t="n"/>
      <c r="G51" s="32" t="n"/>
      <c r="H51" s="32" t="n"/>
      <c r="I51" s="33" t="n"/>
      <c r="J51" s="33" t="n"/>
      <c r="K51" s="33" t="n"/>
      <c r="L51" s="34" t="str">
        <f>IF(AND(ISNUMBER(I51),ISNUMBER(J51),ISNUMBER(K51)),IF(OR(AND(F51="多",I51&gt;J51),AND(F51="空",I51&lt;J51)),ABS(K51-I51)/ABS(I51-J51),"止损方向不对"),"")</f>
        <v/>
      </c>
      <c r="M51" s="35" t="str">
        <f>IF(AND(ISNUMBER(I51),ISNUMBER(J51)),IF(I51=J51,"",IF(INT(ROUND('参数'!$C$7/(ABS(I51-J51)*IF(N(G51)&gt;0,G51,1)+2*(I51*IF(N(G51)&gt;0,G51,1)*'参数'!$C$12+'参数'!$C$13+'参数'!$C$14*IF(N(G51)&gt;0,G51,1)))/IF(N(H51)&gt;0,H51,1),6))*IF(N(H51)&gt;0,H51,1)&gt;0,INT(ROUND('参数'!$C$7/(ABS(I51-J51)*IF(N(G51)&gt;0,G51,1)+2*(I51*IF(N(G51)&gt;0,G51,1)*'参数'!$C$12+'参数'!$C$13+'参数'!$C$14*IF(N(G51)&gt;0,G51,1)))/IF(N(H51)&gt;0,H51,1),6))*IF(N(H51)&gt;0,H51,1),"预算不足，这笔不做")),"")</f>
        <v/>
      </c>
      <c r="N51" s="36" t="n"/>
      <c r="O51" s="20" t="str">
        <f>IF(AND(ISNUMBER(I51),ISNUMBER(J51),ISNUMBER(N51)),IF(AND(I51&lt;&gt;J51,N51&gt;0),ABS(I51-J51)*N51*IF(N(G51)&gt;0,G51,1),""),"")</f>
        <v/>
      </c>
      <c r="P51" s="31" t="n"/>
      <c r="Q51" s="32" t="n"/>
      <c r="R51" s="37" t="str">
        <f>IF(N(U51)&gt;0,SUMPRODUCT(LARGE(('成交明细'!$A$5:$A$804=A51)*('成交明细'!$D$5:$D$804=IF(F51="空","卖","买"))*'成交明细'!$B$5:$B$804,COUNTIFS('成交明细'!$A$5:$A$804,A51,'成交明细'!$D$5:$D$804,IF(F51="空","卖","买")))),"")</f>
        <v/>
      </c>
      <c r="S51" s="37" t="str">
        <f>IF(AND(N(U51)&gt;0,N(W51)&gt;=N(U51)),SUMPRODUCT(MAX(('成交明细'!$A$5:$A$804=A51)*('成交明细'!$D$5:$D$804=IF(F51="空","买","卖"))*'成交明细'!$B$5:$B$804)),"")</f>
        <v/>
      </c>
      <c r="T51" s="38" t="str">
        <f>IF(N(U51)=0,"",IF(SUMPRODUCT(('成交明细'!$A$5:$A$804=A51)*('成交明细'!$D$5:$D$804=IF(F51="空","卖","买"))*ISNUMBER('成交明细'!$C$5:$C$804))=0,"没填时间",IFERROR(VLOOKUP(MOD(SUMPRODUCT(LARGE(('成交明细'!$A$5:$A$804=A51)*('成交明细'!$D$5:$D$804=IF(F51="空","卖","买"))*('成交明细'!$B$5:$B$804+'成交明细'!$C$5:$C$804),COUNTIFS('成交明细'!$A$5:$A$804,A51,'成交明细'!$D$5:$D$804,IF(F51="空","卖","买")))),1),'参数'!$B$39:$C$48,2,TRUE),"")))</f>
        <v/>
      </c>
      <c r="U51" s="35" t="str">
        <f>IF(A51="","",SUMIFS('成交明细'!$F$5:$F$804,'成交明细'!$A$5:$A$804,A51,'成交明细'!$D$5:$D$804,IF(F51="空","卖","买")))</f>
        <v/>
      </c>
      <c r="V51" s="39" t="str">
        <f>IF(N(U51)&gt;0,SUMIFS('成交明细'!$H$5:$H$804,'成交明细'!$A$5:$A$804,A51,'成交明细'!$D$5:$D$804,IF(F51="空","卖","买"))/U51,"")</f>
        <v/>
      </c>
      <c r="W51" s="35" t="str">
        <f>IF(A51="","",SUMIFS('成交明细'!$F$5:$F$804,'成交明细'!$A$5:$A$804,A51,'成交明细'!$D$5:$D$804,IF(F51="空","买","卖")))</f>
        <v/>
      </c>
      <c r="X51" s="39" t="str">
        <f>IF(N(W51)&gt;0,SUMIFS('成交明细'!$H$5:$H$804,'成交明细'!$A$5:$A$804,A51,'成交明细'!$D$5:$D$804,IF(F51="空","买","卖"))/W51,"")</f>
        <v/>
      </c>
      <c r="Y51" s="40" t="str">
        <f>IF(A51="","",IF(Q51&lt;&gt;"已执行",IF(Q51="","未填执行情况",Q51),IF(N(U51)=0,"待录成交",IF(N(W51)&gt;N(U51),"平仓多于开仓",IF(N(W51)&lt;N(U51),"持仓中","已平仓")))))</f>
        <v/>
      </c>
      <c r="Z51" s="41" t="str">
        <f>IF(N(U51)=0,"",SUMIFS('成交明细'!$L$5:$L$804,'成交明细'!$A$5:$A$804,A51))</f>
        <v/>
      </c>
      <c r="AA51" s="42" t="str">
        <f>IF(Y51&lt;&gt;"已平仓","",(SUMIFS('成交明细'!$H$5:$H$804,'成交明细'!$A$5:$A$804,A51,'成交明细'!$D$5:$D$804,"卖")-SUMIFS('成交明细'!$H$5:$H$804,'成交明细'!$A$5:$A$804,A51,'成交明细'!$D$5:$D$804,"买"))*IF(N(G51)&gt;0,G51,1)-Z51)</f>
        <v/>
      </c>
      <c r="AB51" s="43" t="str">
        <f>IF(AND(Y51="已平仓",ISNUMBER(O51)),(SUMIFS('成交明细'!$H$5:$H$804,'成交明细'!$A$5:$A$804,A51,'成交明细'!$D$5:$D$804,"卖")-SUMIFS('成交明细'!$H$5:$H$804,'成交明细'!$A$5:$A$804,A51,'成交明细'!$D$5:$D$804,"买"))*IF(N(G51)&gt;0,G51,1)/O51,"")</f>
        <v/>
      </c>
      <c r="AC51" s="43" t="str">
        <f>IF(AND(Y51="已平仓",ISNUMBER(O51)),AA51/O51,"")</f>
        <v/>
      </c>
      <c r="AD51" s="44" t="str">
        <f>IF(AND(ISNUMBER(V51),ISNUMBER(I51)),IF(F51="空",I51-V51,V51-I51),"")</f>
        <v/>
      </c>
      <c r="AE51" s="44" t="str">
        <f>IF(OR(NOT(ISNUMBER(AA51)),NOT(ISNUMBER(X51))),"",IF(AA51&lt;0,IF(F51="空",X51-J51,J51-X51),IF(NOT(ISNUMBER(K51)),"",IF(F51="空",X51-K51,K51-X51))))</f>
        <v/>
      </c>
      <c r="AF51" s="32" t="n"/>
      <c r="AG51" s="32" t="n"/>
      <c r="AH51" s="31" t="n"/>
      <c r="AI51" s="43" t="str">
        <f>IF(A51="","",SUM(AC$5:AC51))</f>
        <v/>
      </c>
      <c r="AJ51" s="45" t="str">
        <f>IF(A51="","",MAX(0,MAX(AI$5:AI51))-AI51)</f>
        <v/>
      </c>
    </row>
    <row r="52">
      <c r="A52" s="29" t="n"/>
      <c r="B52" s="30" t="n"/>
      <c r="C52" s="31" t="n"/>
      <c r="D52" s="32" t="n"/>
      <c r="E52" s="32" t="n"/>
      <c r="F52" s="32" t="n"/>
      <c r="G52" s="32" t="n"/>
      <c r="H52" s="32" t="n"/>
      <c r="I52" s="33" t="n"/>
      <c r="J52" s="33" t="n"/>
      <c r="K52" s="33" t="n"/>
      <c r="L52" s="34" t="str">
        <f>IF(AND(ISNUMBER(I52),ISNUMBER(J52),ISNUMBER(K52)),IF(OR(AND(F52="多",I52&gt;J52),AND(F52="空",I52&lt;J52)),ABS(K52-I52)/ABS(I52-J52),"止损方向不对"),"")</f>
        <v/>
      </c>
      <c r="M52" s="35" t="str">
        <f>IF(AND(ISNUMBER(I52),ISNUMBER(J52)),IF(I52=J52,"",IF(INT(ROUND('参数'!$C$7/(ABS(I52-J52)*IF(N(G52)&gt;0,G52,1)+2*(I52*IF(N(G52)&gt;0,G52,1)*'参数'!$C$12+'参数'!$C$13+'参数'!$C$14*IF(N(G52)&gt;0,G52,1)))/IF(N(H52)&gt;0,H52,1),6))*IF(N(H52)&gt;0,H52,1)&gt;0,INT(ROUND('参数'!$C$7/(ABS(I52-J52)*IF(N(G52)&gt;0,G52,1)+2*(I52*IF(N(G52)&gt;0,G52,1)*'参数'!$C$12+'参数'!$C$13+'参数'!$C$14*IF(N(G52)&gt;0,G52,1)))/IF(N(H52)&gt;0,H52,1),6))*IF(N(H52)&gt;0,H52,1),"预算不足，这笔不做")),"")</f>
        <v/>
      </c>
      <c r="N52" s="36" t="n"/>
      <c r="O52" s="20" t="str">
        <f>IF(AND(ISNUMBER(I52),ISNUMBER(J52),ISNUMBER(N52)),IF(AND(I52&lt;&gt;J52,N52&gt;0),ABS(I52-J52)*N52*IF(N(G52)&gt;0,G52,1),""),"")</f>
        <v/>
      </c>
      <c r="P52" s="31" t="n"/>
      <c r="Q52" s="32" t="n"/>
      <c r="R52" s="37" t="str">
        <f>IF(N(U52)&gt;0,SUMPRODUCT(LARGE(('成交明细'!$A$5:$A$804=A52)*('成交明细'!$D$5:$D$804=IF(F52="空","卖","买"))*'成交明细'!$B$5:$B$804,COUNTIFS('成交明细'!$A$5:$A$804,A52,'成交明细'!$D$5:$D$804,IF(F52="空","卖","买")))),"")</f>
        <v/>
      </c>
      <c r="S52" s="37" t="str">
        <f>IF(AND(N(U52)&gt;0,N(W52)&gt;=N(U52)),SUMPRODUCT(MAX(('成交明细'!$A$5:$A$804=A52)*('成交明细'!$D$5:$D$804=IF(F52="空","买","卖"))*'成交明细'!$B$5:$B$804)),"")</f>
        <v/>
      </c>
      <c r="T52" s="38" t="str">
        <f>IF(N(U52)=0,"",IF(SUMPRODUCT(('成交明细'!$A$5:$A$804=A52)*('成交明细'!$D$5:$D$804=IF(F52="空","卖","买"))*ISNUMBER('成交明细'!$C$5:$C$804))=0,"没填时间",IFERROR(VLOOKUP(MOD(SUMPRODUCT(LARGE(('成交明细'!$A$5:$A$804=A52)*('成交明细'!$D$5:$D$804=IF(F52="空","卖","买"))*('成交明细'!$B$5:$B$804+'成交明细'!$C$5:$C$804),COUNTIFS('成交明细'!$A$5:$A$804,A52,'成交明细'!$D$5:$D$804,IF(F52="空","卖","买")))),1),'参数'!$B$39:$C$48,2,TRUE),"")))</f>
        <v/>
      </c>
      <c r="U52" s="35" t="str">
        <f>IF(A52="","",SUMIFS('成交明细'!$F$5:$F$804,'成交明细'!$A$5:$A$804,A52,'成交明细'!$D$5:$D$804,IF(F52="空","卖","买")))</f>
        <v/>
      </c>
      <c r="V52" s="39" t="str">
        <f>IF(N(U52)&gt;0,SUMIFS('成交明细'!$H$5:$H$804,'成交明细'!$A$5:$A$804,A52,'成交明细'!$D$5:$D$804,IF(F52="空","卖","买"))/U52,"")</f>
        <v/>
      </c>
      <c r="W52" s="35" t="str">
        <f>IF(A52="","",SUMIFS('成交明细'!$F$5:$F$804,'成交明细'!$A$5:$A$804,A52,'成交明细'!$D$5:$D$804,IF(F52="空","买","卖")))</f>
        <v/>
      </c>
      <c r="X52" s="39" t="str">
        <f>IF(N(W52)&gt;0,SUMIFS('成交明细'!$H$5:$H$804,'成交明细'!$A$5:$A$804,A52,'成交明细'!$D$5:$D$804,IF(F52="空","买","卖"))/W52,"")</f>
        <v/>
      </c>
      <c r="Y52" s="40" t="str">
        <f>IF(A52="","",IF(Q52&lt;&gt;"已执行",IF(Q52="","未填执行情况",Q52),IF(N(U52)=0,"待录成交",IF(N(W52)&gt;N(U52),"平仓多于开仓",IF(N(W52)&lt;N(U52),"持仓中","已平仓")))))</f>
        <v/>
      </c>
      <c r="Z52" s="41" t="str">
        <f>IF(N(U52)=0,"",SUMIFS('成交明细'!$L$5:$L$804,'成交明细'!$A$5:$A$804,A52))</f>
        <v/>
      </c>
      <c r="AA52" s="42" t="str">
        <f>IF(Y52&lt;&gt;"已平仓","",(SUMIFS('成交明细'!$H$5:$H$804,'成交明细'!$A$5:$A$804,A52,'成交明细'!$D$5:$D$804,"卖")-SUMIFS('成交明细'!$H$5:$H$804,'成交明细'!$A$5:$A$804,A52,'成交明细'!$D$5:$D$804,"买"))*IF(N(G52)&gt;0,G52,1)-Z52)</f>
        <v/>
      </c>
      <c r="AB52" s="43" t="str">
        <f>IF(AND(Y52="已平仓",ISNUMBER(O52)),(SUMIFS('成交明细'!$H$5:$H$804,'成交明细'!$A$5:$A$804,A52,'成交明细'!$D$5:$D$804,"卖")-SUMIFS('成交明细'!$H$5:$H$804,'成交明细'!$A$5:$A$804,A52,'成交明细'!$D$5:$D$804,"买"))*IF(N(G52)&gt;0,G52,1)/O52,"")</f>
        <v/>
      </c>
      <c r="AC52" s="43" t="str">
        <f>IF(AND(Y52="已平仓",ISNUMBER(O52)),AA52/O52,"")</f>
        <v/>
      </c>
      <c r="AD52" s="44" t="str">
        <f>IF(AND(ISNUMBER(V52),ISNUMBER(I52)),IF(F52="空",I52-V52,V52-I52),"")</f>
        <v/>
      </c>
      <c r="AE52" s="44" t="str">
        <f>IF(OR(NOT(ISNUMBER(AA52)),NOT(ISNUMBER(X52))),"",IF(AA52&lt;0,IF(F52="空",X52-J52,J52-X52),IF(NOT(ISNUMBER(K52)),"",IF(F52="空",X52-K52,K52-X52))))</f>
        <v/>
      </c>
      <c r="AF52" s="32" t="n"/>
      <c r="AG52" s="32" t="n"/>
      <c r="AH52" s="31" t="n"/>
      <c r="AI52" s="43" t="str">
        <f>IF(A52="","",SUM(AC$5:AC52))</f>
        <v/>
      </c>
      <c r="AJ52" s="45" t="str">
        <f>IF(A52="","",MAX(0,MAX(AI$5:AI52))-AI52)</f>
        <v/>
      </c>
    </row>
    <row r="53">
      <c r="A53" s="29" t="n"/>
      <c r="B53" s="30" t="n"/>
      <c r="C53" s="31" t="n"/>
      <c r="D53" s="32" t="n"/>
      <c r="E53" s="32" t="n"/>
      <c r="F53" s="32" t="n"/>
      <c r="G53" s="32" t="n"/>
      <c r="H53" s="32" t="n"/>
      <c r="I53" s="33" t="n"/>
      <c r="J53" s="33" t="n"/>
      <c r="K53" s="33" t="n"/>
      <c r="L53" s="34" t="str">
        <f>IF(AND(ISNUMBER(I53),ISNUMBER(J53),ISNUMBER(K53)),IF(OR(AND(F53="多",I53&gt;J53),AND(F53="空",I53&lt;J53)),ABS(K53-I53)/ABS(I53-J53),"止损方向不对"),"")</f>
        <v/>
      </c>
      <c r="M53" s="35" t="str">
        <f>IF(AND(ISNUMBER(I53),ISNUMBER(J53)),IF(I53=J53,"",IF(INT(ROUND('参数'!$C$7/(ABS(I53-J53)*IF(N(G53)&gt;0,G53,1)+2*(I53*IF(N(G53)&gt;0,G53,1)*'参数'!$C$12+'参数'!$C$13+'参数'!$C$14*IF(N(G53)&gt;0,G53,1)))/IF(N(H53)&gt;0,H53,1),6))*IF(N(H53)&gt;0,H53,1)&gt;0,INT(ROUND('参数'!$C$7/(ABS(I53-J53)*IF(N(G53)&gt;0,G53,1)+2*(I53*IF(N(G53)&gt;0,G53,1)*'参数'!$C$12+'参数'!$C$13+'参数'!$C$14*IF(N(G53)&gt;0,G53,1)))/IF(N(H53)&gt;0,H53,1),6))*IF(N(H53)&gt;0,H53,1),"预算不足，这笔不做")),"")</f>
        <v/>
      </c>
      <c r="N53" s="36" t="n"/>
      <c r="O53" s="20" t="str">
        <f>IF(AND(ISNUMBER(I53),ISNUMBER(J53),ISNUMBER(N53)),IF(AND(I53&lt;&gt;J53,N53&gt;0),ABS(I53-J53)*N53*IF(N(G53)&gt;0,G53,1),""),"")</f>
        <v/>
      </c>
      <c r="P53" s="31" t="n"/>
      <c r="Q53" s="32" t="n"/>
      <c r="R53" s="37" t="str">
        <f>IF(N(U53)&gt;0,SUMPRODUCT(LARGE(('成交明细'!$A$5:$A$804=A53)*('成交明细'!$D$5:$D$804=IF(F53="空","卖","买"))*'成交明细'!$B$5:$B$804,COUNTIFS('成交明细'!$A$5:$A$804,A53,'成交明细'!$D$5:$D$804,IF(F53="空","卖","买")))),"")</f>
        <v/>
      </c>
      <c r="S53" s="37" t="str">
        <f>IF(AND(N(U53)&gt;0,N(W53)&gt;=N(U53)),SUMPRODUCT(MAX(('成交明细'!$A$5:$A$804=A53)*('成交明细'!$D$5:$D$804=IF(F53="空","买","卖"))*'成交明细'!$B$5:$B$804)),"")</f>
        <v/>
      </c>
      <c r="T53" s="38" t="str">
        <f>IF(N(U53)=0,"",IF(SUMPRODUCT(('成交明细'!$A$5:$A$804=A53)*('成交明细'!$D$5:$D$804=IF(F53="空","卖","买"))*ISNUMBER('成交明细'!$C$5:$C$804))=0,"没填时间",IFERROR(VLOOKUP(MOD(SUMPRODUCT(LARGE(('成交明细'!$A$5:$A$804=A53)*('成交明细'!$D$5:$D$804=IF(F53="空","卖","买"))*('成交明细'!$B$5:$B$804+'成交明细'!$C$5:$C$804),COUNTIFS('成交明细'!$A$5:$A$804,A53,'成交明细'!$D$5:$D$804,IF(F53="空","卖","买")))),1),'参数'!$B$39:$C$48,2,TRUE),"")))</f>
        <v/>
      </c>
      <c r="U53" s="35" t="str">
        <f>IF(A53="","",SUMIFS('成交明细'!$F$5:$F$804,'成交明细'!$A$5:$A$804,A53,'成交明细'!$D$5:$D$804,IF(F53="空","卖","买")))</f>
        <v/>
      </c>
      <c r="V53" s="39" t="str">
        <f>IF(N(U53)&gt;0,SUMIFS('成交明细'!$H$5:$H$804,'成交明细'!$A$5:$A$804,A53,'成交明细'!$D$5:$D$804,IF(F53="空","卖","买"))/U53,"")</f>
        <v/>
      </c>
      <c r="W53" s="35" t="str">
        <f>IF(A53="","",SUMIFS('成交明细'!$F$5:$F$804,'成交明细'!$A$5:$A$804,A53,'成交明细'!$D$5:$D$804,IF(F53="空","买","卖")))</f>
        <v/>
      </c>
      <c r="X53" s="39" t="str">
        <f>IF(N(W53)&gt;0,SUMIFS('成交明细'!$H$5:$H$804,'成交明细'!$A$5:$A$804,A53,'成交明细'!$D$5:$D$804,IF(F53="空","买","卖"))/W53,"")</f>
        <v/>
      </c>
      <c r="Y53" s="40" t="str">
        <f>IF(A53="","",IF(Q53&lt;&gt;"已执行",IF(Q53="","未填执行情况",Q53),IF(N(U53)=0,"待录成交",IF(N(W53)&gt;N(U53),"平仓多于开仓",IF(N(W53)&lt;N(U53),"持仓中","已平仓")))))</f>
        <v/>
      </c>
      <c r="Z53" s="41" t="str">
        <f>IF(N(U53)=0,"",SUMIFS('成交明细'!$L$5:$L$804,'成交明细'!$A$5:$A$804,A53))</f>
        <v/>
      </c>
      <c r="AA53" s="42" t="str">
        <f>IF(Y53&lt;&gt;"已平仓","",(SUMIFS('成交明细'!$H$5:$H$804,'成交明细'!$A$5:$A$804,A53,'成交明细'!$D$5:$D$804,"卖")-SUMIFS('成交明细'!$H$5:$H$804,'成交明细'!$A$5:$A$804,A53,'成交明细'!$D$5:$D$804,"买"))*IF(N(G53)&gt;0,G53,1)-Z53)</f>
        <v/>
      </c>
      <c r="AB53" s="43" t="str">
        <f>IF(AND(Y53="已平仓",ISNUMBER(O53)),(SUMIFS('成交明细'!$H$5:$H$804,'成交明细'!$A$5:$A$804,A53,'成交明细'!$D$5:$D$804,"卖")-SUMIFS('成交明细'!$H$5:$H$804,'成交明细'!$A$5:$A$804,A53,'成交明细'!$D$5:$D$804,"买"))*IF(N(G53)&gt;0,G53,1)/O53,"")</f>
        <v/>
      </c>
      <c r="AC53" s="43" t="str">
        <f>IF(AND(Y53="已平仓",ISNUMBER(O53)),AA53/O53,"")</f>
        <v/>
      </c>
      <c r="AD53" s="44" t="str">
        <f>IF(AND(ISNUMBER(V53),ISNUMBER(I53)),IF(F53="空",I53-V53,V53-I53),"")</f>
        <v/>
      </c>
      <c r="AE53" s="44" t="str">
        <f>IF(OR(NOT(ISNUMBER(AA53)),NOT(ISNUMBER(X53))),"",IF(AA53&lt;0,IF(F53="空",X53-J53,J53-X53),IF(NOT(ISNUMBER(K53)),"",IF(F53="空",X53-K53,K53-X53))))</f>
        <v/>
      </c>
      <c r="AF53" s="32" t="n"/>
      <c r="AG53" s="32" t="n"/>
      <c r="AH53" s="31" t="n"/>
      <c r="AI53" s="43" t="str">
        <f>IF(A53="","",SUM(AC$5:AC53))</f>
        <v/>
      </c>
      <c r="AJ53" s="45" t="str">
        <f>IF(A53="","",MAX(0,MAX(AI$5:AI53))-AI53)</f>
        <v/>
      </c>
    </row>
    <row r="54">
      <c r="A54" s="29" t="n"/>
      <c r="B54" s="30" t="n"/>
      <c r="C54" s="31" t="n"/>
      <c r="D54" s="32" t="n"/>
      <c r="E54" s="32" t="n"/>
      <c r="F54" s="32" t="n"/>
      <c r="G54" s="32" t="n"/>
      <c r="H54" s="32" t="n"/>
      <c r="I54" s="33" t="n"/>
      <c r="J54" s="33" t="n"/>
      <c r="K54" s="33" t="n"/>
      <c r="L54" s="34" t="str">
        <f>IF(AND(ISNUMBER(I54),ISNUMBER(J54),ISNUMBER(K54)),IF(OR(AND(F54="多",I54&gt;J54),AND(F54="空",I54&lt;J54)),ABS(K54-I54)/ABS(I54-J54),"止损方向不对"),"")</f>
        <v/>
      </c>
      <c r="M54" s="35" t="str">
        <f>IF(AND(ISNUMBER(I54),ISNUMBER(J54)),IF(I54=J54,"",IF(INT(ROUND('参数'!$C$7/(ABS(I54-J54)*IF(N(G54)&gt;0,G54,1)+2*(I54*IF(N(G54)&gt;0,G54,1)*'参数'!$C$12+'参数'!$C$13+'参数'!$C$14*IF(N(G54)&gt;0,G54,1)))/IF(N(H54)&gt;0,H54,1),6))*IF(N(H54)&gt;0,H54,1)&gt;0,INT(ROUND('参数'!$C$7/(ABS(I54-J54)*IF(N(G54)&gt;0,G54,1)+2*(I54*IF(N(G54)&gt;0,G54,1)*'参数'!$C$12+'参数'!$C$13+'参数'!$C$14*IF(N(G54)&gt;0,G54,1)))/IF(N(H54)&gt;0,H54,1),6))*IF(N(H54)&gt;0,H54,1),"预算不足，这笔不做")),"")</f>
        <v/>
      </c>
      <c r="N54" s="36" t="n"/>
      <c r="O54" s="20" t="str">
        <f>IF(AND(ISNUMBER(I54),ISNUMBER(J54),ISNUMBER(N54)),IF(AND(I54&lt;&gt;J54,N54&gt;0),ABS(I54-J54)*N54*IF(N(G54)&gt;0,G54,1),""),"")</f>
        <v/>
      </c>
      <c r="P54" s="31" t="n"/>
      <c r="Q54" s="32" t="n"/>
      <c r="R54" s="37" t="str">
        <f>IF(N(U54)&gt;0,SUMPRODUCT(LARGE(('成交明细'!$A$5:$A$804=A54)*('成交明细'!$D$5:$D$804=IF(F54="空","卖","买"))*'成交明细'!$B$5:$B$804,COUNTIFS('成交明细'!$A$5:$A$804,A54,'成交明细'!$D$5:$D$804,IF(F54="空","卖","买")))),"")</f>
        <v/>
      </c>
      <c r="S54" s="37" t="str">
        <f>IF(AND(N(U54)&gt;0,N(W54)&gt;=N(U54)),SUMPRODUCT(MAX(('成交明细'!$A$5:$A$804=A54)*('成交明细'!$D$5:$D$804=IF(F54="空","买","卖"))*'成交明细'!$B$5:$B$804)),"")</f>
        <v/>
      </c>
      <c r="T54" s="38" t="str">
        <f>IF(N(U54)=0,"",IF(SUMPRODUCT(('成交明细'!$A$5:$A$804=A54)*('成交明细'!$D$5:$D$804=IF(F54="空","卖","买"))*ISNUMBER('成交明细'!$C$5:$C$804))=0,"没填时间",IFERROR(VLOOKUP(MOD(SUMPRODUCT(LARGE(('成交明细'!$A$5:$A$804=A54)*('成交明细'!$D$5:$D$804=IF(F54="空","卖","买"))*('成交明细'!$B$5:$B$804+'成交明细'!$C$5:$C$804),COUNTIFS('成交明细'!$A$5:$A$804,A54,'成交明细'!$D$5:$D$804,IF(F54="空","卖","买")))),1),'参数'!$B$39:$C$48,2,TRUE),"")))</f>
        <v/>
      </c>
      <c r="U54" s="35" t="str">
        <f>IF(A54="","",SUMIFS('成交明细'!$F$5:$F$804,'成交明细'!$A$5:$A$804,A54,'成交明细'!$D$5:$D$804,IF(F54="空","卖","买")))</f>
        <v/>
      </c>
      <c r="V54" s="39" t="str">
        <f>IF(N(U54)&gt;0,SUMIFS('成交明细'!$H$5:$H$804,'成交明细'!$A$5:$A$804,A54,'成交明细'!$D$5:$D$804,IF(F54="空","卖","买"))/U54,"")</f>
        <v/>
      </c>
      <c r="W54" s="35" t="str">
        <f>IF(A54="","",SUMIFS('成交明细'!$F$5:$F$804,'成交明细'!$A$5:$A$804,A54,'成交明细'!$D$5:$D$804,IF(F54="空","买","卖")))</f>
        <v/>
      </c>
      <c r="X54" s="39" t="str">
        <f>IF(N(W54)&gt;0,SUMIFS('成交明细'!$H$5:$H$804,'成交明细'!$A$5:$A$804,A54,'成交明细'!$D$5:$D$804,IF(F54="空","买","卖"))/W54,"")</f>
        <v/>
      </c>
      <c r="Y54" s="40" t="str">
        <f>IF(A54="","",IF(Q54&lt;&gt;"已执行",IF(Q54="","未填执行情况",Q54),IF(N(U54)=0,"待录成交",IF(N(W54)&gt;N(U54),"平仓多于开仓",IF(N(W54)&lt;N(U54),"持仓中","已平仓")))))</f>
        <v/>
      </c>
      <c r="Z54" s="41" t="str">
        <f>IF(N(U54)=0,"",SUMIFS('成交明细'!$L$5:$L$804,'成交明细'!$A$5:$A$804,A54))</f>
        <v/>
      </c>
      <c r="AA54" s="42" t="str">
        <f>IF(Y54&lt;&gt;"已平仓","",(SUMIFS('成交明细'!$H$5:$H$804,'成交明细'!$A$5:$A$804,A54,'成交明细'!$D$5:$D$804,"卖")-SUMIFS('成交明细'!$H$5:$H$804,'成交明细'!$A$5:$A$804,A54,'成交明细'!$D$5:$D$804,"买"))*IF(N(G54)&gt;0,G54,1)-Z54)</f>
        <v/>
      </c>
      <c r="AB54" s="43" t="str">
        <f>IF(AND(Y54="已平仓",ISNUMBER(O54)),(SUMIFS('成交明细'!$H$5:$H$804,'成交明细'!$A$5:$A$804,A54,'成交明细'!$D$5:$D$804,"卖")-SUMIFS('成交明细'!$H$5:$H$804,'成交明细'!$A$5:$A$804,A54,'成交明细'!$D$5:$D$804,"买"))*IF(N(G54)&gt;0,G54,1)/O54,"")</f>
        <v/>
      </c>
      <c r="AC54" s="43" t="str">
        <f>IF(AND(Y54="已平仓",ISNUMBER(O54)),AA54/O54,"")</f>
        <v/>
      </c>
      <c r="AD54" s="44" t="str">
        <f>IF(AND(ISNUMBER(V54),ISNUMBER(I54)),IF(F54="空",I54-V54,V54-I54),"")</f>
        <v/>
      </c>
      <c r="AE54" s="44" t="str">
        <f>IF(OR(NOT(ISNUMBER(AA54)),NOT(ISNUMBER(X54))),"",IF(AA54&lt;0,IF(F54="空",X54-J54,J54-X54),IF(NOT(ISNUMBER(K54)),"",IF(F54="空",X54-K54,K54-X54))))</f>
        <v/>
      </c>
      <c r="AF54" s="32" t="n"/>
      <c r="AG54" s="32" t="n"/>
      <c r="AH54" s="31" t="n"/>
      <c r="AI54" s="43" t="str">
        <f>IF(A54="","",SUM(AC$5:AC54))</f>
        <v/>
      </c>
      <c r="AJ54" s="45" t="str">
        <f>IF(A54="","",MAX(0,MAX(AI$5:AI54))-AI54)</f>
        <v/>
      </c>
    </row>
    <row r="55">
      <c r="A55" s="29" t="n"/>
      <c r="B55" s="30" t="n"/>
      <c r="C55" s="31" t="n"/>
      <c r="D55" s="32" t="n"/>
      <c r="E55" s="32" t="n"/>
      <c r="F55" s="32" t="n"/>
      <c r="G55" s="32" t="n"/>
      <c r="H55" s="32" t="n"/>
      <c r="I55" s="33" t="n"/>
      <c r="J55" s="33" t="n"/>
      <c r="K55" s="33" t="n"/>
      <c r="L55" s="34" t="str">
        <f>IF(AND(ISNUMBER(I55),ISNUMBER(J55),ISNUMBER(K55)),IF(OR(AND(F55="多",I55&gt;J55),AND(F55="空",I55&lt;J55)),ABS(K55-I55)/ABS(I55-J55),"止损方向不对"),"")</f>
        <v/>
      </c>
      <c r="M55" s="35" t="str">
        <f>IF(AND(ISNUMBER(I55),ISNUMBER(J55)),IF(I55=J55,"",IF(INT(ROUND('参数'!$C$7/(ABS(I55-J55)*IF(N(G55)&gt;0,G55,1)+2*(I55*IF(N(G55)&gt;0,G55,1)*'参数'!$C$12+'参数'!$C$13+'参数'!$C$14*IF(N(G55)&gt;0,G55,1)))/IF(N(H55)&gt;0,H55,1),6))*IF(N(H55)&gt;0,H55,1)&gt;0,INT(ROUND('参数'!$C$7/(ABS(I55-J55)*IF(N(G55)&gt;0,G55,1)+2*(I55*IF(N(G55)&gt;0,G55,1)*'参数'!$C$12+'参数'!$C$13+'参数'!$C$14*IF(N(G55)&gt;0,G55,1)))/IF(N(H55)&gt;0,H55,1),6))*IF(N(H55)&gt;0,H55,1),"预算不足，这笔不做")),"")</f>
        <v/>
      </c>
      <c r="N55" s="36" t="n"/>
      <c r="O55" s="20" t="str">
        <f>IF(AND(ISNUMBER(I55),ISNUMBER(J55),ISNUMBER(N55)),IF(AND(I55&lt;&gt;J55,N55&gt;0),ABS(I55-J55)*N55*IF(N(G55)&gt;0,G55,1),""),"")</f>
        <v/>
      </c>
      <c r="P55" s="31" t="n"/>
      <c r="Q55" s="32" t="n"/>
      <c r="R55" s="37" t="str">
        <f>IF(N(U55)&gt;0,SUMPRODUCT(LARGE(('成交明细'!$A$5:$A$804=A55)*('成交明细'!$D$5:$D$804=IF(F55="空","卖","买"))*'成交明细'!$B$5:$B$804,COUNTIFS('成交明细'!$A$5:$A$804,A55,'成交明细'!$D$5:$D$804,IF(F55="空","卖","买")))),"")</f>
        <v/>
      </c>
      <c r="S55" s="37" t="str">
        <f>IF(AND(N(U55)&gt;0,N(W55)&gt;=N(U55)),SUMPRODUCT(MAX(('成交明细'!$A$5:$A$804=A55)*('成交明细'!$D$5:$D$804=IF(F55="空","买","卖"))*'成交明细'!$B$5:$B$804)),"")</f>
        <v/>
      </c>
      <c r="T55" s="38" t="str">
        <f>IF(N(U55)=0,"",IF(SUMPRODUCT(('成交明细'!$A$5:$A$804=A55)*('成交明细'!$D$5:$D$804=IF(F55="空","卖","买"))*ISNUMBER('成交明细'!$C$5:$C$804))=0,"没填时间",IFERROR(VLOOKUP(MOD(SUMPRODUCT(LARGE(('成交明细'!$A$5:$A$804=A55)*('成交明细'!$D$5:$D$804=IF(F55="空","卖","买"))*('成交明细'!$B$5:$B$804+'成交明细'!$C$5:$C$804),COUNTIFS('成交明细'!$A$5:$A$804,A55,'成交明细'!$D$5:$D$804,IF(F55="空","卖","买")))),1),'参数'!$B$39:$C$48,2,TRUE),"")))</f>
        <v/>
      </c>
      <c r="U55" s="35" t="str">
        <f>IF(A55="","",SUMIFS('成交明细'!$F$5:$F$804,'成交明细'!$A$5:$A$804,A55,'成交明细'!$D$5:$D$804,IF(F55="空","卖","买")))</f>
        <v/>
      </c>
      <c r="V55" s="39" t="str">
        <f>IF(N(U55)&gt;0,SUMIFS('成交明细'!$H$5:$H$804,'成交明细'!$A$5:$A$804,A55,'成交明细'!$D$5:$D$804,IF(F55="空","卖","买"))/U55,"")</f>
        <v/>
      </c>
      <c r="W55" s="35" t="str">
        <f>IF(A55="","",SUMIFS('成交明细'!$F$5:$F$804,'成交明细'!$A$5:$A$804,A55,'成交明细'!$D$5:$D$804,IF(F55="空","买","卖")))</f>
        <v/>
      </c>
      <c r="X55" s="39" t="str">
        <f>IF(N(W55)&gt;0,SUMIFS('成交明细'!$H$5:$H$804,'成交明细'!$A$5:$A$804,A55,'成交明细'!$D$5:$D$804,IF(F55="空","买","卖"))/W55,"")</f>
        <v/>
      </c>
      <c r="Y55" s="40" t="str">
        <f>IF(A55="","",IF(Q55&lt;&gt;"已执行",IF(Q55="","未填执行情况",Q55),IF(N(U55)=0,"待录成交",IF(N(W55)&gt;N(U55),"平仓多于开仓",IF(N(W55)&lt;N(U55),"持仓中","已平仓")))))</f>
        <v/>
      </c>
      <c r="Z55" s="41" t="str">
        <f>IF(N(U55)=0,"",SUMIFS('成交明细'!$L$5:$L$804,'成交明细'!$A$5:$A$804,A55))</f>
        <v/>
      </c>
      <c r="AA55" s="42" t="str">
        <f>IF(Y55&lt;&gt;"已平仓","",(SUMIFS('成交明细'!$H$5:$H$804,'成交明细'!$A$5:$A$804,A55,'成交明细'!$D$5:$D$804,"卖")-SUMIFS('成交明细'!$H$5:$H$804,'成交明细'!$A$5:$A$804,A55,'成交明细'!$D$5:$D$804,"买"))*IF(N(G55)&gt;0,G55,1)-Z55)</f>
        <v/>
      </c>
      <c r="AB55" s="43" t="str">
        <f>IF(AND(Y55="已平仓",ISNUMBER(O55)),(SUMIFS('成交明细'!$H$5:$H$804,'成交明细'!$A$5:$A$804,A55,'成交明细'!$D$5:$D$804,"卖")-SUMIFS('成交明细'!$H$5:$H$804,'成交明细'!$A$5:$A$804,A55,'成交明细'!$D$5:$D$804,"买"))*IF(N(G55)&gt;0,G55,1)/O55,"")</f>
        <v/>
      </c>
      <c r="AC55" s="43" t="str">
        <f>IF(AND(Y55="已平仓",ISNUMBER(O55)),AA55/O55,"")</f>
        <v/>
      </c>
      <c r="AD55" s="44" t="str">
        <f>IF(AND(ISNUMBER(V55),ISNUMBER(I55)),IF(F55="空",I55-V55,V55-I55),"")</f>
        <v/>
      </c>
      <c r="AE55" s="44" t="str">
        <f>IF(OR(NOT(ISNUMBER(AA55)),NOT(ISNUMBER(X55))),"",IF(AA55&lt;0,IF(F55="空",X55-J55,J55-X55),IF(NOT(ISNUMBER(K55)),"",IF(F55="空",X55-K55,K55-X55))))</f>
        <v/>
      </c>
      <c r="AF55" s="32" t="n"/>
      <c r="AG55" s="32" t="n"/>
      <c r="AH55" s="31" t="n"/>
      <c r="AI55" s="43" t="str">
        <f>IF(A55="","",SUM(AC$5:AC55))</f>
        <v/>
      </c>
      <c r="AJ55" s="45" t="str">
        <f>IF(A55="","",MAX(0,MAX(AI$5:AI55))-AI55)</f>
        <v/>
      </c>
    </row>
    <row r="56">
      <c r="A56" s="29" t="n"/>
      <c r="B56" s="30" t="n"/>
      <c r="C56" s="31" t="n"/>
      <c r="D56" s="32" t="n"/>
      <c r="E56" s="32" t="n"/>
      <c r="F56" s="32" t="n"/>
      <c r="G56" s="32" t="n"/>
      <c r="H56" s="32" t="n"/>
      <c r="I56" s="33" t="n"/>
      <c r="J56" s="33" t="n"/>
      <c r="K56" s="33" t="n"/>
      <c r="L56" s="34" t="str">
        <f>IF(AND(ISNUMBER(I56),ISNUMBER(J56),ISNUMBER(K56)),IF(OR(AND(F56="多",I56&gt;J56),AND(F56="空",I56&lt;J56)),ABS(K56-I56)/ABS(I56-J56),"止损方向不对"),"")</f>
        <v/>
      </c>
      <c r="M56" s="35" t="str">
        <f>IF(AND(ISNUMBER(I56),ISNUMBER(J56)),IF(I56=J56,"",IF(INT(ROUND('参数'!$C$7/(ABS(I56-J56)*IF(N(G56)&gt;0,G56,1)+2*(I56*IF(N(G56)&gt;0,G56,1)*'参数'!$C$12+'参数'!$C$13+'参数'!$C$14*IF(N(G56)&gt;0,G56,1)))/IF(N(H56)&gt;0,H56,1),6))*IF(N(H56)&gt;0,H56,1)&gt;0,INT(ROUND('参数'!$C$7/(ABS(I56-J56)*IF(N(G56)&gt;0,G56,1)+2*(I56*IF(N(G56)&gt;0,G56,1)*'参数'!$C$12+'参数'!$C$13+'参数'!$C$14*IF(N(G56)&gt;0,G56,1)))/IF(N(H56)&gt;0,H56,1),6))*IF(N(H56)&gt;0,H56,1),"预算不足，这笔不做")),"")</f>
        <v/>
      </c>
      <c r="N56" s="36" t="n"/>
      <c r="O56" s="20" t="str">
        <f>IF(AND(ISNUMBER(I56),ISNUMBER(J56),ISNUMBER(N56)),IF(AND(I56&lt;&gt;J56,N56&gt;0),ABS(I56-J56)*N56*IF(N(G56)&gt;0,G56,1),""),"")</f>
        <v/>
      </c>
      <c r="P56" s="31" t="n"/>
      <c r="Q56" s="32" t="n"/>
      <c r="R56" s="37" t="str">
        <f>IF(N(U56)&gt;0,SUMPRODUCT(LARGE(('成交明细'!$A$5:$A$804=A56)*('成交明细'!$D$5:$D$804=IF(F56="空","卖","买"))*'成交明细'!$B$5:$B$804,COUNTIFS('成交明细'!$A$5:$A$804,A56,'成交明细'!$D$5:$D$804,IF(F56="空","卖","买")))),"")</f>
        <v/>
      </c>
      <c r="S56" s="37" t="str">
        <f>IF(AND(N(U56)&gt;0,N(W56)&gt;=N(U56)),SUMPRODUCT(MAX(('成交明细'!$A$5:$A$804=A56)*('成交明细'!$D$5:$D$804=IF(F56="空","买","卖"))*'成交明细'!$B$5:$B$804)),"")</f>
        <v/>
      </c>
      <c r="T56" s="38" t="str">
        <f>IF(N(U56)=0,"",IF(SUMPRODUCT(('成交明细'!$A$5:$A$804=A56)*('成交明细'!$D$5:$D$804=IF(F56="空","卖","买"))*ISNUMBER('成交明细'!$C$5:$C$804))=0,"没填时间",IFERROR(VLOOKUP(MOD(SUMPRODUCT(LARGE(('成交明细'!$A$5:$A$804=A56)*('成交明细'!$D$5:$D$804=IF(F56="空","卖","买"))*('成交明细'!$B$5:$B$804+'成交明细'!$C$5:$C$804),COUNTIFS('成交明细'!$A$5:$A$804,A56,'成交明细'!$D$5:$D$804,IF(F56="空","卖","买")))),1),'参数'!$B$39:$C$48,2,TRUE),"")))</f>
        <v/>
      </c>
      <c r="U56" s="35" t="str">
        <f>IF(A56="","",SUMIFS('成交明细'!$F$5:$F$804,'成交明细'!$A$5:$A$804,A56,'成交明细'!$D$5:$D$804,IF(F56="空","卖","买")))</f>
        <v/>
      </c>
      <c r="V56" s="39" t="str">
        <f>IF(N(U56)&gt;0,SUMIFS('成交明细'!$H$5:$H$804,'成交明细'!$A$5:$A$804,A56,'成交明细'!$D$5:$D$804,IF(F56="空","卖","买"))/U56,"")</f>
        <v/>
      </c>
      <c r="W56" s="35" t="str">
        <f>IF(A56="","",SUMIFS('成交明细'!$F$5:$F$804,'成交明细'!$A$5:$A$804,A56,'成交明细'!$D$5:$D$804,IF(F56="空","买","卖")))</f>
        <v/>
      </c>
      <c r="X56" s="39" t="str">
        <f>IF(N(W56)&gt;0,SUMIFS('成交明细'!$H$5:$H$804,'成交明细'!$A$5:$A$804,A56,'成交明细'!$D$5:$D$804,IF(F56="空","买","卖"))/W56,"")</f>
        <v/>
      </c>
      <c r="Y56" s="40" t="str">
        <f>IF(A56="","",IF(Q56&lt;&gt;"已执行",IF(Q56="","未填执行情况",Q56),IF(N(U56)=0,"待录成交",IF(N(W56)&gt;N(U56),"平仓多于开仓",IF(N(W56)&lt;N(U56),"持仓中","已平仓")))))</f>
        <v/>
      </c>
      <c r="Z56" s="41" t="str">
        <f>IF(N(U56)=0,"",SUMIFS('成交明细'!$L$5:$L$804,'成交明细'!$A$5:$A$804,A56))</f>
        <v/>
      </c>
      <c r="AA56" s="42" t="str">
        <f>IF(Y56&lt;&gt;"已平仓","",(SUMIFS('成交明细'!$H$5:$H$804,'成交明细'!$A$5:$A$804,A56,'成交明细'!$D$5:$D$804,"卖")-SUMIFS('成交明细'!$H$5:$H$804,'成交明细'!$A$5:$A$804,A56,'成交明细'!$D$5:$D$804,"买"))*IF(N(G56)&gt;0,G56,1)-Z56)</f>
        <v/>
      </c>
      <c r="AB56" s="43" t="str">
        <f>IF(AND(Y56="已平仓",ISNUMBER(O56)),(SUMIFS('成交明细'!$H$5:$H$804,'成交明细'!$A$5:$A$804,A56,'成交明细'!$D$5:$D$804,"卖")-SUMIFS('成交明细'!$H$5:$H$804,'成交明细'!$A$5:$A$804,A56,'成交明细'!$D$5:$D$804,"买"))*IF(N(G56)&gt;0,G56,1)/O56,"")</f>
        <v/>
      </c>
      <c r="AC56" s="43" t="str">
        <f>IF(AND(Y56="已平仓",ISNUMBER(O56)),AA56/O56,"")</f>
        <v/>
      </c>
      <c r="AD56" s="44" t="str">
        <f>IF(AND(ISNUMBER(V56),ISNUMBER(I56)),IF(F56="空",I56-V56,V56-I56),"")</f>
        <v/>
      </c>
      <c r="AE56" s="44" t="str">
        <f>IF(OR(NOT(ISNUMBER(AA56)),NOT(ISNUMBER(X56))),"",IF(AA56&lt;0,IF(F56="空",X56-J56,J56-X56),IF(NOT(ISNUMBER(K56)),"",IF(F56="空",X56-K56,K56-X56))))</f>
        <v/>
      </c>
      <c r="AF56" s="32" t="n"/>
      <c r="AG56" s="32" t="n"/>
      <c r="AH56" s="31" t="n"/>
      <c r="AI56" s="43" t="str">
        <f>IF(A56="","",SUM(AC$5:AC56))</f>
        <v/>
      </c>
      <c r="AJ56" s="45" t="str">
        <f>IF(A56="","",MAX(0,MAX(AI$5:AI56))-AI56)</f>
        <v/>
      </c>
    </row>
    <row r="57">
      <c r="A57" s="29" t="n"/>
      <c r="B57" s="30" t="n"/>
      <c r="C57" s="31" t="n"/>
      <c r="D57" s="32" t="n"/>
      <c r="E57" s="32" t="n"/>
      <c r="F57" s="32" t="n"/>
      <c r="G57" s="32" t="n"/>
      <c r="H57" s="32" t="n"/>
      <c r="I57" s="33" t="n"/>
      <c r="J57" s="33" t="n"/>
      <c r="K57" s="33" t="n"/>
      <c r="L57" s="34" t="str">
        <f>IF(AND(ISNUMBER(I57),ISNUMBER(J57),ISNUMBER(K57)),IF(OR(AND(F57="多",I57&gt;J57),AND(F57="空",I57&lt;J57)),ABS(K57-I57)/ABS(I57-J57),"止损方向不对"),"")</f>
        <v/>
      </c>
      <c r="M57" s="35" t="str">
        <f>IF(AND(ISNUMBER(I57),ISNUMBER(J57)),IF(I57=J57,"",IF(INT(ROUND('参数'!$C$7/(ABS(I57-J57)*IF(N(G57)&gt;0,G57,1)+2*(I57*IF(N(G57)&gt;0,G57,1)*'参数'!$C$12+'参数'!$C$13+'参数'!$C$14*IF(N(G57)&gt;0,G57,1)))/IF(N(H57)&gt;0,H57,1),6))*IF(N(H57)&gt;0,H57,1)&gt;0,INT(ROUND('参数'!$C$7/(ABS(I57-J57)*IF(N(G57)&gt;0,G57,1)+2*(I57*IF(N(G57)&gt;0,G57,1)*'参数'!$C$12+'参数'!$C$13+'参数'!$C$14*IF(N(G57)&gt;0,G57,1)))/IF(N(H57)&gt;0,H57,1),6))*IF(N(H57)&gt;0,H57,1),"预算不足，这笔不做")),"")</f>
        <v/>
      </c>
      <c r="N57" s="36" t="n"/>
      <c r="O57" s="20" t="str">
        <f>IF(AND(ISNUMBER(I57),ISNUMBER(J57),ISNUMBER(N57)),IF(AND(I57&lt;&gt;J57,N57&gt;0),ABS(I57-J57)*N57*IF(N(G57)&gt;0,G57,1),""),"")</f>
        <v/>
      </c>
      <c r="P57" s="31" t="n"/>
      <c r="Q57" s="32" t="n"/>
      <c r="R57" s="37" t="str">
        <f>IF(N(U57)&gt;0,SUMPRODUCT(LARGE(('成交明细'!$A$5:$A$804=A57)*('成交明细'!$D$5:$D$804=IF(F57="空","卖","买"))*'成交明细'!$B$5:$B$804,COUNTIFS('成交明细'!$A$5:$A$804,A57,'成交明细'!$D$5:$D$804,IF(F57="空","卖","买")))),"")</f>
        <v/>
      </c>
      <c r="S57" s="37" t="str">
        <f>IF(AND(N(U57)&gt;0,N(W57)&gt;=N(U57)),SUMPRODUCT(MAX(('成交明细'!$A$5:$A$804=A57)*('成交明细'!$D$5:$D$804=IF(F57="空","买","卖"))*'成交明细'!$B$5:$B$804)),"")</f>
        <v/>
      </c>
      <c r="T57" s="38" t="str">
        <f>IF(N(U57)=0,"",IF(SUMPRODUCT(('成交明细'!$A$5:$A$804=A57)*('成交明细'!$D$5:$D$804=IF(F57="空","卖","买"))*ISNUMBER('成交明细'!$C$5:$C$804))=0,"没填时间",IFERROR(VLOOKUP(MOD(SUMPRODUCT(LARGE(('成交明细'!$A$5:$A$804=A57)*('成交明细'!$D$5:$D$804=IF(F57="空","卖","买"))*('成交明细'!$B$5:$B$804+'成交明细'!$C$5:$C$804),COUNTIFS('成交明细'!$A$5:$A$804,A57,'成交明细'!$D$5:$D$804,IF(F57="空","卖","买")))),1),'参数'!$B$39:$C$48,2,TRUE),"")))</f>
        <v/>
      </c>
      <c r="U57" s="35" t="str">
        <f>IF(A57="","",SUMIFS('成交明细'!$F$5:$F$804,'成交明细'!$A$5:$A$804,A57,'成交明细'!$D$5:$D$804,IF(F57="空","卖","买")))</f>
        <v/>
      </c>
      <c r="V57" s="39" t="str">
        <f>IF(N(U57)&gt;0,SUMIFS('成交明细'!$H$5:$H$804,'成交明细'!$A$5:$A$804,A57,'成交明细'!$D$5:$D$804,IF(F57="空","卖","买"))/U57,"")</f>
        <v/>
      </c>
      <c r="W57" s="35" t="str">
        <f>IF(A57="","",SUMIFS('成交明细'!$F$5:$F$804,'成交明细'!$A$5:$A$804,A57,'成交明细'!$D$5:$D$804,IF(F57="空","买","卖")))</f>
        <v/>
      </c>
      <c r="X57" s="39" t="str">
        <f>IF(N(W57)&gt;0,SUMIFS('成交明细'!$H$5:$H$804,'成交明细'!$A$5:$A$804,A57,'成交明细'!$D$5:$D$804,IF(F57="空","买","卖"))/W57,"")</f>
        <v/>
      </c>
      <c r="Y57" s="40" t="str">
        <f>IF(A57="","",IF(Q57&lt;&gt;"已执行",IF(Q57="","未填执行情况",Q57),IF(N(U57)=0,"待录成交",IF(N(W57)&gt;N(U57),"平仓多于开仓",IF(N(W57)&lt;N(U57),"持仓中","已平仓")))))</f>
        <v/>
      </c>
      <c r="Z57" s="41" t="str">
        <f>IF(N(U57)=0,"",SUMIFS('成交明细'!$L$5:$L$804,'成交明细'!$A$5:$A$804,A57))</f>
        <v/>
      </c>
      <c r="AA57" s="42" t="str">
        <f>IF(Y57&lt;&gt;"已平仓","",(SUMIFS('成交明细'!$H$5:$H$804,'成交明细'!$A$5:$A$804,A57,'成交明细'!$D$5:$D$804,"卖")-SUMIFS('成交明细'!$H$5:$H$804,'成交明细'!$A$5:$A$804,A57,'成交明细'!$D$5:$D$804,"买"))*IF(N(G57)&gt;0,G57,1)-Z57)</f>
        <v/>
      </c>
      <c r="AB57" s="43" t="str">
        <f>IF(AND(Y57="已平仓",ISNUMBER(O57)),(SUMIFS('成交明细'!$H$5:$H$804,'成交明细'!$A$5:$A$804,A57,'成交明细'!$D$5:$D$804,"卖")-SUMIFS('成交明细'!$H$5:$H$804,'成交明细'!$A$5:$A$804,A57,'成交明细'!$D$5:$D$804,"买"))*IF(N(G57)&gt;0,G57,1)/O57,"")</f>
        <v/>
      </c>
      <c r="AC57" s="43" t="str">
        <f>IF(AND(Y57="已平仓",ISNUMBER(O57)),AA57/O57,"")</f>
        <v/>
      </c>
      <c r="AD57" s="44" t="str">
        <f>IF(AND(ISNUMBER(V57),ISNUMBER(I57)),IF(F57="空",I57-V57,V57-I57),"")</f>
        <v/>
      </c>
      <c r="AE57" s="44" t="str">
        <f>IF(OR(NOT(ISNUMBER(AA57)),NOT(ISNUMBER(X57))),"",IF(AA57&lt;0,IF(F57="空",X57-J57,J57-X57),IF(NOT(ISNUMBER(K57)),"",IF(F57="空",X57-K57,K57-X57))))</f>
        <v/>
      </c>
      <c r="AF57" s="32" t="n"/>
      <c r="AG57" s="32" t="n"/>
      <c r="AH57" s="31" t="n"/>
      <c r="AI57" s="43" t="str">
        <f>IF(A57="","",SUM(AC$5:AC57))</f>
        <v/>
      </c>
      <c r="AJ57" s="45" t="str">
        <f>IF(A57="","",MAX(0,MAX(AI$5:AI57))-AI57)</f>
        <v/>
      </c>
    </row>
    <row r="58">
      <c r="A58" s="29" t="n"/>
      <c r="B58" s="30" t="n"/>
      <c r="C58" s="31" t="n"/>
      <c r="D58" s="32" t="n"/>
      <c r="E58" s="32" t="n"/>
      <c r="F58" s="32" t="n"/>
      <c r="G58" s="32" t="n"/>
      <c r="H58" s="32" t="n"/>
      <c r="I58" s="33" t="n"/>
      <c r="J58" s="33" t="n"/>
      <c r="K58" s="33" t="n"/>
      <c r="L58" s="34" t="str">
        <f>IF(AND(ISNUMBER(I58),ISNUMBER(J58),ISNUMBER(K58)),IF(OR(AND(F58="多",I58&gt;J58),AND(F58="空",I58&lt;J58)),ABS(K58-I58)/ABS(I58-J58),"止损方向不对"),"")</f>
        <v/>
      </c>
      <c r="M58" s="35" t="str">
        <f>IF(AND(ISNUMBER(I58),ISNUMBER(J58)),IF(I58=J58,"",IF(INT(ROUND('参数'!$C$7/(ABS(I58-J58)*IF(N(G58)&gt;0,G58,1)+2*(I58*IF(N(G58)&gt;0,G58,1)*'参数'!$C$12+'参数'!$C$13+'参数'!$C$14*IF(N(G58)&gt;0,G58,1)))/IF(N(H58)&gt;0,H58,1),6))*IF(N(H58)&gt;0,H58,1)&gt;0,INT(ROUND('参数'!$C$7/(ABS(I58-J58)*IF(N(G58)&gt;0,G58,1)+2*(I58*IF(N(G58)&gt;0,G58,1)*'参数'!$C$12+'参数'!$C$13+'参数'!$C$14*IF(N(G58)&gt;0,G58,1)))/IF(N(H58)&gt;0,H58,1),6))*IF(N(H58)&gt;0,H58,1),"预算不足，这笔不做")),"")</f>
        <v/>
      </c>
      <c r="N58" s="36" t="n"/>
      <c r="O58" s="20" t="str">
        <f>IF(AND(ISNUMBER(I58),ISNUMBER(J58),ISNUMBER(N58)),IF(AND(I58&lt;&gt;J58,N58&gt;0),ABS(I58-J58)*N58*IF(N(G58)&gt;0,G58,1),""),"")</f>
        <v/>
      </c>
      <c r="P58" s="31" t="n"/>
      <c r="Q58" s="32" t="n"/>
      <c r="R58" s="37" t="str">
        <f>IF(N(U58)&gt;0,SUMPRODUCT(LARGE(('成交明细'!$A$5:$A$804=A58)*('成交明细'!$D$5:$D$804=IF(F58="空","卖","买"))*'成交明细'!$B$5:$B$804,COUNTIFS('成交明细'!$A$5:$A$804,A58,'成交明细'!$D$5:$D$804,IF(F58="空","卖","买")))),"")</f>
        <v/>
      </c>
      <c r="S58" s="37" t="str">
        <f>IF(AND(N(U58)&gt;0,N(W58)&gt;=N(U58)),SUMPRODUCT(MAX(('成交明细'!$A$5:$A$804=A58)*('成交明细'!$D$5:$D$804=IF(F58="空","买","卖"))*'成交明细'!$B$5:$B$804)),"")</f>
        <v/>
      </c>
      <c r="T58" s="38" t="str">
        <f>IF(N(U58)=0,"",IF(SUMPRODUCT(('成交明细'!$A$5:$A$804=A58)*('成交明细'!$D$5:$D$804=IF(F58="空","卖","买"))*ISNUMBER('成交明细'!$C$5:$C$804))=0,"没填时间",IFERROR(VLOOKUP(MOD(SUMPRODUCT(LARGE(('成交明细'!$A$5:$A$804=A58)*('成交明细'!$D$5:$D$804=IF(F58="空","卖","买"))*('成交明细'!$B$5:$B$804+'成交明细'!$C$5:$C$804),COUNTIFS('成交明细'!$A$5:$A$804,A58,'成交明细'!$D$5:$D$804,IF(F58="空","卖","买")))),1),'参数'!$B$39:$C$48,2,TRUE),"")))</f>
        <v/>
      </c>
      <c r="U58" s="35" t="str">
        <f>IF(A58="","",SUMIFS('成交明细'!$F$5:$F$804,'成交明细'!$A$5:$A$804,A58,'成交明细'!$D$5:$D$804,IF(F58="空","卖","买")))</f>
        <v/>
      </c>
      <c r="V58" s="39" t="str">
        <f>IF(N(U58)&gt;0,SUMIFS('成交明细'!$H$5:$H$804,'成交明细'!$A$5:$A$804,A58,'成交明细'!$D$5:$D$804,IF(F58="空","卖","买"))/U58,"")</f>
        <v/>
      </c>
      <c r="W58" s="35" t="str">
        <f>IF(A58="","",SUMIFS('成交明细'!$F$5:$F$804,'成交明细'!$A$5:$A$804,A58,'成交明细'!$D$5:$D$804,IF(F58="空","买","卖")))</f>
        <v/>
      </c>
      <c r="X58" s="39" t="str">
        <f>IF(N(W58)&gt;0,SUMIFS('成交明细'!$H$5:$H$804,'成交明细'!$A$5:$A$804,A58,'成交明细'!$D$5:$D$804,IF(F58="空","买","卖"))/W58,"")</f>
        <v/>
      </c>
      <c r="Y58" s="40" t="str">
        <f>IF(A58="","",IF(Q58&lt;&gt;"已执行",IF(Q58="","未填执行情况",Q58),IF(N(U58)=0,"待录成交",IF(N(W58)&gt;N(U58),"平仓多于开仓",IF(N(W58)&lt;N(U58),"持仓中","已平仓")))))</f>
        <v/>
      </c>
      <c r="Z58" s="41" t="str">
        <f>IF(N(U58)=0,"",SUMIFS('成交明细'!$L$5:$L$804,'成交明细'!$A$5:$A$804,A58))</f>
        <v/>
      </c>
      <c r="AA58" s="42" t="str">
        <f>IF(Y58&lt;&gt;"已平仓","",(SUMIFS('成交明细'!$H$5:$H$804,'成交明细'!$A$5:$A$804,A58,'成交明细'!$D$5:$D$804,"卖")-SUMIFS('成交明细'!$H$5:$H$804,'成交明细'!$A$5:$A$804,A58,'成交明细'!$D$5:$D$804,"买"))*IF(N(G58)&gt;0,G58,1)-Z58)</f>
        <v/>
      </c>
      <c r="AB58" s="43" t="str">
        <f>IF(AND(Y58="已平仓",ISNUMBER(O58)),(SUMIFS('成交明细'!$H$5:$H$804,'成交明细'!$A$5:$A$804,A58,'成交明细'!$D$5:$D$804,"卖")-SUMIFS('成交明细'!$H$5:$H$804,'成交明细'!$A$5:$A$804,A58,'成交明细'!$D$5:$D$804,"买"))*IF(N(G58)&gt;0,G58,1)/O58,"")</f>
        <v/>
      </c>
      <c r="AC58" s="43" t="str">
        <f>IF(AND(Y58="已平仓",ISNUMBER(O58)),AA58/O58,"")</f>
        <v/>
      </c>
      <c r="AD58" s="44" t="str">
        <f>IF(AND(ISNUMBER(V58),ISNUMBER(I58)),IF(F58="空",I58-V58,V58-I58),"")</f>
        <v/>
      </c>
      <c r="AE58" s="44" t="str">
        <f>IF(OR(NOT(ISNUMBER(AA58)),NOT(ISNUMBER(X58))),"",IF(AA58&lt;0,IF(F58="空",X58-J58,J58-X58),IF(NOT(ISNUMBER(K58)),"",IF(F58="空",X58-K58,K58-X58))))</f>
        <v/>
      </c>
      <c r="AF58" s="32" t="n"/>
      <c r="AG58" s="32" t="n"/>
      <c r="AH58" s="31" t="n"/>
      <c r="AI58" s="43" t="str">
        <f>IF(A58="","",SUM(AC$5:AC58))</f>
        <v/>
      </c>
      <c r="AJ58" s="45" t="str">
        <f>IF(A58="","",MAX(0,MAX(AI$5:AI58))-AI58)</f>
        <v/>
      </c>
    </row>
    <row r="59">
      <c r="A59" s="29" t="n"/>
      <c r="B59" s="30" t="n"/>
      <c r="C59" s="31" t="n"/>
      <c r="D59" s="32" t="n"/>
      <c r="E59" s="32" t="n"/>
      <c r="F59" s="32" t="n"/>
      <c r="G59" s="32" t="n"/>
      <c r="H59" s="32" t="n"/>
      <c r="I59" s="33" t="n"/>
      <c r="J59" s="33" t="n"/>
      <c r="K59" s="33" t="n"/>
      <c r="L59" s="34" t="str">
        <f>IF(AND(ISNUMBER(I59),ISNUMBER(J59),ISNUMBER(K59)),IF(OR(AND(F59="多",I59&gt;J59),AND(F59="空",I59&lt;J59)),ABS(K59-I59)/ABS(I59-J59),"止损方向不对"),"")</f>
        <v/>
      </c>
      <c r="M59" s="35" t="str">
        <f>IF(AND(ISNUMBER(I59),ISNUMBER(J59)),IF(I59=J59,"",IF(INT(ROUND('参数'!$C$7/(ABS(I59-J59)*IF(N(G59)&gt;0,G59,1)+2*(I59*IF(N(G59)&gt;0,G59,1)*'参数'!$C$12+'参数'!$C$13+'参数'!$C$14*IF(N(G59)&gt;0,G59,1)))/IF(N(H59)&gt;0,H59,1),6))*IF(N(H59)&gt;0,H59,1)&gt;0,INT(ROUND('参数'!$C$7/(ABS(I59-J59)*IF(N(G59)&gt;0,G59,1)+2*(I59*IF(N(G59)&gt;0,G59,1)*'参数'!$C$12+'参数'!$C$13+'参数'!$C$14*IF(N(G59)&gt;0,G59,1)))/IF(N(H59)&gt;0,H59,1),6))*IF(N(H59)&gt;0,H59,1),"预算不足，这笔不做")),"")</f>
        <v/>
      </c>
      <c r="N59" s="36" t="n"/>
      <c r="O59" s="20" t="str">
        <f>IF(AND(ISNUMBER(I59),ISNUMBER(J59),ISNUMBER(N59)),IF(AND(I59&lt;&gt;J59,N59&gt;0),ABS(I59-J59)*N59*IF(N(G59)&gt;0,G59,1),""),"")</f>
        <v/>
      </c>
      <c r="P59" s="31" t="n"/>
      <c r="Q59" s="32" t="n"/>
      <c r="R59" s="37" t="str">
        <f>IF(N(U59)&gt;0,SUMPRODUCT(LARGE(('成交明细'!$A$5:$A$804=A59)*('成交明细'!$D$5:$D$804=IF(F59="空","卖","买"))*'成交明细'!$B$5:$B$804,COUNTIFS('成交明细'!$A$5:$A$804,A59,'成交明细'!$D$5:$D$804,IF(F59="空","卖","买")))),"")</f>
        <v/>
      </c>
      <c r="S59" s="37" t="str">
        <f>IF(AND(N(U59)&gt;0,N(W59)&gt;=N(U59)),SUMPRODUCT(MAX(('成交明细'!$A$5:$A$804=A59)*('成交明细'!$D$5:$D$804=IF(F59="空","买","卖"))*'成交明细'!$B$5:$B$804)),"")</f>
        <v/>
      </c>
      <c r="T59" s="38" t="str">
        <f>IF(N(U59)=0,"",IF(SUMPRODUCT(('成交明细'!$A$5:$A$804=A59)*('成交明细'!$D$5:$D$804=IF(F59="空","卖","买"))*ISNUMBER('成交明细'!$C$5:$C$804))=0,"没填时间",IFERROR(VLOOKUP(MOD(SUMPRODUCT(LARGE(('成交明细'!$A$5:$A$804=A59)*('成交明细'!$D$5:$D$804=IF(F59="空","卖","买"))*('成交明细'!$B$5:$B$804+'成交明细'!$C$5:$C$804),COUNTIFS('成交明细'!$A$5:$A$804,A59,'成交明细'!$D$5:$D$804,IF(F59="空","卖","买")))),1),'参数'!$B$39:$C$48,2,TRUE),"")))</f>
        <v/>
      </c>
      <c r="U59" s="35" t="str">
        <f>IF(A59="","",SUMIFS('成交明细'!$F$5:$F$804,'成交明细'!$A$5:$A$804,A59,'成交明细'!$D$5:$D$804,IF(F59="空","卖","买")))</f>
        <v/>
      </c>
      <c r="V59" s="39" t="str">
        <f>IF(N(U59)&gt;0,SUMIFS('成交明细'!$H$5:$H$804,'成交明细'!$A$5:$A$804,A59,'成交明细'!$D$5:$D$804,IF(F59="空","卖","买"))/U59,"")</f>
        <v/>
      </c>
      <c r="W59" s="35" t="str">
        <f>IF(A59="","",SUMIFS('成交明细'!$F$5:$F$804,'成交明细'!$A$5:$A$804,A59,'成交明细'!$D$5:$D$804,IF(F59="空","买","卖")))</f>
        <v/>
      </c>
      <c r="X59" s="39" t="str">
        <f>IF(N(W59)&gt;0,SUMIFS('成交明细'!$H$5:$H$804,'成交明细'!$A$5:$A$804,A59,'成交明细'!$D$5:$D$804,IF(F59="空","买","卖"))/W59,"")</f>
        <v/>
      </c>
      <c r="Y59" s="40" t="str">
        <f>IF(A59="","",IF(Q59&lt;&gt;"已执行",IF(Q59="","未填执行情况",Q59),IF(N(U59)=0,"待录成交",IF(N(W59)&gt;N(U59),"平仓多于开仓",IF(N(W59)&lt;N(U59),"持仓中","已平仓")))))</f>
        <v/>
      </c>
      <c r="Z59" s="41" t="str">
        <f>IF(N(U59)=0,"",SUMIFS('成交明细'!$L$5:$L$804,'成交明细'!$A$5:$A$804,A59))</f>
        <v/>
      </c>
      <c r="AA59" s="42" t="str">
        <f>IF(Y59&lt;&gt;"已平仓","",(SUMIFS('成交明细'!$H$5:$H$804,'成交明细'!$A$5:$A$804,A59,'成交明细'!$D$5:$D$804,"卖")-SUMIFS('成交明细'!$H$5:$H$804,'成交明细'!$A$5:$A$804,A59,'成交明细'!$D$5:$D$804,"买"))*IF(N(G59)&gt;0,G59,1)-Z59)</f>
        <v/>
      </c>
      <c r="AB59" s="43" t="str">
        <f>IF(AND(Y59="已平仓",ISNUMBER(O59)),(SUMIFS('成交明细'!$H$5:$H$804,'成交明细'!$A$5:$A$804,A59,'成交明细'!$D$5:$D$804,"卖")-SUMIFS('成交明细'!$H$5:$H$804,'成交明细'!$A$5:$A$804,A59,'成交明细'!$D$5:$D$804,"买"))*IF(N(G59)&gt;0,G59,1)/O59,"")</f>
        <v/>
      </c>
      <c r="AC59" s="43" t="str">
        <f>IF(AND(Y59="已平仓",ISNUMBER(O59)),AA59/O59,"")</f>
        <v/>
      </c>
      <c r="AD59" s="44" t="str">
        <f>IF(AND(ISNUMBER(V59),ISNUMBER(I59)),IF(F59="空",I59-V59,V59-I59),"")</f>
        <v/>
      </c>
      <c r="AE59" s="44" t="str">
        <f>IF(OR(NOT(ISNUMBER(AA59)),NOT(ISNUMBER(X59))),"",IF(AA59&lt;0,IF(F59="空",X59-J59,J59-X59),IF(NOT(ISNUMBER(K59)),"",IF(F59="空",X59-K59,K59-X59))))</f>
        <v/>
      </c>
      <c r="AF59" s="32" t="n"/>
      <c r="AG59" s="32" t="n"/>
      <c r="AH59" s="31" t="n"/>
      <c r="AI59" s="43" t="str">
        <f>IF(A59="","",SUM(AC$5:AC59))</f>
        <v/>
      </c>
      <c r="AJ59" s="45" t="str">
        <f>IF(A59="","",MAX(0,MAX(AI$5:AI59))-AI59)</f>
        <v/>
      </c>
    </row>
    <row r="60">
      <c r="A60" s="29" t="n"/>
      <c r="B60" s="30" t="n"/>
      <c r="C60" s="31" t="n"/>
      <c r="D60" s="32" t="n"/>
      <c r="E60" s="32" t="n"/>
      <c r="F60" s="32" t="n"/>
      <c r="G60" s="32" t="n"/>
      <c r="H60" s="32" t="n"/>
      <c r="I60" s="33" t="n"/>
      <c r="J60" s="33" t="n"/>
      <c r="K60" s="33" t="n"/>
      <c r="L60" s="34" t="str">
        <f>IF(AND(ISNUMBER(I60),ISNUMBER(J60),ISNUMBER(K60)),IF(OR(AND(F60="多",I60&gt;J60),AND(F60="空",I60&lt;J60)),ABS(K60-I60)/ABS(I60-J60),"止损方向不对"),"")</f>
        <v/>
      </c>
      <c r="M60" s="35" t="str">
        <f>IF(AND(ISNUMBER(I60),ISNUMBER(J60)),IF(I60=J60,"",IF(INT(ROUND('参数'!$C$7/(ABS(I60-J60)*IF(N(G60)&gt;0,G60,1)+2*(I60*IF(N(G60)&gt;0,G60,1)*'参数'!$C$12+'参数'!$C$13+'参数'!$C$14*IF(N(G60)&gt;0,G60,1)))/IF(N(H60)&gt;0,H60,1),6))*IF(N(H60)&gt;0,H60,1)&gt;0,INT(ROUND('参数'!$C$7/(ABS(I60-J60)*IF(N(G60)&gt;0,G60,1)+2*(I60*IF(N(G60)&gt;0,G60,1)*'参数'!$C$12+'参数'!$C$13+'参数'!$C$14*IF(N(G60)&gt;0,G60,1)))/IF(N(H60)&gt;0,H60,1),6))*IF(N(H60)&gt;0,H60,1),"预算不足，这笔不做")),"")</f>
        <v/>
      </c>
      <c r="N60" s="36" t="n"/>
      <c r="O60" s="20" t="str">
        <f>IF(AND(ISNUMBER(I60),ISNUMBER(J60),ISNUMBER(N60)),IF(AND(I60&lt;&gt;J60,N60&gt;0),ABS(I60-J60)*N60*IF(N(G60)&gt;0,G60,1),""),"")</f>
        <v/>
      </c>
      <c r="P60" s="31" t="n"/>
      <c r="Q60" s="32" t="n"/>
      <c r="R60" s="37" t="str">
        <f>IF(N(U60)&gt;0,SUMPRODUCT(LARGE(('成交明细'!$A$5:$A$804=A60)*('成交明细'!$D$5:$D$804=IF(F60="空","卖","买"))*'成交明细'!$B$5:$B$804,COUNTIFS('成交明细'!$A$5:$A$804,A60,'成交明细'!$D$5:$D$804,IF(F60="空","卖","买")))),"")</f>
        <v/>
      </c>
      <c r="S60" s="37" t="str">
        <f>IF(AND(N(U60)&gt;0,N(W60)&gt;=N(U60)),SUMPRODUCT(MAX(('成交明细'!$A$5:$A$804=A60)*('成交明细'!$D$5:$D$804=IF(F60="空","买","卖"))*'成交明细'!$B$5:$B$804)),"")</f>
        <v/>
      </c>
      <c r="T60" s="38" t="str">
        <f>IF(N(U60)=0,"",IF(SUMPRODUCT(('成交明细'!$A$5:$A$804=A60)*('成交明细'!$D$5:$D$804=IF(F60="空","卖","买"))*ISNUMBER('成交明细'!$C$5:$C$804))=0,"没填时间",IFERROR(VLOOKUP(MOD(SUMPRODUCT(LARGE(('成交明细'!$A$5:$A$804=A60)*('成交明细'!$D$5:$D$804=IF(F60="空","卖","买"))*('成交明细'!$B$5:$B$804+'成交明细'!$C$5:$C$804),COUNTIFS('成交明细'!$A$5:$A$804,A60,'成交明细'!$D$5:$D$804,IF(F60="空","卖","买")))),1),'参数'!$B$39:$C$48,2,TRUE),"")))</f>
        <v/>
      </c>
      <c r="U60" s="35" t="str">
        <f>IF(A60="","",SUMIFS('成交明细'!$F$5:$F$804,'成交明细'!$A$5:$A$804,A60,'成交明细'!$D$5:$D$804,IF(F60="空","卖","买")))</f>
        <v/>
      </c>
      <c r="V60" s="39" t="str">
        <f>IF(N(U60)&gt;0,SUMIFS('成交明细'!$H$5:$H$804,'成交明细'!$A$5:$A$804,A60,'成交明细'!$D$5:$D$804,IF(F60="空","卖","买"))/U60,"")</f>
        <v/>
      </c>
      <c r="W60" s="35" t="str">
        <f>IF(A60="","",SUMIFS('成交明细'!$F$5:$F$804,'成交明细'!$A$5:$A$804,A60,'成交明细'!$D$5:$D$804,IF(F60="空","买","卖")))</f>
        <v/>
      </c>
      <c r="X60" s="39" t="str">
        <f>IF(N(W60)&gt;0,SUMIFS('成交明细'!$H$5:$H$804,'成交明细'!$A$5:$A$804,A60,'成交明细'!$D$5:$D$804,IF(F60="空","买","卖"))/W60,"")</f>
        <v/>
      </c>
      <c r="Y60" s="40" t="str">
        <f>IF(A60="","",IF(Q60&lt;&gt;"已执行",IF(Q60="","未填执行情况",Q60),IF(N(U60)=0,"待录成交",IF(N(W60)&gt;N(U60),"平仓多于开仓",IF(N(W60)&lt;N(U60),"持仓中","已平仓")))))</f>
        <v/>
      </c>
      <c r="Z60" s="41" t="str">
        <f>IF(N(U60)=0,"",SUMIFS('成交明细'!$L$5:$L$804,'成交明细'!$A$5:$A$804,A60))</f>
        <v/>
      </c>
      <c r="AA60" s="42" t="str">
        <f>IF(Y60&lt;&gt;"已平仓","",(SUMIFS('成交明细'!$H$5:$H$804,'成交明细'!$A$5:$A$804,A60,'成交明细'!$D$5:$D$804,"卖")-SUMIFS('成交明细'!$H$5:$H$804,'成交明细'!$A$5:$A$804,A60,'成交明细'!$D$5:$D$804,"买"))*IF(N(G60)&gt;0,G60,1)-Z60)</f>
        <v/>
      </c>
      <c r="AB60" s="43" t="str">
        <f>IF(AND(Y60="已平仓",ISNUMBER(O60)),(SUMIFS('成交明细'!$H$5:$H$804,'成交明细'!$A$5:$A$804,A60,'成交明细'!$D$5:$D$804,"卖")-SUMIFS('成交明细'!$H$5:$H$804,'成交明细'!$A$5:$A$804,A60,'成交明细'!$D$5:$D$804,"买"))*IF(N(G60)&gt;0,G60,1)/O60,"")</f>
        <v/>
      </c>
      <c r="AC60" s="43" t="str">
        <f>IF(AND(Y60="已平仓",ISNUMBER(O60)),AA60/O60,"")</f>
        <v/>
      </c>
      <c r="AD60" s="44" t="str">
        <f>IF(AND(ISNUMBER(V60),ISNUMBER(I60)),IF(F60="空",I60-V60,V60-I60),"")</f>
        <v/>
      </c>
      <c r="AE60" s="44" t="str">
        <f>IF(OR(NOT(ISNUMBER(AA60)),NOT(ISNUMBER(X60))),"",IF(AA60&lt;0,IF(F60="空",X60-J60,J60-X60),IF(NOT(ISNUMBER(K60)),"",IF(F60="空",X60-K60,K60-X60))))</f>
        <v/>
      </c>
      <c r="AF60" s="32" t="n"/>
      <c r="AG60" s="32" t="n"/>
      <c r="AH60" s="31" t="n"/>
      <c r="AI60" s="43" t="str">
        <f>IF(A60="","",SUM(AC$5:AC60))</f>
        <v/>
      </c>
      <c r="AJ60" s="45" t="str">
        <f>IF(A60="","",MAX(0,MAX(AI$5:AI60))-AI60)</f>
        <v/>
      </c>
    </row>
    <row r="61">
      <c r="A61" s="29" t="n"/>
      <c r="B61" s="30" t="n"/>
      <c r="C61" s="31" t="n"/>
      <c r="D61" s="32" t="n"/>
      <c r="E61" s="32" t="n"/>
      <c r="F61" s="32" t="n"/>
      <c r="G61" s="32" t="n"/>
      <c r="H61" s="32" t="n"/>
      <c r="I61" s="33" t="n"/>
      <c r="J61" s="33" t="n"/>
      <c r="K61" s="33" t="n"/>
      <c r="L61" s="34" t="str">
        <f>IF(AND(ISNUMBER(I61),ISNUMBER(J61),ISNUMBER(K61)),IF(OR(AND(F61="多",I61&gt;J61),AND(F61="空",I61&lt;J61)),ABS(K61-I61)/ABS(I61-J61),"止损方向不对"),"")</f>
        <v/>
      </c>
      <c r="M61" s="35" t="str">
        <f>IF(AND(ISNUMBER(I61),ISNUMBER(J61)),IF(I61=J61,"",IF(INT(ROUND('参数'!$C$7/(ABS(I61-J61)*IF(N(G61)&gt;0,G61,1)+2*(I61*IF(N(G61)&gt;0,G61,1)*'参数'!$C$12+'参数'!$C$13+'参数'!$C$14*IF(N(G61)&gt;0,G61,1)))/IF(N(H61)&gt;0,H61,1),6))*IF(N(H61)&gt;0,H61,1)&gt;0,INT(ROUND('参数'!$C$7/(ABS(I61-J61)*IF(N(G61)&gt;0,G61,1)+2*(I61*IF(N(G61)&gt;0,G61,1)*'参数'!$C$12+'参数'!$C$13+'参数'!$C$14*IF(N(G61)&gt;0,G61,1)))/IF(N(H61)&gt;0,H61,1),6))*IF(N(H61)&gt;0,H61,1),"预算不足，这笔不做")),"")</f>
        <v/>
      </c>
      <c r="N61" s="36" t="n"/>
      <c r="O61" s="20" t="str">
        <f>IF(AND(ISNUMBER(I61),ISNUMBER(J61),ISNUMBER(N61)),IF(AND(I61&lt;&gt;J61,N61&gt;0),ABS(I61-J61)*N61*IF(N(G61)&gt;0,G61,1),""),"")</f>
        <v/>
      </c>
      <c r="P61" s="31" t="n"/>
      <c r="Q61" s="32" t="n"/>
      <c r="R61" s="37" t="str">
        <f>IF(N(U61)&gt;0,SUMPRODUCT(LARGE(('成交明细'!$A$5:$A$804=A61)*('成交明细'!$D$5:$D$804=IF(F61="空","卖","买"))*'成交明细'!$B$5:$B$804,COUNTIFS('成交明细'!$A$5:$A$804,A61,'成交明细'!$D$5:$D$804,IF(F61="空","卖","买")))),"")</f>
        <v/>
      </c>
      <c r="S61" s="37" t="str">
        <f>IF(AND(N(U61)&gt;0,N(W61)&gt;=N(U61)),SUMPRODUCT(MAX(('成交明细'!$A$5:$A$804=A61)*('成交明细'!$D$5:$D$804=IF(F61="空","买","卖"))*'成交明细'!$B$5:$B$804)),"")</f>
        <v/>
      </c>
      <c r="T61" s="38" t="str">
        <f>IF(N(U61)=0,"",IF(SUMPRODUCT(('成交明细'!$A$5:$A$804=A61)*('成交明细'!$D$5:$D$804=IF(F61="空","卖","买"))*ISNUMBER('成交明细'!$C$5:$C$804))=0,"没填时间",IFERROR(VLOOKUP(MOD(SUMPRODUCT(LARGE(('成交明细'!$A$5:$A$804=A61)*('成交明细'!$D$5:$D$804=IF(F61="空","卖","买"))*('成交明细'!$B$5:$B$804+'成交明细'!$C$5:$C$804),COUNTIFS('成交明细'!$A$5:$A$804,A61,'成交明细'!$D$5:$D$804,IF(F61="空","卖","买")))),1),'参数'!$B$39:$C$48,2,TRUE),"")))</f>
        <v/>
      </c>
      <c r="U61" s="35" t="str">
        <f>IF(A61="","",SUMIFS('成交明细'!$F$5:$F$804,'成交明细'!$A$5:$A$804,A61,'成交明细'!$D$5:$D$804,IF(F61="空","卖","买")))</f>
        <v/>
      </c>
      <c r="V61" s="39" t="str">
        <f>IF(N(U61)&gt;0,SUMIFS('成交明细'!$H$5:$H$804,'成交明细'!$A$5:$A$804,A61,'成交明细'!$D$5:$D$804,IF(F61="空","卖","买"))/U61,"")</f>
        <v/>
      </c>
      <c r="W61" s="35" t="str">
        <f>IF(A61="","",SUMIFS('成交明细'!$F$5:$F$804,'成交明细'!$A$5:$A$804,A61,'成交明细'!$D$5:$D$804,IF(F61="空","买","卖")))</f>
        <v/>
      </c>
      <c r="X61" s="39" t="str">
        <f>IF(N(W61)&gt;0,SUMIFS('成交明细'!$H$5:$H$804,'成交明细'!$A$5:$A$804,A61,'成交明细'!$D$5:$D$804,IF(F61="空","买","卖"))/W61,"")</f>
        <v/>
      </c>
      <c r="Y61" s="40" t="str">
        <f>IF(A61="","",IF(Q61&lt;&gt;"已执行",IF(Q61="","未填执行情况",Q61),IF(N(U61)=0,"待录成交",IF(N(W61)&gt;N(U61),"平仓多于开仓",IF(N(W61)&lt;N(U61),"持仓中","已平仓")))))</f>
        <v/>
      </c>
      <c r="Z61" s="41" t="str">
        <f>IF(N(U61)=0,"",SUMIFS('成交明细'!$L$5:$L$804,'成交明细'!$A$5:$A$804,A61))</f>
        <v/>
      </c>
      <c r="AA61" s="42" t="str">
        <f>IF(Y61&lt;&gt;"已平仓","",(SUMIFS('成交明细'!$H$5:$H$804,'成交明细'!$A$5:$A$804,A61,'成交明细'!$D$5:$D$804,"卖")-SUMIFS('成交明细'!$H$5:$H$804,'成交明细'!$A$5:$A$804,A61,'成交明细'!$D$5:$D$804,"买"))*IF(N(G61)&gt;0,G61,1)-Z61)</f>
        <v/>
      </c>
      <c r="AB61" s="43" t="str">
        <f>IF(AND(Y61="已平仓",ISNUMBER(O61)),(SUMIFS('成交明细'!$H$5:$H$804,'成交明细'!$A$5:$A$804,A61,'成交明细'!$D$5:$D$804,"卖")-SUMIFS('成交明细'!$H$5:$H$804,'成交明细'!$A$5:$A$804,A61,'成交明细'!$D$5:$D$804,"买"))*IF(N(G61)&gt;0,G61,1)/O61,"")</f>
        <v/>
      </c>
      <c r="AC61" s="43" t="str">
        <f>IF(AND(Y61="已平仓",ISNUMBER(O61)),AA61/O61,"")</f>
        <v/>
      </c>
      <c r="AD61" s="44" t="str">
        <f>IF(AND(ISNUMBER(V61),ISNUMBER(I61)),IF(F61="空",I61-V61,V61-I61),"")</f>
        <v/>
      </c>
      <c r="AE61" s="44" t="str">
        <f>IF(OR(NOT(ISNUMBER(AA61)),NOT(ISNUMBER(X61))),"",IF(AA61&lt;0,IF(F61="空",X61-J61,J61-X61),IF(NOT(ISNUMBER(K61)),"",IF(F61="空",X61-K61,K61-X61))))</f>
        <v/>
      </c>
      <c r="AF61" s="32" t="n"/>
      <c r="AG61" s="32" t="n"/>
      <c r="AH61" s="31" t="n"/>
      <c r="AI61" s="43" t="str">
        <f>IF(A61="","",SUM(AC$5:AC61))</f>
        <v/>
      </c>
      <c r="AJ61" s="45" t="str">
        <f>IF(A61="","",MAX(0,MAX(AI$5:AI61))-AI61)</f>
        <v/>
      </c>
    </row>
    <row r="62">
      <c r="A62" s="29" t="n"/>
      <c r="B62" s="30" t="n"/>
      <c r="C62" s="31" t="n"/>
      <c r="D62" s="32" t="n"/>
      <c r="E62" s="32" t="n"/>
      <c r="F62" s="32" t="n"/>
      <c r="G62" s="32" t="n"/>
      <c r="H62" s="32" t="n"/>
      <c r="I62" s="33" t="n"/>
      <c r="J62" s="33" t="n"/>
      <c r="K62" s="33" t="n"/>
      <c r="L62" s="34" t="str">
        <f>IF(AND(ISNUMBER(I62),ISNUMBER(J62),ISNUMBER(K62)),IF(OR(AND(F62="多",I62&gt;J62),AND(F62="空",I62&lt;J62)),ABS(K62-I62)/ABS(I62-J62),"止损方向不对"),"")</f>
        <v/>
      </c>
      <c r="M62" s="35" t="str">
        <f>IF(AND(ISNUMBER(I62),ISNUMBER(J62)),IF(I62=J62,"",IF(INT(ROUND('参数'!$C$7/(ABS(I62-J62)*IF(N(G62)&gt;0,G62,1)+2*(I62*IF(N(G62)&gt;0,G62,1)*'参数'!$C$12+'参数'!$C$13+'参数'!$C$14*IF(N(G62)&gt;0,G62,1)))/IF(N(H62)&gt;0,H62,1),6))*IF(N(H62)&gt;0,H62,1)&gt;0,INT(ROUND('参数'!$C$7/(ABS(I62-J62)*IF(N(G62)&gt;0,G62,1)+2*(I62*IF(N(G62)&gt;0,G62,1)*'参数'!$C$12+'参数'!$C$13+'参数'!$C$14*IF(N(G62)&gt;0,G62,1)))/IF(N(H62)&gt;0,H62,1),6))*IF(N(H62)&gt;0,H62,1),"预算不足，这笔不做")),"")</f>
        <v/>
      </c>
      <c r="N62" s="36" t="n"/>
      <c r="O62" s="20" t="str">
        <f>IF(AND(ISNUMBER(I62),ISNUMBER(J62),ISNUMBER(N62)),IF(AND(I62&lt;&gt;J62,N62&gt;0),ABS(I62-J62)*N62*IF(N(G62)&gt;0,G62,1),""),"")</f>
        <v/>
      </c>
      <c r="P62" s="31" t="n"/>
      <c r="Q62" s="32" t="n"/>
      <c r="R62" s="37" t="str">
        <f>IF(N(U62)&gt;0,SUMPRODUCT(LARGE(('成交明细'!$A$5:$A$804=A62)*('成交明细'!$D$5:$D$804=IF(F62="空","卖","买"))*'成交明细'!$B$5:$B$804,COUNTIFS('成交明细'!$A$5:$A$804,A62,'成交明细'!$D$5:$D$804,IF(F62="空","卖","买")))),"")</f>
        <v/>
      </c>
      <c r="S62" s="37" t="str">
        <f>IF(AND(N(U62)&gt;0,N(W62)&gt;=N(U62)),SUMPRODUCT(MAX(('成交明细'!$A$5:$A$804=A62)*('成交明细'!$D$5:$D$804=IF(F62="空","买","卖"))*'成交明细'!$B$5:$B$804)),"")</f>
        <v/>
      </c>
      <c r="T62" s="38" t="str">
        <f>IF(N(U62)=0,"",IF(SUMPRODUCT(('成交明细'!$A$5:$A$804=A62)*('成交明细'!$D$5:$D$804=IF(F62="空","卖","买"))*ISNUMBER('成交明细'!$C$5:$C$804))=0,"没填时间",IFERROR(VLOOKUP(MOD(SUMPRODUCT(LARGE(('成交明细'!$A$5:$A$804=A62)*('成交明细'!$D$5:$D$804=IF(F62="空","卖","买"))*('成交明细'!$B$5:$B$804+'成交明细'!$C$5:$C$804),COUNTIFS('成交明细'!$A$5:$A$804,A62,'成交明细'!$D$5:$D$804,IF(F62="空","卖","买")))),1),'参数'!$B$39:$C$48,2,TRUE),"")))</f>
        <v/>
      </c>
      <c r="U62" s="35" t="str">
        <f>IF(A62="","",SUMIFS('成交明细'!$F$5:$F$804,'成交明细'!$A$5:$A$804,A62,'成交明细'!$D$5:$D$804,IF(F62="空","卖","买")))</f>
        <v/>
      </c>
      <c r="V62" s="39" t="str">
        <f>IF(N(U62)&gt;0,SUMIFS('成交明细'!$H$5:$H$804,'成交明细'!$A$5:$A$804,A62,'成交明细'!$D$5:$D$804,IF(F62="空","卖","买"))/U62,"")</f>
        <v/>
      </c>
      <c r="W62" s="35" t="str">
        <f>IF(A62="","",SUMIFS('成交明细'!$F$5:$F$804,'成交明细'!$A$5:$A$804,A62,'成交明细'!$D$5:$D$804,IF(F62="空","买","卖")))</f>
        <v/>
      </c>
      <c r="X62" s="39" t="str">
        <f>IF(N(W62)&gt;0,SUMIFS('成交明细'!$H$5:$H$804,'成交明细'!$A$5:$A$804,A62,'成交明细'!$D$5:$D$804,IF(F62="空","买","卖"))/W62,"")</f>
        <v/>
      </c>
      <c r="Y62" s="40" t="str">
        <f>IF(A62="","",IF(Q62&lt;&gt;"已执行",IF(Q62="","未填执行情况",Q62),IF(N(U62)=0,"待录成交",IF(N(W62)&gt;N(U62),"平仓多于开仓",IF(N(W62)&lt;N(U62),"持仓中","已平仓")))))</f>
        <v/>
      </c>
      <c r="Z62" s="41" t="str">
        <f>IF(N(U62)=0,"",SUMIFS('成交明细'!$L$5:$L$804,'成交明细'!$A$5:$A$804,A62))</f>
        <v/>
      </c>
      <c r="AA62" s="42" t="str">
        <f>IF(Y62&lt;&gt;"已平仓","",(SUMIFS('成交明细'!$H$5:$H$804,'成交明细'!$A$5:$A$804,A62,'成交明细'!$D$5:$D$804,"卖")-SUMIFS('成交明细'!$H$5:$H$804,'成交明细'!$A$5:$A$804,A62,'成交明细'!$D$5:$D$804,"买"))*IF(N(G62)&gt;0,G62,1)-Z62)</f>
        <v/>
      </c>
      <c r="AB62" s="43" t="str">
        <f>IF(AND(Y62="已平仓",ISNUMBER(O62)),(SUMIFS('成交明细'!$H$5:$H$804,'成交明细'!$A$5:$A$804,A62,'成交明细'!$D$5:$D$804,"卖")-SUMIFS('成交明细'!$H$5:$H$804,'成交明细'!$A$5:$A$804,A62,'成交明细'!$D$5:$D$804,"买"))*IF(N(G62)&gt;0,G62,1)/O62,"")</f>
        <v/>
      </c>
      <c r="AC62" s="43" t="str">
        <f>IF(AND(Y62="已平仓",ISNUMBER(O62)),AA62/O62,"")</f>
        <v/>
      </c>
      <c r="AD62" s="44" t="str">
        <f>IF(AND(ISNUMBER(V62),ISNUMBER(I62)),IF(F62="空",I62-V62,V62-I62),"")</f>
        <v/>
      </c>
      <c r="AE62" s="44" t="str">
        <f>IF(OR(NOT(ISNUMBER(AA62)),NOT(ISNUMBER(X62))),"",IF(AA62&lt;0,IF(F62="空",X62-J62,J62-X62),IF(NOT(ISNUMBER(K62)),"",IF(F62="空",X62-K62,K62-X62))))</f>
        <v/>
      </c>
      <c r="AF62" s="32" t="n"/>
      <c r="AG62" s="32" t="n"/>
      <c r="AH62" s="31" t="n"/>
      <c r="AI62" s="43" t="str">
        <f>IF(A62="","",SUM(AC$5:AC62))</f>
        <v/>
      </c>
      <c r="AJ62" s="45" t="str">
        <f>IF(A62="","",MAX(0,MAX(AI$5:AI62))-AI62)</f>
        <v/>
      </c>
    </row>
    <row r="63">
      <c r="A63" s="29" t="n"/>
      <c r="B63" s="30" t="n"/>
      <c r="C63" s="31" t="n"/>
      <c r="D63" s="32" t="n"/>
      <c r="E63" s="32" t="n"/>
      <c r="F63" s="32" t="n"/>
      <c r="G63" s="32" t="n"/>
      <c r="H63" s="32" t="n"/>
      <c r="I63" s="33" t="n"/>
      <c r="J63" s="33" t="n"/>
      <c r="K63" s="33" t="n"/>
      <c r="L63" s="34" t="str">
        <f>IF(AND(ISNUMBER(I63),ISNUMBER(J63),ISNUMBER(K63)),IF(OR(AND(F63="多",I63&gt;J63),AND(F63="空",I63&lt;J63)),ABS(K63-I63)/ABS(I63-J63),"止损方向不对"),"")</f>
        <v/>
      </c>
      <c r="M63" s="35" t="str">
        <f>IF(AND(ISNUMBER(I63),ISNUMBER(J63)),IF(I63=J63,"",IF(INT(ROUND('参数'!$C$7/(ABS(I63-J63)*IF(N(G63)&gt;0,G63,1)+2*(I63*IF(N(G63)&gt;0,G63,1)*'参数'!$C$12+'参数'!$C$13+'参数'!$C$14*IF(N(G63)&gt;0,G63,1)))/IF(N(H63)&gt;0,H63,1),6))*IF(N(H63)&gt;0,H63,1)&gt;0,INT(ROUND('参数'!$C$7/(ABS(I63-J63)*IF(N(G63)&gt;0,G63,1)+2*(I63*IF(N(G63)&gt;0,G63,1)*'参数'!$C$12+'参数'!$C$13+'参数'!$C$14*IF(N(G63)&gt;0,G63,1)))/IF(N(H63)&gt;0,H63,1),6))*IF(N(H63)&gt;0,H63,1),"预算不足，这笔不做")),"")</f>
        <v/>
      </c>
      <c r="N63" s="36" t="n"/>
      <c r="O63" s="20" t="str">
        <f>IF(AND(ISNUMBER(I63),ISNUMBER(J63),ISNUMBER(N63)),IF(AND(I63&lt;&gt;J63,N63&gt;0),ABS(I63-J63)*N63*IF(N(G63)&gt;0,G63,1),""),"")</f>
        <v/>
      </c>
      <c r="P63" s="31" t="n"/>
      <c r="Q63" s="32" t="n"/>
      <c r="R63" s="37" t="str">
        <f>IF(N(U63)&gt;0,SUMPRODUCT(LARGE(('成交明细'!$A$5:$A$804=A63)*('成交明细'!$D$5:$D$804=IF(F63="空","卖","买"))*'成交明细'!$B$5:$B$804,COUNTIFS('成交明细'!$A$5:$A$804,A63,'成交明细'!$D$5:$D$804,IF(F63="空","卖","买")))),"")</f>
        <v/>
      </c>
      <c r="S63" s="37" t="str">
        <f>IF(AND(N(U63)&gt;0,N(W63)&gt;=N(U63)),SUMPRODUCT(MAX(('成交明细'!$A$5:$A$804=A63)*('成交明细'!$D$5:$D$804=IF(F63="空","买","卖"))*'成交明细'!$B$5:$B$804)),"")</f>
        <v/>
      </c>
      <c r="T63" s="38" t="str">
        <f>IF(N(U63)=0,"",IF(SUMPRODUCT(('成交明细'!$A$5:$A$804=A63)*('成交明细'!$D$5:$D$804=IF(F63="空","卖","买"))*ISNUMBER('成交明细'!$C$5:$C$804))=0,"没填时间",IFERROR(VLOOKUP(MOD(SUMPRODUCT(LARGE(('成交明细'!$A$5:$A$804=A63)*('成交明细'!$D$5:$D$804=IF(F63="空","卖","买"))*('成交明细'!$B$5:$B$804+'成交明细'!$C$5:$C$804),COUNTIFS('成交明细'!$A$5:$A$804,A63,'成交明细'!$D$5:$D$804,IF(F63="空","卖","买")))),1),'参数'!$B$39:$C$48,2,TRUE),"")))</f>
        <v/>
      </c>
      <c r="U63" s="35" t="str">
        <f>IF(A63="","",SUMIFS('成交明细'!$F$5:$F$804,'成交明细'!$A$5:$A$804,A63,'成交明细'!$D$5:$D$804,IF(F63="空","卖","买")))</f>
        <v/>
      </c>
      <c r="V63" s="39" t="str">
        <f>IF(N(U63)&gt;0,SUMIFS('成交明细'!$H$5:$H$804,'成交明细'!$A$5:$A$804,A63,'成交明细'!$D$5:$D$804,IF(F63="空","卖","买"))/U63,"")</f>
        <v/>
      </c>
      <c r="W63" s="35" t="str">
        <f>IF(A63="","",SUMIFS('成交明细'!$F$5:$F$804,'成交明细'!$A$5:$A$804,A63,'成交明细'!$D$5:$D$804,IF(F63="空","买","卖")))</f>
        <v/>
      </c>
      <c r="X63" s="39" t="str">
        <f>IF(N(W63)&gt;0,SUMIFS('成交明细'!$H$5:$H$804,'成交明细'!$A$5:$A$804,A63,'成交明细'!$D$5:$D$804,IF(F63="空","买","卖"))/W63,"")</f>
        <v/>
      </c>
      <c r="Y63" s="40" t="str">
        <f>IF(A63="","",IF(Q63&lt;&gt;"已执行",IF(Q63="","未填执行情况",Q63),IF(N(U63)=0,"待录成交",IF(N(W63)&gt;N(U63),"平仓多于开仓",IF(N(W63)&lt;N(U63),"持仓中","已平仓")))))</f>
        <v/>
      </c>
      <c r="Z63" s="41" t="str">
        <f>IF(N(U63)=0,"",SUMIFS('成交明细'!$L$5:$L$804,'成交明细'!$A$5:$A$804,A63))</f>
        <v/>
      </c>
      <c r="AA63" s="42" t="str">
        <f>IF(Y63&lt;&gt;"已平仓","",(SUMIFS('成交明细'!$H$5:$H$804,'成交明细'!$A$5:$A$804,A63,'成交明细'!$D$5:$D$804,"卖")-SUMIFS('成交明细'!$H$5:$H$804,'成交明细'!$A$5:$A$804,A63,'成交明细'!$D$5:$D$804,"买"))*IF(N(G63)&gt;0,G63,1)-Z63)</f>
        <v/>
      </c>
      <c r="AB63" s="43" t="str">
        <f>IF(AND(Y63="已平仓",ISNUMBER(O63)),(SUMIFS('成交明细'!$H$5:$H$804,'成交明细'!$A$5:$A$804,A63,'成交明细'!$D$5:$D$804,"卖")-SUMIFS('成交明细'!$H$5:$H$804,'成交明细'!$A$5:$A$804,A63,'成交明细'!$D$5:$D$804,"买"))*IF(N(G63)&gt;0,G63,1)/O63,"")</f>
        <v/>
      </c>
      <c r="AC63" s="43" t="str">
        <f>IF(AND(Y63="已平仓",ISNUMBER(O63)),AA63/O63,"")</f>
        <v/>
      </c>
      <c r="AD63" s="44" t="str">
        <f>IF(AND(ISNUMBER(V63),ISNUMBER(I63)),IF(F63="空",I63-V63,V63-I63),"")</f>
        <v/>
      </c>
      <c r="AE63" s="44" t="str">
        <f>IF(OR(NOT(ISNUMBER(AA63)),NOT(ISNUMBER(X63))),"",IF(AA63&lt;0,IF(F63="空",X63-J63,J63-X63),IF(NOT(ISNUMBER(K63)),"",IF(F63="空",X63-K63,K63-X63))))</f>
        <v/>
      </c>
      <c r="AF63" s="32" t="n"/>
      <c r="AG63" s="32" t="n"/>
      <c r="AH63" s="31" t="n"/>
      <c r="AI63" s="43" t="str">
        <f>IF(A63="","",SUM(AC$5:AC63))</f>
        <v/>
      </c>
      <c r="AJ63" s="45" t="str">
        <f>IF(A63="","",MAX(0,MAX(AI$5:AI63))-AI63)</f>
        <v/>
      </c>
    </row>
    <row r="64">
      <c r="A64" s="29" t="n"/>
      <c r="B64" s="30" t="n"/>
      <c r="C64" s="31" t="n"/>
      <c r="D64" s="32" t="n"/>
      <c r="E64" s="32" t="n"/>
      <c r="F64" s="32" t="n"/>
      <c r="G64" s="32" t="n"/>
      <c r="H64" s="32" t="n"/>
      <c r="I64" s="33" t="n"/>
      <c r="J64" s="33" t="n"/>
      <c r="K64" s="33" t="n"/>
      <c r="L64" s="34" t="str">
        <f>IF(AND(ISNUMBER(I64),ISNUMBER(J64),ISNUMBER(K64)),IF(OR(AND(F64="多",I64&gt;J64),AND(F64="空",I64&lt;J64)),ABS(K64-I64)/ABS(I64-J64),"止损方向不对"),"")</f>
        <v/>
      </c>
      <c r="M64" s="35" t="str">
        <f>IF(AND(ISNUMBER(I64),ISNUMBER(J64)),IF(I64=J64,"",IF(INT(ROUND('参数'!$C$7/(ABS(I64-J64)*IF(N(G64)&gt;0,G64,1)+2*(I64*IF(N(G64)&gt;0,G64,1)*'参数'!$C$12+'参数'!$C$13+'参数'!$C$14*IF(N(G64)&gt;0,G64,1)))/IF(N(H64)&gt;0,H64,1),6))*IF(N(H64)&gt;0,H64,1)&gt;0,INT(ROUND('参数'!$C$7/(ABS(I64-J64)*IF(N(G64)&gt;0,G64,1)+2*(I64*IF(N(G64)&gt;0,G64,1)*'参数'!$C$12+'参数'!$C$13+'参数'!$C$14*IF(N(G64)&gt;0,G64,1)))/IF(N(H64)&gt;0,H64,1),6))*IF(N(H64)&gt;0,H64,1),"预算不足，这笔不做")),"")</f>
        <v/>
      </c>
      <c r="N64" s="36" t="n"/>
      <c r="O64" s="20" t="str">
        <f>IF(AND(ISNUMBER(I64),ISNUMBER(J64),ISNUMBER(N64)),IF(AND(I64&lt;&gt;J64,N64&gt;0),ABS(I64-J64)*N64*IF(N(G64)&gt;0,G64,1),""),"")</f>
        <v/>
      </c>
      <c r="P64" s="31" t="n"/>
      <c r="Q64" s="32" t="n"/>
      <c r="R64" s="37" t="str">
        <f>IF(N(U64)&gt;0,SUMPRODUCT(LARGE(('成交明细'!$A$5:$A$804=A64)*('成交明细'!$D$5:$D$804=IF(F64="空","卖","买"))*'成交明细'!$B$5:$B$804,COUNTIFS('成交明细'!$A$5:$A$804,A64,'成交明细'!$D$5:$D$804,IF(F64="空","卖","买")))),"")</f>
        <v/>
      </c>
      <c r="S64" s="37" t="str">
        <f>IF(AND(N(U64)&gt;0,N(W64)&gt;=N(U64)),SUMPRODUCT(MAX(('成交明细'!$A$5:$A$804=A64)*('成交明细'!$D$5:$D$804=IF(F64="空","买","卖"))*'成交明细'!$B$5:$B$804)),"")</f>
        <v/>
      </c>
      <c r="T64" s="38" t="str">
        <f>IF(N(U64)=0,"",IF(SUMPRODUCT(('成交明细'!$A$5:$A$804=A64)*('成交明细'!$D$5:$D$804=IF(F64="空","卖","买"))*ISNUMBER('成交明细'!$C$5:$C$804))=0,"没填时间",IFERROR(VLOOKUP(MOD(SUMPRODUCT(LARGE(('成交明细'!$A$5:$A$804=A64)*('成交明细'!$D$5:$D$804=IF(F64="空","卖","买"))*('成交明细'!$B$5:$B$804+'成交明细'!$C$5:$C$804),COUNTIFS('成交明细'!$A$5:$A$804,A64,'成交明细'!$D$5:$D$804,IF(F64="空","卖","买")))),1),'参数'!$B$39:$C$48,2,TRUE),"")))</f>
        <v/>
      </c>
      <c r="U64" s="35" t="str">
        <f>IF(A64="","",SUMIFS('成交明细'!$F$5:$F$804,'成交明细'!$A$5:$A$804,A64,'成交明细'!$D$5:$D$804,IF(F64="空","卖","买")))</f>
        <v/>
      </c>
      <c r="V64" s="39" t="str">
        <f>IF(N(U64)&gt;0,SUMIFS('成交明细'!$H$5:$H$804,'成交明细'!$A$5:$A$804,A64,'成交明细'!$D$5:$D$804,IF(F64="空","卖","买"))/U64,"")</f>
        <v/>
      </c>
      <c r="W64" s="35" t="str">
        <f>IF(A64="","",SUMIFS('成交明细'!$F$5:$F$804,'成交明细'!$A$5:$A$804,A64,'成交明细'!$D$5:$D$804,IF(F64="空","买","卖")))</f>
        <v/>
      </c>
      <c r="X64" s="39" t="str">
        <f>IF(N(W64)&gt;0,SUMIFS('成交明细'!$H$5:$H$804,'成交明细'!$A$5:$A$804,A64,'成交明细'!$D$5:$D$804,IF(F64="空","买","卖"))/W64,"")</f>
        <v/>
      </c>
      <c r="Y64" s="40" t="str">
        <f>IF(A64="","",IF(Q64&lt;&gt;"已执行",IF(Q64="","未填执行情况",Q64),IF(N(U64)=0,"待录成交",IF(N(W64)&gt;N(U64),"平仓多于开仓",IF(N(W64)&lt;N(U64),"持仓中","已平仓")))))</f>
        <v/>
      </c>
      <c r="Z64" s="41" t="str">
        <f>IF(N(U64)=0,"",SUMIFS('成交明细'!$L$5:$L$804,'成交明细'!$A$5:$A$804,A64))</f>
        <v/>
      </c>
      <c r="AA64" s="42" t="str">
        <f>IF(Y64&lt;&gt;"已平仓","",(SUMIFS('成交明细'!$H$5:$H$804,'成交明细'!$A$5:$A$804,A64,'成交明细'!$D$5:$D$804,"卖")-SUMIFS('成交明细'!$H$5:$H$804,'成交明细'!$A$5:$A$804,A64,'成交明细'!$D$5:$D$804,"买"))*IF(N(G64)&gt;0,G64,1)-Z64)</f>
        <v/>
      </c>
      <c r="AB64" s="43" t="str">
        <f>IF(AND(Y64="已平仓",ISNUMBER(O64)),(SUMIFS('成交明细'!$H$5:$H$804,'成交明细'!$A$5:$A$804,A64,'成交明细'!$D$5:$D$804,"卖")-SUMIFS('成交明细'!$H$5:$H$804,'成交明细'!$A$5:$A$804,A64,'成交明细'!$D$5:$D$804,"买"))*IF(N(G64)&gt;0,G64,1)/O64,"")</f>
        <v/>
      </c>
      <c r="AC64" s="43" t="str">
        <f>IF(AND(Y64="已平仓",ISNUMBER(O64)),AA64/O64,"")</f>
        <v/>
      </c>
      <c r="AD64" s="44" t="str">
        <f>IF(AND(ISNUMBER(V64),ISNUMBER(I64)),IF(F64="空",I64-V64,V64-I64),"")</f>
        <v/>
      </c>
      <c r="AE64" s="44" t="str">
        <f>IF(OR(NOT(ISNUMBER(AA64)),NOT(ISNUMBER(X64))),"",IF(AA64&lt;0,IF(F64="空",X64-J64,J64-X64),IF(NOT(ISNUMBER(K64)),"",IF(F64="空",X64-K64,K64-X64))))</f>
        <v/>
      </c>
      <c r="AF64" s="32" t="n"/>
      <c r="AG64" s="32" t="n"/>
      <c r="AH64" s="31" t="n"/>
      <c r="AI64" s="43" t="str">
        <f>IF(A64="","",SUM(AC$5:AC64))</f>
        <v/>
      </c>
      <c r="AJ64" s="45" t="str">
        <f>IF(A64="","",MAX(0,MAX(AI$5:AI64))-AI64)</f>
        <v/>
      </c>
    </row>
    <row r="65">
      <c r="A65" s="29" t="n"/>
      <c r="B65" s="30" t="n"/>
      <c r="C65" s="31" t="n"/>
      <c r="D65" s="32" t="n"/>
      <c r="E65" s="32" t="n"/>
      <c r="F65" s="32" t="n"/>
      <c r="G65" s="32" t="n"/>
      <c r="H65" s="32" t="n"/>
      <c r="I65" s="33" t="n"/>
      <c r="J65" s="33" t="n"/>
      <c r="K65" s="33" t="n"/>
      <c r="L65" s="34" t="str">
        <f>IF(AND(ISNUMBER(I65),ISNUMBER(J65),ISNUMBER(K65)),IF(OR(AND(F65="多",I65&gt;J65),AND(F65="空",I65&lt;J65)),ABS(K65-I65)/ABS(I65-J65),"止损方向不对"),"")</f>
        <v/>
      </c>
      <c r="M65" s="35" t="str">
        <f>IF(AND(ISNUMBER(I65),ISNUMBER(J65)),IF(I65=J65,"",IF(INT(ROUND('参数'!$C$7/(ABS(I65-J65)*IF(N(G65)&gt;0,G65,1)+2*(I65*IF(N(G65)&gt;0,G65,1)*'参数'!$C$12+'参数'!$C$13+'参数'!$C$14*IF(N(G65)&gt;0,G65,1)))/IF(N(H65)&gt;0,H65,1),6))*IF(N(H65)&gt;0,H65,1)&gt;0,INT(ROUND('参数'!$C$7/(ABS(I65-J65)*IF(N(G65)&gt;0,G65,1)+2*(I65*IF(N(G65)&gt;0,G65,1)*'参数'!$C$12+'参数'!$C$13+'参数'!$C$14*IF(N(G65)&gt;0,G65,1)))/IF(N(H65)&gt;0,H65,1),6))*IF(N(H65)&gt;0,H65,1),"预算不足，这笔不做")),"")</f>
        <v/>
      </c>
      <c r="N65" s="36" t="n"/>
      <c r="O65" s="20" t="str">
        <f>IF(AND(ISNUMBER(I65),ISNUMBER(J65),ISNUMBER(N65)),IF(AND(I65&lt;&gt;J65,N65&gt;0),ABS(I65-J65)*N65*IF(N(G65)&gt;0,G65,1),""),"")</f>
        <v/>
      </c>
      <c r="P65" s="31" t="n"/>
      <c r="Q65" s="32" t="n"/>
      <c r="R65" s="37" t="str">
        <f>IF(N(U65)&gt;0,SUMPRODUCT(LARGE(('成交明细'!$A$5:$A$804=A65)*('成交明细'!$D$5:$D$804=IF(F65="空","卖","买"))*'成交明细'!$B$5:$B$804,COUNTIFS('成交明细'!$A$5:$A$804,A65,'成交明细'!$D$5:$D$804,IF(F65="空","卖","买")))),"")</f>
        <v/>
      </c>
      <c r="S65" s="37" t="str">
        <f>IF(AND(N(U65)&gt;0,N(W65)&gt;=N(U65)),SUMPRODUCT(MAX(('成交明细'!$A$5:$A$804=A65)*('成交明细'!$D$5:$D$804=IF(F65="空","买","卖"))*'成交明细'!$B$5:$B$804)),"")</f>
        <v/>
      </c>
      <c r="T65" s="38" t="str">
        <f>IF(N(U65)=0,"",IF(SUMPRODUCT(('成交明细'!$A$5:$A$804=A65)*('成交明细'!$D$5:$D$804=IF(F65="空","卖","买"))*ISNUMBER('成交明细'!$C$5:$C$804))=0,"没填时间",IFERROR(VLOOKUP(MOD(SUMPRODUCT(LARGE(('成交明细'!$A$5:$A$804=A65)*('成交明细'!$D$5:$D$804=IF(F65="空","卖","买"))*('成交明细'!$B$5:$B$804+'成交明细'!$C$5:$C$804),COUNTIFS('成交明细'!$A$5:$A$804,A65,'成交明细'!$D$5:$D$804,IF(F65="空","卖","买")))),1),'参数'!$B$39:$C$48,2,TRUE),"")))</f>
        <v/>
      </c>
      <c r="U65" s="35" t="str">
        <f>IF(A65="","",SUMIFS('成交明细'!$F$5:$F$804,'成交明细'!$A$5:$A$804,A65,'成交明细'!$D$5:$D$804,IF(F65="空","卖","买")))</f>
        <v/>
      </c>
      <c r="V65" s="39" t="str">
        <f>IF(N(U65)&gt;0,SUMIFS('成交明细'!$H$5:$H$804,'成交明细'!$A$5:$A$804,A65,'成交明细'!$D$5:$D$804,IF(F65="空","卖","买"))/U65,"")</f>
        <v/>
      </c>
      <c r="W65" s="35" t="str">
        <f>IF(A65="","",SUMIFS('成交明细'!$F$5:$F$804,'成交明细'!$A$5:$A$804,A65,'成交明细'!$D$5:$D$804,IF(F65="空","买","卖")))</f>
        <v/>
      </c>
      <c r="X65" s="39" t="str">
        <f>IF(N(W65)&gt;0,SUMIFS('成交明细'!$H$5:$H$804,'成交明细'!$A$5:$A$804,A65,'成交明细'!$D$5:$D$804,IF(F65="空","买","卖"))/W65,"")</f>
        <v/>
      </c>
      <c r="Y65" s="40" t="str">
        <f>IF(A65="","",IF(Q65&lt;&gt;"已执行",IF(Q65="","未填执行情况",Q65),IF(N(U65)=0,"待录成交",IF(N(W65)&gt;N(U65),"平仓多于开仓",IF(N(W65)&lt;N(U65),"持仓中","已平仓")))))</f>
        <v/>
      </c>
      <c r="Z65" s="41" t="str">
        <f>IF(N(U65)=0,"",SUMIFS('成交明细'!$L$5:$L$804,'成交明细'!$A$5:$A$804,A65))</f>
        <v/>
      </c>
      <c r="AA65" s="42" t="str">
        <f>IF(Y65&lt;&gt;"已平仓","",(SUMIFS('成交明细'!$H$5:$H$804,'成交明细'!$A$5:$A$804,A65,'成交明细'!$D$5:$D$804,"卖")-SUMIFS('成交明细'!$H$5:$H$804,'成交明细'!$A$5:$A$804,A65,'成交明细'!$D$5:$D$804,"买"))*IF(N(G65)&gt;0,G65,1)-Z65)</f>
        <v/>
      </c>
      <c r="AB65" s="43" t="str">
        <f>IF(AND(Y65="已平仓",ISNUMBER(O65)),(SUMIFS('成交明细'!$H$5:$H$804,'成交明细'!$A$5:$A$804,A65,'成交明细'!$D$5:$D$804,"卖")-SUMIFS('成交明细'!$H$5:$H$804,'成交明细'!$A$5:$A$804,A65,'成交明细'!$D$5:$D$804,"买"))*IF(N(G65)&gt;0,G65,1)/O65,"")</f>
        <v/>
      </c>
      <c r="AC65" s="43" t="str">
        <f>IF(AND(Y65="已平仓",ISNUMBER(O65)),AA65/O65,"")</f>
        <v/>
      </c>
      <c r="AD65" s="44" t="str">
        <f>IF(AND(ISNUMBER(V65),ISNUMBER(I65)),IF(F65="空",I65-V65,V65-I65),"")</f>
        <v/>
      </c>
      <c r="AE65" s="44" t="str">
        <f>IF(OR(NOT(ISNUMBER(AA65)),NOT(ISNUMBER(X65))),"",IF(AA65&lt;0,IF(F65="空",X65-J65,J65-X65),IF(NOT(ISNUMBER(K65)),"",IF(F65="空",X65-K65,K65-X65))))</f>
        <v/>
      </c>
      <c r="AF65" s="32" t="n"/>
      <c r="AG65" s="32" t="n"/>
      <c r="AH65" s="31" t="n"/>
      <c r="AI65" s="43" t="str">
        <f>IF(A65="","",SUM(AC$5:AC65))</f>
        <v/>
      </c>
      <c r="AJ65" s="45" t="str">
        <f>IF(A65="","",MAX(0,MAX(AI$5:AI65))-AI65)</f>
        <v/>
      </c>
    </row>
    <row r="66">
      <c r="A66" s="29" t="n"/>
      <c r="B66" s="30" t="n"/>
      <c r="C66" s="31" t="n"/>
      <c r="D66" s="32" t="n"/>
      <c r="E66" s="32" t="n"/>
      <c r="F66" s="32" t="n"/>
      <c r="G66" s="32" t="n"/>
      <c r="H66" s="32" t="n"/>
      <c r="I66" s="33" t="n"/>
      <c r="J66" s="33" t="n"/>
      <c r="K66" s="33" t="n"/>
      <c r="L66" s="34" t="str">
        <f>IF(AND(ISNUMBER(I66),ISNUMBER(J66),ISNUMBER(K66)),IF(OR(AND(F66="多",I66&gt;J66),AND(F66="空",I66&lt;J66)),ABS(K66-I66)/ABS(I66-J66),"止损方向不对"),"")</f>
        <v/>
      </c>
      <c r="M66" s="35" t="str">
        <f>IF(AND(ISNUMBER(I66),ISNUMBER(J66)),IF(I66=J66,"",IF(INT(ROUND('参数'!$C$7/(ABS(I66-J66)*IF(N(G66)&gt;0,G66,1)+2*(I66*IF(N(G66)&gt;0,G66,1)*'参数'!$C$12+'参数'!$C$13+'参数'!$C$14*IF(N(G66)&gt;0,G66,1)))/IF(N(H66)&gt;0,H66,1),6))*IF(N(H66)&gt;0,H66,1)&gt;0,INT(ROUND('参数'!$C$7/(ABS(I66-J66)*IF(N(G66)&gt;0,G66,1)+2*(I66*IF(N(G66)&gt;0,G66,1)*'参数'!$C$12+'参数'!$C$13+'参数'!$C$14*IF(N(G66)&gt;0,G66,1)))/IF(N(H66)&gt;0,H66,1),6))*IF(N(H66)&gt;0,H66,1),"预算不足，这笔不做")),"")</f>
        <v/>
      </c>
      <c r="N66" s="36" t="n"/>
      <c r="O66" s="20" t="str">
        <f>IF(AND(ISNUMBER(I66),ISNUMBER(J66),ISNUMBER(N66)),IF(AND(I66&lt;&gt;J66,N66&gt;0),ABS(I66-J66)*N66*IF(N(G66)&gt;0,G66,1),""),"")</f>
        <v/>
      </c>
      <c r="P66" s="31" t="n"/>
      <c r="Q66" s="32" t="n"/>
      <c r="R66" s="37" t="str">
        <f>IF(N(U66)&gt;0,SUMPRODUCT(LARGE(('成交明细'!$A$5:$A$804=A66)*('成交明细'!$D$5:$D$804=IF(F66="空","卖","买"))*'成交明细'!$B$5:$B$804,COUNTIFS('成交明细'!$A$5:$A$804,A66,'成交明细'!$D$5:$D$804,IF(F66="空","卖","买")))),"")</f>
        <v/>
      </c>
      <c r="S66" s="37" t="str">
        <f>IF(AND(N(U66)&gt;0,N(W66)&gt;=N(U66)),SUMPRODUCT(MAX(('成交明细'!$A$5:$A$804=A66)*('成交明细'!$D$5:$D$804=IF(F66="空","买","卖"))*'成交明细'!$B$5:$B$804)),"")</f>
        <v/>
      </c>
      <c r="T66" s="38" t="str">
        <f>IF(N(U66)=0,"",IF(SUMPRODUCT(('成交明细'!$A$5:$A$804=A66)*('成交明细'!$D$5:$D$804=IF(F66="空","卖","买"))*ISNUMBER('成交明细'!$C$5:$C$804))=0,"没填时间",IFERROR(VLOOKUP(MOD(SUMPRODUCT(LARGE(('成交明细'!$A$5:$A$804=A66)*('成交明细'!$D$5:$D$804=IF(F66="空","卖","买"))*('成交明细'!$B$5:$B$804+'成交明细'!$C$5:$C$804),COUNTIFS('成交明细'!$A$5:$A$804,A66,'成交明细'!$D$5:$D$804,IF(F66="空","卖","买")))),1),'参数'!$B$39:$C$48,2,TRUE),"")))</f>
        <v/>
      </c>
      <c r="U66" s="35" t="str">
        <f>IF(A66="","",SUMIFS('成交明细'!$F$5:$F$804,'成交明细'!$A$5:$A$804,A66,'成交明细'!$D$5:$D$804,IF(F66="空","卖","买")))</f>
        <v/>
      </c>
      <c r="V66" s="39" t="str">
        <f>IF(N(U66)&gt;0,SUMIFS('成交明细'!$H$5:$H$804,'成交明细'!$A$5:$A$804,A66,'成交明细'!$D$5:$D$804,IF(F66="空","卖","买"))/U66,"")</f>
        <v/>
      </c>
      <c r="W66" s="35" t="str">
        <f>IF(A66="","",SUMIFS('成交明细'!$F$5:$F$804,'成交明细'!$A$5:$A$804,A66,'成交明细'!$D$5:$D$804,IF(F66="空","买","卖")))</f>
        <v/>
      </c>
      <c r="X66" s="39" t="str">
        <f>IF(N(W66)&gt;0,SUMIFS('成交明细'!$H$5:$H$804,'成交明细'!$A$5:$A$804,A66,'成交明细'!$D$5:$D$804,IF(F66="空","买","卖"))/W66,"")</f>
        <v/>
      </c>
      <c r="Y66" s="40" t="str">
        <f>IF(A66="","",IF(Q66&lt;&gt;"已执行",IF(Q66="","未填执行情况",Q66),IF(N(U66)=0,"待录成交",IF(N(W66)&gt;N(U66),"平仓多于开仓",IF(N(W66)&lt;N(U66),"持仓中","已平仓")))))</f>
        <v/>
      </c>
      <c r="Z66" s="41" t="str">
        <f>IF(N(U66)=0,"",SUMIFS('成交明细'!$L$5:$L$804,'成交明细'!$A$5:$A$804,A66))</f>
        <v/>
      </c>
      <c r="AA66" s="42" t="str">
        <f>IF(Y66&lt;&gt;"已平仓","",(SUMIFS('成交明细'!$H$5:$H$804,'成交明细'!$A$5:$A$804,A66,'成交明细'!$D$5:$D$804,"卖")-SUMIFS('成交明细'!$H$5:$H$804,'成交明细'!$A$5:$A$804,A66,'成交明细'!$D$5:$D$804,"买"))*IF(N(G66)&gt;0,G66,1)-Z66)</f>
        <v/>
      </c>
      <c r="AB66" s="43" t="str">
        <f>IF(AND(Y66="已平仓",ISNUMBER(O66)),(SUMIFS('成交明细'!$H$5:$H$804,'成交明细'!$A$5:$A$804,A66,'成交明细'!$D$5:$D$804,"卖")-SUMIFS('成交明细'!$H$5:$H$804,'成交明细'!$A$5:$A$804,A66,'成交明细'!$D$5:$D$804,"买"))*IF(N(G66)&gt;0,G66,1)/O66,"")</f>
        <v/>
      </c>
      <c r="AC66" s="43" t="str">
        <f>IF(AND(Y66="已平仓",ISNUMBER(O66)),AA66/O66,"")</f>
        <v/>
      </c>
      <c r="AD66" s="44" t="str">
        <f>IF(AND(ISNUMBER(V66),ISNUMBER(I66)),IF(F66="空",I66-V66,V66-I66),"")</f>
        <v/>
      </c>
      <c r="AE66" s="44" t="str">
        <f>IF(OR(NOT(ISNUMBER(AA66)),NOT(ISNUMBER(X66))),"",IF(AA66&lt;0,IF(F66="空",X66-J66,J66-X66),IF(NOT(ISNUMBER(K66)),"",IF(F66="空",X66-K66,K66-X66))))</f>
        <v/>
      </c>
      <c r="AF66" s="32" t="n"/>
      <c r="AG66" s="32" t="n"/>
      <c r="AH66" s="31" t="n"/>
      <c r="AI66" s="43" t="str">
        <f>IF(A66="","",SUM(AC$5:AC66))</f>
        <v/>
      </c>
      <c r="AJ66" s="45" t="str">
        <f>IF(A66="","",MAX(0,MAX(AI$5:AI66))-AI66)</f>
        <v/>
      </c>
    </row>
    <row r="67">
      <c r="A67" s="29" t="n"/>
      <c r="B67" s="30" t="n"/>
      <c r="C67" s="31" t="n"/>
      <c r="D67" s="32" t="n"/>
      <c r="E67" s="32" t="n"/>
      <c r="F67" s="32" t="n"/>
      <c r="G67" s="32" t="n"/>
      <c r="H67" s="32" t="n"/>
      <c r="I67" s="33" t="n"/>
      <c r="J67" s="33" t="n"/>
      <c r="K67" s="33" t="n"/>
      <c r="L67" s="34" t="str">
        <f>IF(AND(ISNUMBER(I67),ISNUMBER(J67),ISNUMBER(K67)),IF(OR(AND(F67="多",I67&gt;J67),AND(F67="空",I67&lt;J67)),ABS(K67-I67)/ABS(I67-J67),"止损方向不对"),"")</f>
        <v/>
      </c>
      <c r="M67" s="35" t="str">
        <f>IF(AND(ISNUMBER(I67),ISNUMBER(J67)),IF(I67=J67,"",IF(INT(ROUND('参数'!$C$7/(ABS(I67-J67)*IF(N(G67)&gt;0,G67,1)+2*(I67*IF(N(G67)&gt;0,G67,1)*'参数'!$C$12+'参数'!$C$13+'参数'!$C$14*IF(N(G67)&gt;0,G67,1)))/IF(N(H67)&gt;0,H67,1),6))*IF(N(H67)&gt;0,H67,1)&gt;0,INT(ROUND('参数'!$C$7/(ABS(I67-J67)*IF(N(G67)&gt;0,G67,1)+2*(I67*IF(N(G67)&gt;0,G67,1)*'参数'!$C$12+'参数'!$C$13+'参数'!$C$14*IF(N(G67)&gt;0,G67,1)))/IF(N(H67)&gt;0,H67,1),6))*IF(N(H67)&gt;0,H67,1),"预算不足，这笔不做")),"")</f>
        <v/>
      </c>
      <c r="N67" s="36" t="n"/>
      <c r="O67" s="20" t="str">
        <f>IF(AND(ISNUMBER(I67),ISNUMBER(J67),ISNUMBER(N67)),IF(AND(I67&lt;&gt;J67,N67&gt;0),ABS(I67-J67)*N67*IF(N(G67)&gt;0,G67,1),""),"")</f>
        <v/>
      </c>
      <c r="P67" s="31" t="n"/>
      <c r="Q67" s="32" t="n"/>
      <c r="R67" s="37" t="str">
        <f>IF(N(U67)&gt;0,SUMPRODUCT(LARGE(('成交明细'!$A$5:$A$804=A67)*('成交明细'!$D$5:$D$804=IF(F67="空","卖","买"))*'成交明细'!$B$5:$B$804,COUNTIFS('成交明细'!$A$5:$A$804,A67,'成交明细'!$D$5:$D$804,IF(F67="空","卖","买")))),"")</f>
        <v/>
      </c>
      <c r="S67" s="37" t="str">
        <f>IF(AND(N(U67)&gt;0,N(W67)&gt;=N(U67)),SUMPRODUCT(MAX(('成交明细'!$A$5:$A$804=A67)*('成交明细'!$D$5:$D$804=IF(F67="空","买","卖"))*'成交明细'!$B$5:$B$804)),"")</f>
        <v/>
      </c>
      <c r="T67" s="38" t="str">
        <f>IF(N(U67)=0,"",IF(SUMPRODUCT(('成交明细'!$A$5:$A$804=A67)*('成交明细'!$D$5:$D$804=IF(F67="空","卖","买"))*ISNUMBER('成交明细'!$C$5:$C$804))=0,"没填时间",IFERROR(VLOOKUP(MOD(SUMPRODUCT(LARGE(('成交明细'!$A$5:$A$804=A67)*('成交明细'!$D$5:$D$804=IF(F67="空","卖","买"))*('成交明细'!$B$5:$B$804+'成交明细'!$C$5:$C$804),COUNTIFS('成交明细'!$A$5:$A$804,A67,'成交明细'!$D$5:$D$804,IF(F67="空","卖","买")))),1),'参数'!$B$39:$C$48,2,TRUE),"")))</f>
        <v/>
      </c>
      <c r="U67" s="35" t="str">
        <f>IF(A67="","",SUMIFS('成交明细'!$F$5:$F$804,'成交明细'!$A$5:$A$804,A67,'成交明细'!$D$5:$D$804,IF(F67="空","卖","买")))</f>
        <v/>
      </c>
      <c r="V67" s="39" t="str">
        <f>IF(N(U67)&gt;0,SUMIFS('成交明细'!$H$5:$H$804,'成交明细'!$A$5:$A$804,A67,'成交明细'!$D$5:$D$804,IF(F67="空","卖","买"))/U67,"")</f>
        <v/>
      </c>
      <c r="W67" s="35" t="str">
        <f>IF(A67="","",SUMIFS('成交明细'!$F$5:$F$804,'成交明细'!$A$5:$A$804,A67,'成交明细'!$D$5:$D$804,IF(F67="空","买","卖")))</f>
        <v/>
      </c>
      <c r="X67" s="39" t="str">
        <f>IF(N(W67)&gt;0,SUMIFS('成交明细'!$H$5:$H$804,'成交明细'!$A$5:$A$804,A67,'成交明细'!$D$5:$D$804,IF(F67="空","买","卖"))/W67,"")</f>
        <v/>
      </c>
      <c r="Y67" s="40" t="str">
        <f>IF(A67="","",IF(Q67&lt;&gt;"已执行",IF(Q67="","未填执行情况",Q67),IF(N(U67)=0,"待录成交",IF(N(W67)&gt;N(U67),"平仓多于开仓",IF(N(W67)&lt;N(U67),"持仓中","已平仓")))))</f>
        <v/>
      </c>
      <c r="Z67" s="41" t="str">
        <f>IF(N(U67)=0,"",SUMIFS('成交明细'!$L$5:$L$804,'成交明细'!$A$5:$A$804,A67))</f>
        <v/>
      </c>
      <c r="AA67" s="42" t="str">
        <f>IF(Y67&lt;&gt;"已平仓","",(SUMIFS('成交明细'!$H$5:$H$804,'成交明细'!$A$5:$A$804,A67,'成交明细'!$D$5:$D$804,"卖")-SUMIFS('成交明细'!$H$5:$H$804,'成交明细'!$A$5:$A$804,A67,'成交明细'!$D$5:$D$804,"买"))*IF(N(G67)&gt;0,G67,1)-Z67)</f>
        <v/>
      </c>
      <c r="AB67" s="43" t="str">
        <f>IF(AND(Y67="已平仓",ISNUMBER(O67)),(SUMIFS('成交明细'!$H$5:$H$804,'成交明细'!$A$5:$A$804,A67,'成交明细'!$D$5:$D$804,"卖")-SUMIFS('成交明细'!$H$5:$H$804,'成交明细'!$A$5:$A$804,A67,'成交明细'!$D$5:$D$804,"买"))*IF(N(G67)&gt;0,G67,1)/O67,"")</f>
        <v/>
      </c>
      <c r="AC67" s="43" t="str">
        <f>IF(AND(Y67="已平仓",ISNUMBER(O67)),AA67/O67,"")</f>
        <v/>
      </c>
      <c r="AD67" s="44" t="str">
        <f>IF(AND(ISNUMBER(V67),ISNUMBER(I67)),IF(F67="空",I67-V67,V67-I67),"")</f>
        <v/>
      </c>
      <c r="AE67" s="44" t="str">
        <f>IF(OR(NOT(ISNUMBER(AA67)),NOT(ISNUMBER(X67))),"",IF(AA67&lt;0,IF(F67="空",X67-J67,J67-X67),IF(NOT(ISNUMBER(K67)),"",IF(F67="空",X67-K67,K67-X67))))</f>
        <v/>
      </c>
      <c r="AF67" s="32" t="n"/>
      <c r="AG67" s="32" t="n"/>
      <c r="AH67" s="31" t="n"/>
      <c r="AI67" s="43" t="str">
        <f>IF(A67="","",SUM(AC$5:AC67))</f>
        <v/>
      </c>
      <c r="AJ67" s="45" t="str">
        <f>IF(A67="","",MAX(0,MAX(AI$5:AI67))-AI67)</f>
        <v/>
      </c>
    </row>
    <row r="68">
      <c r="A68" s="29" t="n"/>
      <c r="B68" s="30" t="n"/>
      <c r="C68" s="31" t="n"/>
      <c r="D68" s="32" t="n"/>
      <c r="E68" s="32" t="n"/>
      <c r="F68" s="32" t="n"/>
      <c r="G68" s="32" t="n"/>
      <c r="H68" s="32" t="n"/>
      <c r="I68" s="33" t="n"/>
      <c r="J68" s="33" t="n"/>
      <c r="K68" s="33" t="n"/>
      <c r="L68" s="34" t="str">
        <f>IF(AND(ISNUMBER(I68),ISNUMBER(J68),ISNUMBER(K68)),IF(OR(AND(F68="多",I68&gt;J68),AND(F68="空",I68&lt;J68)),ABS(K68-I68)/ABS(I68-J68),"止损方向不对"),"")</f>
        <v/>
      </c>
      <c r="M68" s="35" t="str">
        <f>IF(AND(ISNUMBER(I68),ISNUMBER(J68)),IF(I68=J68,"",IF(INT(ROUND('参数'!$C$7/(ABS(I68-J68)*IF(N(G68)&gt;0,G68,1)+2*(I68*IF(N(G68)&gt;0,G68,1)*'参数'!$C$12+'参数'!$C$13+'参数'!$C$14*IF(N(G68)&gt;0,G68,1)))/IF(N(H68)&gt;0,H68,1),6))*IF(N(H68)&gt;0,H68,1)&gt;0,INT(ROUND('参数'!$C$7/(ABS(I68-J68)*IF(N(G68)&gt;0,G68,1)+2*(I68*IF(N(G68)&gt;0,G68,1)*'参数'!$C$12+'参数'!$C$13+'参数'!$C$14*IF(N(G68)&gt;0,G68,1)))/IF(N(H68)&gt;0,H68,1),6))*IF(N(H68)&gt;0,H68,1),"预算不足，这笔不做")),"")</f>
        <v/>
      </c>
      <c r="N68" s="36" t="n"/>
      <c r="O68" s="20" t="str">
        <f>IF(AND(ISNUMBER(I68),ISNUMBER(J68),ISNUMBER(N68)),IF(AND(I68&lt;&gt;J68,N68&gt;0),ABS(I68-J68)*N68*IF(N(G68)&gt;0,G68,1),""),"")</f>
        <v/>
      </c>
      <c r="P68" s="31" t="n"/>
      <c r="Q68" s="32" t="n"/>
      <c r="R68" s="37" t="str">
        <f>IF(N(U68)&gt;0,SUMPRODUCT(LARGE(('成交明细'!$A$5:$A$804=A68)*('成交明细'!$D$5:$D$804=IF(F68="空","卖","买"))*'成交明细'!$B$5:$B$804,COUNTIFS('成交明细'!$A$5:$A$804,A68,'成交明细'!$D$5:$D$804,IF(F68="空","卖","买")))),"")</f>
        <v/>
      </c>
      <c r="S68" s="37" t="str">
        <f>IF(AND(N(U68)&gt;0,N(W68)&gt;=N(U68)),SUMPRODUCT(MAX(('成交明细'!$A$5:$A$804=A68)*('成交明细'!$D$5:$D$804=IF(F68="空","买","卖"))*'成交明细'!$B$5:$B$804)),"")</f>
        <v/>
      </c>
      <c r="T68" s="38" t="str">
        <f>IF(N(U68)=0,"",IF(SUMPRODUCT(('成交明细'!$A$5:$A$804=A68)*('成交明细'!$D$5:$D$804=IF(F68="空","卖","买"))*ISNUMBER('成交明细'!$C$5:$C$804))=0,"没填时间",IFERROR(VLOOKUP(MOD(SUMPRODUCT(LARGE(('成交明细'!$A$5:$A$804=A68)*('成交明细'!$D$5:$D$804=IF(F68="空","卖","买"))*('成交明细'!$B$5:$B$804+'成交明细'!$C$5:$C$804),COUNTIFS('成交明细'!$A$5:$A$804,A68,'成交明细'!$D$5:$D$804,IF(F68="空","卖","买")))),1),'参数'!$B$39:$C$48,2,TRUE),"")))</f>
        <v/>
      </c>
      <c r="U68" s="35" t="str">
        <f>IF(A68="","",SUMIFS('成交明细'!$F$5:$F$804,'成交明细'!$A$5:$A$804,A68,'成交明细'!$D$5:$D$804,IF(F68="空","卖","买")))</f>
        <v/>
      </c>
      <c r="V68" s="39" t="str">
        <f>IF(N(U68)&gt;0,SUMIFS('成交明细'!$H$5:$H$804,'成交明细'!$A$5:$A$804,A68,'成交明细'!$D$5:$D$804,IF(F68="空","卖","买"))/U68,"")</f>
        <v/>
      </c>
      <c r="W68" s="35" t="str">
        <f>IF(A68="","",SUMIFS('成交明细'!$F$5:$F$804,'成交明细'!$A$5:$A$804,A68,'成交明细'!$D$5:$D$804,IF(F68="空","买","卖")))</f>
        <v/>
      </c>
      <c r="X68" s="39" t="str">
        <f>IF(N(W68)&gt;0,SUMIFS('成交明细'!$H$5:$H$804,'成交明细'!$A$5:$A$804,A68,'成交明细'!$D$5:$D$804,IF(F68="空","买","卖"))/W68,"")</f>
        <v/>
      </c>
      <c r="Y68" s="40" t="str">
        <f>IF(A68="","",IF(Q68&lt;&gt;"已执行",IF(Q68="","未填执行情况",Q68),IF(N(U68)=0,"待录成交",IF(N(W68)&gt;N(U68),"平仓多于开仓",IF(N(W68)&lt;N(U68),"持仓中","已平仓")))))</f>
        <v/>
      </c>
      <c r="Z68" s="41" t="str">
        <f>IF(N(U68)=0,"",SUMIFS('成交明细'!$L$5:$L$804,'成交明细'!$A$5:$A$804,A68))</f>
        <v/>
      </c>
      <c r="AA68" s="42" t="str">
        <f>IF(Y68&lt;&gt;"已平仓","",(SUMIFS('成交明细'!$H$5:$H$804,'成交明细'!$A$5:$A$804,A68,'成交明细'!$D$5:$D$804,"卖")-SUMIFS('成交明细'!$H$5:$H$804,'成交明细'!$A$5:$A$804,A68,'成交明细'!$D$5:$D$804,"买"))*IF(N(G68)&gt;0,G68,1)-Z68)</f>
        <v/>
      </c>
      <c r="AB68" s="43" t="str">
        <f>IF(AND(Y68="已平仓",ISNUMBER(O68)),(SUMIFS('成交明细'!$H$5:$H$804,'成交明细'!$A$5:$A$804,A68,'成交明细'!$D$5:$D$804,"卖")-SUMIFS('成交明细'!$H$5:$H$804,'成交明细'!$A$5:$A$804,A68,'成交明细'!$D$5:$D$804,"买"))*IF(N(G68)&gt;0,G68,1)/O68,"")</f>
        <v/>
      </c>
      <c r="AC68" s="43" t="str">
        <f>IF(AND(Y68="已平仓",ISNUMBER(O68)),AA68/O68,"")</f>
        <v/>
      </c>
      <c r="AD68" s="44" t="str">
        <f>IF(AND(ISNUMBER(V68),ISNUMBER(I68)),IF(F68="空",I68-V68,V68-I68),"")</f>
        <v/>
      </c>
      <c r="AE68" s="44" t="str">
        <f>IF(OR(NOT(ISNUMBER(AA68)),NOT(ISNUMBER(X68))),"",IF(AA68&lt;0,IF(F68="空",X68-J68,J68-X68),IF(NOT(ISNUMBER(K68)),"",IF(F68="空",X68-K68,K68-X68))))</f>
        <v/>
      </c>
      <c r="AF68" s="32" t="n"/>
      <c r="AG68" s="32" t="n"/>
      <c r="AH68" s="31" t="n"/>
      <c r="AI68" s="43" t="str">
        <f>IF(A68="","",SUM(AC$5:AC68))</f>
        <v/>
      </c>
      <c r="AJ68" s="45" t="str">
        <f>IF(A68="","",MAX(0,MAX(AI$5:AI68))-AI68)</f>
        <v/>
      </c>
    </row>
    <row r="69">
      <c r="A69" s="29" t="n"/>
      <c r="B69" s="30" t="n"/>
      <c r="C69" s="31" t="n"/>
      <c r="D69" s="32" t="n"/>
      <c r="E69" s="32" t="n"/>
      <c r="F69" s="32" t="n"/>
      <c r="G69" s="32" t="n"/>
      <c r="H69" s="32" t="n"/>
      <c r="I69" s="33" t="n"/>
      <c r="J69" s="33" t="n"/>
      <c r="K69" s="33" t="n"/>
      <c r="L69" s="34" t="str">
        <f>IF(AND(ISNUMBER(I69),ISNUMBER(J69),ISNUMBER(K69)),IF(OR(AND(F69="多",I69&gt;J69),AND(F69="空",I69&lt;J69)),ABS(K69-I69)/ABS(I69-J69),"止损方向不对"),"")</f>
        <v/>
      </c>
      <c r="M69" s="35" t="str">
        <f>IF(AND(ISNUMBER(I69),ISNUMBER(J69)),IF(I69=J69,"",IF(INT(ROUND('参数'!$C$7/(ABS(I69-J69)*IF(N(G69)&gt;0,G69,1)+2*(I69*IF(N(G69)&gt;0,G69,1)*'参数'!$C$12+'参数'!$C$13+'参数'!$C$14*IF(N(G69)&gt;0,G69,1)))/IF(N(H69)&gt;0,H69,1),6))*IF(N(H69)&gt;0,H69,1)&gt;0,INT(ROUND('参数'!$C$7/(ABS(I69-J69)*IF(N(G69)&gt;0,G69,1)+2*(I69*IF(N(G69)&gt;0,G69,1)*'参数'!$C$12+'参数'!$C$13+'参数'!$C$14*IF(N(G69)&gt;0,G69,1)))/IF(N(H69)&gt;0,H69,1),6))*IF(N(H69)&gt;0,H69,1),"预算不足，这笔不做")),"")</f>
        <v/>
      </c>
      <c r="N69" s="36" t="n"/>
      <c r="O69" s="20" t="str">
        <f>IF(AND(ISNUMBER(I69),ISNUMBER(J69),ISNUMBER(N69)),IF(AND(I69&lt;&gt;J69,N69&gt;0),ABS(I69-J69)*N69*IF(N(G69)&gt;0,G69,1),""),"")</f>
        <v/>
      </c>
      <c r="P69" s="31" t="n"/>
      <c r="Q69" s="32" t="n"/>
      <c r="R69" s="37" t="str">
        <f>IF(N(U69)&gt;0,SUMPRODUCT(LARGE(('成交明细'!$A$5:$A$804=A69)*('成交明细'!$D$5:$D$804=IF(F69="空","卖","买"))*'成交明细'!$B$5:$B$804,COUNTIFS('成交明细'!$A$5:$A$804,A69,'成交明细'!$D$5:$D$804,IF(F69="空","卖","买")))),"")</f>
        <v/>
      </c>
      <c r="S69" s="37" t="str">
        <f>IF(AND(N(U69)&gt;0,N(W69)&gt;=N(U69)),SUMPRODUCT(MAX(('成交明细'!$A$5:$A$804=A69)*('成交明细'!$D$5:$D$804=IF(F69="空","买","卖"))*'成交明细'!$B$5:$B$804)),"")</f>
        <v/>
      </c>
      <c r="T69" s="38" t="str">
        <f>IF(N(U69)=0,"",IF(SUMPRODUCT(('成交明细'!$A$5:$A$804=A69)*('成交明细'!$D$5:$D$804=IF(F69="空","卖","买"))*ISNUMBER('成交明细'!$C$5:$C$804))=0,"没填时间",IFERROR(VLOOKUP(MOD(SUMPRODUCT(LARGE(('成交明细'!$A$5:$A$804=A69)*('成交明细'!$D$5:$D$804=IF(F69="空","卖","买"))*('成交明细'!$B$5:$B$804+'成交明细'!$C$5:$C$804),COUNTIFS('成交明细'!$A$5:$A$804,A69,'成交明细'!$D$5:$D$804,IF(F69="空","卖","买")))),1),'参数'!$B$39:$C$48,2,TRUE),"")))</f>
        <v/>
      </c>
      <c r="U69" s="35" t="str">
        <f>IF(A69="","",SUMIFS('成交明细'!$F$5:$F$804,'成交明细'!$A$5:$A$804,A69,'成交明细'!$D$5:$D$804,IF(F69="空","卖","买")))</f>
        <v/>
      </c>
      <c r="V69" s="39" t="str">
        <f>IF(N(U69)&gt;0,SUMIFS('成交明细'!$H$5:$H$804,'成交明细'!$A$5:$A$804,A69,'成交明细'!$D$5:$D$804,IF(F69="空","卖","买"))/U69,"")</f>
        <v/>
      </c>
      <c r="W69" s="35" t="str">
        <f>IF(A69="","",SUMIFS('成交明细'!$F$5:$F$804,'成交明细'!$A$5:$A$804,A69,'成交明细'!$D$5:$D$804,IF(F69="空","买","卖")))</f>
        <v/>
      </c>
      <c r="X69" s="39" t="str">
        <f>IF(N(W69)&gt;0,SUMIFS('成交明细'!$H$5:$H$804,'成交明细'!$A$5:$A$804,A69,'成交明细'!$D$5:$D$804,IF(F69="空","买","卖"))/W69,"")</f>
        <v/>
      </c>
      <c r="Y69" s="40" t="str">
        <f>IF(A69="","",IF(Q69&lt;&gt;"已执行",IF(Q69="","未填执行情况",Q69),IF(N(U69)=0,"待录成交",IF(N(W69)&gt;N(U69),"平仓多于开仓",IF(N(W69)&lt;N(U69),"持仓中","已平仓")))))</f>
        <v/>
      </c>
      <c r="Z69" s="41" t="str">
        <f>IF(N(U69)=0,"",SUMIFS('成交明细'!$L$5:$L$804,'成交明细'!$A$5:$A$804,A69))</f>
        <v/>
      </c>
      <c r="AA69" s="42" t="str">
        <f>IF(Y69&lt;&gt;"已平仓","",(SUMIFS('成交明细'!$H$5:$H$804,'成交明细'!$A$5:$A$804,A69,'成交明细'!$D$5:$D$804,"卖")-SUMIFS('成交明细'!$H$5:$H$804,'成交明细'!$A$5:$A$804,A69,'成交明细'!$D$5:$D$804,"买"))*IF(N(G69)&gt;0,G69,1)-Z69)</f>
        <v/>
      </c>
      <c r="AB69" s="43" t="str">
        <f>IF(AND(Y69="已平仓",ISNUMBER(O69)),(SUMIFS('成交明细'!$H$5:$H$804,'成交明细'!$A$5:$A$804,A69,'成交明细'!$D$5:$D$804,"卖")-SUMIFS('成交明细'!$H$5:$H$804,'成交明细'!$A$5:$A$804,A69,'成交明细'!$D$5:$D$804,"买"))*IF(N(G69)&gt;0,G69,1)/O69,"")</f>
        <v/>
      </c>
      <c r="AC69" s="43" t="str">
        <f>IF(AND(Y69="已平仓",ISNUMBER(O69)),AA69/O69,"")</f>
        <v/>
      </c>
      <c r="AD69" s="44" t="str">
        <f>IF(AND(ISNUMBER(V69),ISNUMBER(I69)),IF(F69="空",I69-V69,V69-I69),"")</f>
        <v/>
      </c>
      <c r="AE69" s="44" t="str">
        <f>IF(OR(NOT(ISNUMBER(AA69)),NOT(ISNUMBER(X69))),"",IF(AA69&lt;0,IF(F69="空",X69-J69,J69-X69),IF(NOT(ISNUMBER(K69)),"",IF(F69="空",X69-K69,K69-X69))))</f>
        <v/>
      </c>
      <c r="AF69" s="32" t="n"/>
      <c r="AG69" s="32" t="n"/>
      <c r="AH69" s="31" t="n"/>
      <c r="AI69" s="43" t="str">
        <f>IF(A69="","",SUM(AC$5:AC69))</f>
        <v/>
      </c>
      <c r="AJ69" s="45" t="str">
        <f>IF(A69="","",MAX(0,MAX(AI$5:AI69))-AI69)</f>
        <v/>
      </c>
    </row>
    <row r="70">
      <c r="A70" s="29" t="n"/>
      <c r="B70" s="30" t="n"/>
      <c r="C70" s="31" t="n"/>
      <c r="D70" s="32" t="n"/>
      <c r="E70" s="32" t="n"/>
      <c r="F70" s="32" t="n"/>
      <c r="G70" s="32" t="n"/>
      <c r="H70" s="32" t="n"/>
      <c r="I70" s="33" t="n"/>
      <c r="J70" s="33" t="n"/>
      <c r="K70" s="33" t="n"/>
      <c r="L70" s="34" t="str">
        <f>IF(AND(ISNUMBER(I70),ISNUMBER(J70),ISNUMBER(K70)),IF(OR(AND(F70="多",I70&gt;J70),AND(F70="空",I70&lt;J70)),ABS(K70-I70)/ABS(I70-J70),"止损方向不对"),"")</f>
        <v/>
      </c>
      <c r="M70" s="35" t="str">
        <f>IF(AND(ISNUMBER(I70),ISNUMBER(J70)),IF(I70=J70,"",IF(INT(ROUND('参数'!$C$7/(ABS(I70-J70)*IF(N(G70)&gt;0,G70,1)+2*(I70*IF(N(G70)&gt;0,G70,1)*'参数'!$C$12+'参数'!$C$13+'参数'!$C$14*IF(N(G70)&gt;0,G70,1)))/IF(N(H70)&gt;0,H70,1),6))*IF(N(H70)&gt;0,H70,1)&gt;0,INT(ROUND('参数'!$C$7/(ABS(I70-J70)*IF(N(G70)&gt;0,G70,1)+2*(I70*IF(N(G70)&gt;0,G70,1)*'参数'!$C$12+'参数'!$C$13+'参数'!$C$14*IF(N(G70)&gt;0,G70,1)))/IF(N(H70)&gt;0,H70,1),6))*IF(N(H70)&gt;0,H70,1),"预算不足，这笔不做")),"")</f>
        <v/>
      </c>
      <c r="N70" s="36" t="n"/>
      <c r="O70" s="20" t="str">
        <f>IF(AND(ISNUMBER(I70),ISNUMBER(J70),ISNUMBER(N70)),IF(AND(I70&lt;&gt;J70,N70&gt;0),ABS(I70-J70)*N70*IF(N(G70)&gt;0,G70,1),""),"")</f>
        <v/>
      </c>
      <c r="P70" s="31" t="n"/>
      <c r="Q70" s="32" t="n"/>
      <c r="R70" s="37" t="str">
        <f>IF(N(U70)&gt;0,SUMPRODUCT(LARGE(('成交明细'!$A$5:$A$804=A70)*('成交明细'!$D$5:$D$804=IF(F70="空","卖","买"))*'成交明细'!$B$5:$B$804,COUNTIFS('成交明细'!$A$5:$A$804,A70,'成交明细'!$D$5:$D$804,IF(F70="空","卖","买")))),"")</f>
        <v/>
      </c>
      <c r="S70" s="37" t="str">
        <f>IF(AND(N(U70)&gt;0,N(W70)&gt;=N(U70)),SUMPRODUCT(MAX(('成交明细'!$A$5:$A$804=A70)*('成交明细'!$D$5:$D$804=IF(F70="空","买","卖"))*'成交明细'!$B$5:$B$804)),"")</f>
        <v/>
      </c>
      <c r="T70" s="38" t="str">
        <f>IF(N(U70)=0,"",IF(SUMPRODUCT(('成交明细'!$A$5:$A$804=A70)*('成交明细'!$D$5:$D$804=IF(F70="空","卖","买"))*ISNUMBER('成交明细'!$C$5:$C$804))=0,"没填时间",IFERROR(VLOOKUP(MOD(SUMPRODUCT(LARGE(('成交明细'!$A$5:$A$804=A70)*('成交明细'!$D$5:$D$804=IF(F70="空","卖","买"))*('成交明细'!$B$5:$B$804+'成交明细'!$C$5:$C$804),COUNTIFS('成交明细'!$A$5:$A$804,A70,'成交明细'!$D$5:$D$804,IF(F70="空","卖","买")))),1),'参数'!$B$39:$C$48,2,TRUE),"")))</f>
        <v/>
      </c>
      <c r="U70" s="35" t="str">
        <f>IF(A70="","",SUMIFS('成交明细'!$F$5:$F$804,'成交明细'!$A$5:$A$804,A70,'成交明细'!$D$5:$D$804,IF(F70="空","卖","买")))</f>
        <v/>
      </c>
      <c r="V70" s="39" t="str">
        <f>IF(N(U70)&gt;0,SUMIFS('成交明细'!$H$5:$H$804,'成交明细'!$A$5:$A$804,A70,'成交明细'!$D$5:$D$804,IF(F70="空","卖","买"))/U70,"")</f>
        <v/>
      </c>
      <c r="W70" s="35" t="str">
        <f>IF(A70="","",SUMIFS('成交明细'!$F$5:$F$804,'成交明细'!$A$5:$A$804,A70,'成交明细'!$D$5:$D$804,IF(F70="空","买","卖")))</f>
        <v/>
      </c>
      <c r="X70" s="39" t="str">
        <f>IF(N(W70)&gt;0,SUMIFS('成交明细'!$H$5:$H$804,'成交明细'!$A$5:$A$804,A70,'成交明细'!$D$5:$D$804,IF(F70="空","买","卖"))/W70,"")</f>
        <v/>
      </c>
      <c r="Y70" s="40" t="str">
        <f>IF(A70="","",IF(Q70&lt;&gt;"已执行",IF(Q70="","未填执行情况",Q70),IF(N(U70)=0,"待录成交",IF(N(W70)&gt;N(U70),"平仓多于开仓",IF(N(W70)&lt;N(U70),"持仓中","已平仓")))))</f>
        <v/>
      </c>
      <c r="Z70" s="41" t="str">
        <f>IF(N(U70)=0,"",SUMIFS('成交明细'!$L$5:$L$804,'成交明细'!$A$5:$A$804,A70))</f>
        <v/>
      </c>
      <c r="AA70" s="42" t="str">
        <f>IF(Y70&lt;&gt;"已平仓","",(SUMIFS('成交明细'!$H$5:$H$804,'成交明细'!$A$5:$A$804,A70,'成交明细'!$D$5:$D$804,"卖")-SUMIFS('成交明细'!$H$5:$H$804,'成交明细'!$A$5:$A$804,A70,'成交明细'!$D$5:$D$804,"买"))*IF(N(G70)&gt;0,G70,1)-Z70)</f>
        <v/>
      </c>
      <c r="AB70" s="43" t="str">
        <f>IF(AND(Y70="已平仓",ISNUMBER(O70)),(SUMIFS('成交明细'!$H$5:$H$804,'成交明细'!$A$5:$A$804,A70,'成交明细'!$D$5:$D$804,"卖")-SUMIFS('成交明细'!$H$5:$H$804,'成交明细'!$A$5:$A$804,A70,'成交明细'!$D$5:$D$804,"买"))*IF(N(G70)&gt;0,G70,1)/O70,"")</f>
        <v/>
      </c>
      <c r="AC70" s="43" t="str">
        <f>IF(AND(Y70="已平仓",ISNUMBER(O70)),AA70/O70,"")</f>
        <v/>
      </c>
      <c r="AD70" s="44" t="str">
        <f>IF(AND(ISNUMBER(V70),ISNUMBER(I70)),IF(F70="空",I70-V70,V70-I70),"")</f>
        <v/>
      </c>
      <c r="AE70" s="44" t="str">
        <f>IF(OR(NOT(ISNUMBER(AA70)),NOT(ISNUMBER(X70))),"",IF(AA70&lt;0,IF(F70="空",X70-J70,J70-X70),IF(NOT(ISNUMBER(K70)),"",IF(F70="空",X70-K70,K70-X70))))</f>
        <v/>
      </c>
      <c r="AF70" s="32" t="n"/>
      <c r="AG70" s="32" t="n"/>
      <c r="AH70" s="31" t="n"/>
      <c r="AI70" s="43" t="str">
        <f>IF(A70="","",SUM(AC$5:AC70))</f>
        <v/>
      </c>
      <c r="AJ70" s="45" t="str">
        <f>IF(A70="","",MAX(0,MAX(AI$5:AI70))-AI70)</f>
        <v/>
      </c>
    </row>
    <row r="71">
      <c r="A71" s="29" t="n"/>
      <c r="B71" s="30" t="n"/>
      <c r="C71" s="31" t="n"/>
      <c r="D71" s="32" t="n"/>
      <c r="E71" s="32" t="n"/>
      <c r="F71" s="32" t="n"/>
      <c r="G71" s="32" t="n"/>
      <c r="H71" s="32" t="n"/>
      <c r="I71" s="33" t="n"/>
      <c r="J71" s="33" t="n"/>
      <c r="K71" s="33" t="n"/>
      <c r="L71" s="34" t="str">
        <f>IF(AND(ISNUMBER(I71),ISNUMBER(J71),ISNUMBER(K71)),IF(OR(AND(F71="多",I71&gt;J71),AND(F71="空",I71&lt;J71)),ABS(K71-I71)/ABS(I71-J71),"止损方向不对"),"")</f>
        <v/>
      </c>
      <c r="M71" s="35" t="str">
        <f>IF(AND(ISNUMBER(I71),ISNUMBER(J71)),IF(I71=J71,"",IF(INT(ROUND('参数'!$C$7/(ABS(I71-J71)*IF(N(G71)&gt;0,G71,1)+2*(I71*IF(N(G71)&gt;0,G71,1)*'参数'!$C$12+'参数'!$C$13+'参数'!$C$14*IF(N(G71)&gt;0,G71,1)))/IF(N(H71)&gt;0,H71,1),6))*IF(N(H71)&gt;0,H71,1)&gt;0,INT(ROUND('参数'!$C$7/(ABS(I71-J71)*IF(N(G71)&gt;0,G71,1)+2*(I71*IF(N(G71)&gt;0,G71,1)*'参数'!$C$12+'参数'!$C$13+'参数'!$C$14*IF(N(G71)&gt;0,G71,1)))/IF(N(H71)&gt;0,H71,1),6))*IF(N(H71)&gt;0,H71,1),"预算不足，这笔不做")),"")</f>
        <v/>
      </c>
      <c r="N71" s="36" t="n"/>
      <c r="O71" s="20" t="str">
        <f>IF(AND(ISNUMBER(I71),ISNUMBER(J71),ISNUMBER(N71)),IF(AND(I71&lt;&gt;J71,N71&gt;0),ABS(I71-J71)*N71*IF(N(G71)&gt;0,G71,1),""),"")</f>
        <v/>
      </c>
      <c r="P71" s="31" t="n"/>
      <c r="Q71" s="32" t="n"/>
      <c r="R71" s="37" t="str">
        <f>IF(N(U71)&gt;0,SUMPRODUCT(LARGE(('成交明细'!$A$5:$A$804=A71)*('成交明细'!$D$5:$D$804=IF(F71="空","卖","买"))*'成交明细'!$B$5:$B$804,COUNTIFS('成交明细'!$A$5:$A$804,A71,'成交明细'!$D$5:$D$804,IF(F71="空","卖","买")))),"")</f>
        <v/>
      </c>
      <c r="S71" s="37" t="str">
        <f>IF(AND(N(U71)&gt;0,N(W71)&gt;=N(U71)),SUMPRODUCT(MAX(('成交明细'!$A$5:$A$804=A71)*('成交明细'!$D$5:$D$804=IF(F71="空","买","卖"))*'成交明细'!$B$5:$B$804)),"")</f>
        <v/>
      </c>
      <c r="T71" s="38" t="str">
        <f>IF(N(U71)=0,"",IF(SUMPRODUCT(('成交明细'!$A$5:$A$804=A71)*('成交明细'!$D$5:$D$804=IF(F71="空","卖","买"))*ISNUMBER('成交明细'!$C$5:$C$804))=0,"没填时间",IFERROR(VLOOKUP(MOD(SUMPRODUCT(LARGE(('成交明细'!$A$5:$A$804=A71)*('成交明细'!$D$5:$D$804=IF(F71="空","卖","买"))*('成交明细'!$B$5:$B$804+'成交明细'!$C$5:$C$804),COUNTIFS('成交明细'!$A$5:$A$804,A71,'成交明细'!$D$5:$D$804,IF(F71="空","卖","买")))),1),'参数'!$B$39:$C$48,2,TRUE),"")))</f>
        <v/>
      </c>
      <c r="U71" s="35" t="str">
        <f>IF(A71="","",SUMIFS('成交明细'!$F$5:$F$804,'成交明细'!$A$5:$A$804,A71,'成交明细'!$D$5:$D$804,IF(F71="空","卖","买")))</f>
        <v/>
      </c>
      <c r="V71" s="39" t="str">
        <f>IF(N(U71)&gt;0,SUMIFS('成交明细'!$H$5:$H$804,'成交明细'!$A$5:$A$804,A71,'成交明细'!$D$5:$D$804,IF(F71="空","卖","买"))/U71,"")</f>
        <v/>
      </c>
      <c r="W71" s="35" t="str">
        <f>IF(A71="","",SUMIFS('成交明细'!$F$5:$F$804,'成交明细'!$A$5:$A$804,A71,'成交明细'!$D$5:$D$804,IF(F71="空","买","卖")))</f>
        <v/>
      </c>
      <c r="X71" s="39" t="str">
        <f>IF(N(W71)&gt;0,SUMIFS('成交明细'!$H$5:$H$804,'成交明细'!$A$5:$A$804,A71,'成交明细'!$D$5:$D$804,IF(F71="空","买","卖"))/W71,"")</f>
        <v/>
      </c>
      <c r="Y71" s="40" t="str">
        <f>IF(A71="","",IF(Q71&lt;&gt;"已执行",IF(Q71="","未填执行情况",Q71),IF(N(U71)=0,"待录成交",IF(N(W71)&gt;N(U71),"平仓多于开仓",IF(N(W71)&lt;N(U71),"持仓中","已平仓")))))</f>
        <v/>
      </c>
      <c r="Z71" s="41" t="str">
        <f>IF(N(U71)=0,"",SUMIFS('成交明细'!$L$5:$L$804,'成交明细'!$A$5:$A$804,A71))</f>
        <v/>
      </c>
      <c r="AA71" s="42" t="str">
        <f>IF(Y71&lt;&gt;"已平仓","",(SUMIFS('成交明细'!$H$5:$H$804,'成交明细'!$A$5:$A$804,A71,'成交明细'!$D$5:$D$804,"卖")-SUMIFS('成交明细'!$H$5:$H$804,'成交明细'!$A$5:$A$804,A71,'成交明细'!$D$5:$D$804,"买"))*IF(N(G71)&gt;0,G71,1)-Z71)</f>
        <v/>
      </c>
      <c r="AB71" s="43" t="str">
        <f>IF(AND(Y71="已平仓",ISNUMBER(O71)),(SUMIFS('成交明细'!$H$5:$H$804,'成交明细'!$A$5:$A$804,A71,'成交明细'!$D$5:$D$804,"卖")-SUMIFS('成交明细'!$H$5:$H$804,'成交明细'!$A$5:$A$804,A71,'成交明细'!$D$5:$D$804,"买"))*IF(N(G71)&gt;0,G71,1)/O71,"")</f>
        <v/>
      </c>
      <c r="AC71" s="43" t="str">
        <f>IF(AND(Y71="已平仓",ISNUMBER(O71)),AA71/O71,"")</f>
        <v/>
      </c>
      <c r="AD71" s="44" t="str">
        <f>IF(AND(ISNUMBER(V71),ISNUMBER(I71)),IF(F71="空",I71-V71,V71-I71),"")</f>
        <v/>
      </c>
      <c r="AE71" s="44" t="str">
        <f>IF(OR(NOT(ISNUMBER(AA71)),NOT(ISNUMBER(X71))),"",IF(AA71&lt;0,IF(F71="空",X71-J71,J71-X71),IF(NOT(ISNUMBER(K71)),"",IF(F71="空",X71-K71,K71-X71))))</f>
        <v/>
      </c>
      <c r="AF71" s="32" t="n"/>
      <c r="AG71" s="32" t="n"/>
      <c r="AH71" s="31" t="n"/>
      <c r="AI71" s="43" t="str">
        <f>IF(A71="","",SUM(AC$5:AC71))</f>
        <v/>
      </c>
      <c r="AJ71" s="45" t="str">
        <f>IF(A71="","",MAX(0,MAX(AI$5:AI71))-AI71)</f>
        <v/>
      </c>
    </row>
    <row r="72">
      <c r="A72" s="29" t="n"/>
      <c r="B72" s="30" t="n"/>
      <c r="C72" s="31" t="n"/>
      <c r="D72" s="32" t="n"/>
      <c r="E72" s="32" t="n"/>
      <c r="F72" s="32" t="n"/>
      <c r="G72" s="32" t="n"/>
      <c r="H72" s="32" t="n"/>
      <c r="I72" s="33" t="n"/>
      <c r="J72" s="33" t="n"/>
      <c r="K72" s="33" t="n"/>
      <c r="L72" s="34" t="str">
        <f>IF(AND(ISNUMBER(I72),ISNUMBER(J72),ISNUMBER(K72)),IF(OR(AND(F72="多",I72&gt;J72),AND(F72="空",I72&lt;J72)),ABS(K72-I72)/ABS(I72-J72),"止损方向不对"),"")</f>
        <v/>
      </c>
      <c r="M72" s="35" t="str">
        <f>IF(AND(ISNUMBER(I72),ISNUMBER(J72)),IF(I72=J72,"",IF(INT(ROUND('参数'!$C$7/(ABS(I72-J72)*IF(N(G72)&gt;0,G72,1)+2*(I72*IF(N(G72)&gt;0,G72,1)*'参数'!$C$12+'参数'!$C$13+'参数'!$C$14*IF(N(G72)&gt;0,G72,1)))/IF(N(H72)&gt;0,H72,1),6))*IF(N(H72)&gt;0,H72,1)&gt;0,INT(ROUND('参数'!$C$7/(ABS(I72-J72)*IF(N(G72)&gt;0,G72,1)+2*(I72*IF(N(G72)&gt;0,G72,1)*'参数'!$C$12+'参数'!$C$13+'参数'!$C$14*IF(N(G72)&gt;0,G72,1)))/IF(N(H72)&gt;0,H72,1),6))*IF(N(H72)&gt;0,H72,1),"预算不足，这笔不做")),"")</f>
        <v/>
      </c>
      <c r="N72" s="36" t="n"/>
      <c r="O72" s="20" t="str">
        <f>IF(AND(ISNUMBER(I72),ISNUMBER(J72),ISNUMBER(N72)),IF(AND(I72&lt;&gt;J72,N72&gt;0),ABS(I72-J72)*N72*IF(N(G72)&gt;0,G72,1),""),"")</f>
        <v/>
      </c>
      <c r="P72" s="31" t="n"/>
      <c r="Q72" s="32" t="n"/>
      <c r="R72" s="37" t="str">
        <f>IF(N(U72)&gt;0,SUMPRODUCT(LARGE(('成交明细'!$A$5:$A$804=A72)*('成交明细'!$D$5:$D$804=IF(F72="空","卖","买"))*'成交明细'!$B$5:$B$804,COUNTIFS('成交明细'!$A$5:$A$804,A72,'成交明细'!$D$5:$D$804,IF(F72="空","卖","买")))),"")</f>
        <v/>
      </c>
      <c r="S72" s="37" t="str">
        <f>IF(AND(N(U72)&gt;0,N(W72)&gt;=N(U72)),SUMPRODUCT(MAX(('成交明细'!$A$5:$A$804=A72)*('成交明细'!$D$5:$D$804=IF(F72="空","买","卖"))*'成交明细'!$B$5:$B$804)),"")</f>
        <v/>
      </c>
      <c r="T72" s="38" t="str">
        <f>IF(N(U72)=0,"",IF(SUMPRODUCT(('成交明细'!$A$5:$A$804=A72)*('成交明细'!$D$5:$D$804=IF(F72="空","卖","买"))*ISNUMBER('成交明细'!$C$5:$C$804))=0,"没填时间",IFERROR(VLOOKUP(MOD(SUMPRODUCT(LARGE(('成交明细'!$A$5:$A$804=A72)*('成交明细'!$D$5:$D$804=IF(F72="空","卖","买"))*('成交明细'!$B$5:$B$804+'成交明细'!$C$5:$C$804),COUNTIFS('成交明细'!$A$5:$A$804,A72,'成交明细'!$D$5:$D$804,IF(F72="空","卖","买")))),1),'参数'!$B$39:$C$48,2,TRUE),"")))</f>
        <v/>
      </c>
      <c r="U72" s="35" t="str">
        <f>IF(A72="","",SUMIFS('成交明细'!$F$5:$F$804,'成交明细'!$A$5:$A$804,A72,'成交明细'!$D$5:$D$804,IF(F72="空","卖","买")))</f>
        <v/>
      </c>
      <c r="V72" s="39" t="str">
        <f>IF(N(U72)&gt;0,SUMIFS('成交明细'!$H$5:$H$804,'成交明细'!$A$5:$A$804,A72,'成交明细'!$D$5:$D$804,IF(F72="空","卖","买"))/U72,"")</f>
        <v/>
      </c>
      <c r="W72" s="35" t="str">
        <f>IF(A72="","",SUMIFS('成交明细'!$F$5:$F$804,'成交明细'!$A$5:$A$804,A72,'成交明细'!$D$5:$D$804,IF(F72="空","买","卖")))</f>
        <v/>
      </c>
      <c r="X72" s="39" t="str">
        <f>IF(N(W72)&gt;0,SUMIFS('成交明细'!$H$5:$H$804,'成交明细'!$A$5:$A$804,A72,'成交明细'!$D$5:$D$804,IF(F72="空","买","卖"))/W72,"")</f>
        <v/>
      </c>
      <c r="Y72" s="40" t="str">
        <f>IF(A72="","",IF(Q72&lt;&gt;"已执行",IF(Q72="","未填执行情况",Q72),IF(N(U72)=0,"待录成交",IF(N(W72)&gt;N(U72),"平仓多于开仓",IF(N(W72)&lt;N(U72),"持仓中","已平仓")))))</f>
        <v/>
      </c>
      <c r="Z72" s="41" t="str">
        <f>IF(N(U72)=0,"",SUMIFS('成交明细'!$L$5:$L$804,'成交明细'!$A$5:$A$804,A72))</f>
        <v/>
      </c>
      <c r="AA72" s="42" t="str">
        <f>IF(Y72&lt;&gt;"已平仓","",(SUMIFS('成交明细'!$H$5:$H$804,'成交明细'!$A$5:$A$804,A72,'成交明细'!$D$5:$D$804,"卖")-SUMIFS('成交明细'!$H$5:$H$804,'成交明细'!$A$5:$A$804,A72,'成交明细'!$D$5:$D$804,"买"))*IF(N(G72)&gt;0,G72,1)-Z72)</f>
        <v/>
      </c>
      <c r="AB72" s="43" t="str">
        <f>IF(AND(Y72="已平仓",ISNUMBER(O72)),(SUMIFS('成交明细'!$H$5:$H$804,'成交明细'!$A$5:$A$804,A72,'成交明细'!$D$5:$D$804,"卖")-SUMIFS('成交明细'!$H$5:$H$804,'成交明细'!$A$5:$A$804,A72,'成交明细'!$D$5:$D$804,"买"))*IF(N(G72)&gt;0,G72,1)/O72,"")</f>
        <v/>
      </c>
      <c r="AC72" s="43" t="str">
        <f>IF(AND(Y72="已平仓",ISNUMBER(O72)),AA72/O72,"")</f>
        <v/>
      </c>
      <c r="AD72" s="44" t="str">
        <f>IF(AND(ISNUMBER(V72),ISNUMBER(I72)),IF(F72="空",I72-V72,V72-I72),"")</f>
        <v/>
      </c>
      <c r="AE72" s="44" t="str">
        <f>IF(OR(NOT(ISNUMBER(AA72)),NOT(ISNUMBER(X72))),"",IF(AA72&lt;0,IF(F72="空",X72-J72,J72-X72),IF(NOT(ISNUMBER(K72)),"",IF(F72="空",X72-K72,K72-X72))))</f>
        <v/>
      </c>
      <c r="AF72" s="32" t="n"/>
      <c r="AG72" s="32" t="n"/>
      <c r="AH72" s="31" t="n"/>
      <c r="AI72" s="43" t="str">
        <f>IF(A72="","",SUM(AC$5:AC72))</f>
        <v/>
      </c>
      <c r="AJ72" s="45" t="str">
        <f>IF(A72="","",MAX(0,MAX(AI$5:AI72))-AI72)</f>
        <v/>
      </c>
    </row>
    <row r="73">
      <c r="A73" s="29" t="n"/>
      <c r="B73" s="30" t="n"/>
      <c r="C73" s="31" t="n"/>
      <c r="D73" s="32" t="n"/>
      <c r="E73" s="32" t="n"/>
      <c r="F73" s="32" t="n"/>
      <c r="G73" s="32" t="n"/>
      <c r="H73" s="32" t="n"/>
      <c r="I73" s="33" t="n"/>
      <c r="J73" s="33" t="n"/>
      <c r="K73" s="33" t="n"/>
      <c r="L73" s="34" t="str">
        <f>IF(AND(ISNUMBER(I73),ISNUMBER(J73),ISNUMBER(K73)),IF(OR(AND(F73="多",I73&gt;J73),AND(F73="空",I73&lt;J73)),ABS(K73-I73)/ABS(I73-J73),"止损方向不对"),"")</f>
        <v/>
      </c>
      <c r="M73" s="35" t="str">
        <f>IF(AND(ISNUMBER(I73),ISNUMBER(J73)),IF(I73=J73,"",IF(INT(ROUND('参数'!$C$7/(ABS(I73-J73)*IF(N(G73)&gt;0,G73,1)+2*(I73*IF(N(G73)&gt;0,G73,1)*'参数'!$C$12+'参数'!$C$13+'参数'!$C$14*IF(N(G73)&gt;0,G73,1)))/IF(N(H73)&gt;0,H73,1),6))*IF(N(H73)&gt;0,H73,1)&gt;0,INT(ROUND('参数'!$C$7/(ABS(I73-J73)*IF(N(G73)&gt;0,G73,1)+2*(I73*IF(N(G73)&gt;0,G73,1)*'参数'!$C$12+'参数'!$C$13+'参数'!$C$14*IF(N(G73)&gt;0,G73,1)))/IF(N(H73)&gt;0,H73,1),6))*IF(N(H73)&gt;0,H73,1),"预算不足，这笔不做")),"")</f>
        <v/>
      </c>
      <c r="N73" s="36" t="n"/>
      <c r="O73" s="20" t="str">
        <f>IF(AND(ISNUMBER(I73),ISNUMBER(J73),ISNUMBER(N73)),IF(AND(I73&lt;&gt;J73,N73&gt;0),ABS(I73-J73)*N73*IF(N(G73)&gt;0,G73,1),""),"")</f>
        <v/>
      </c>
      <c r="P73" s="31" t="n"/>
      <c r="Q73" s="32" t="n"/>
      <c r="R73" s="37" t="str">
        <f>IF(N(U73)&gt;0,SUMPRODUCT(LARGE(('成交明细'!$A$5:$A$804=A73)*('成交明细'!$D$5:$D$804=IF(F73="空","卖","买"))*'成交明细'!$B$5:$B$804,COUNTIFS('成交明细'!$A$5:$A$804,A73,'成交明细'!$D$5:$D$804,IF(F73="空","卖","买")))),"")</f>
        <v/>
      </c>
      <c r="S73" s="37" t="str">
        <f>IF(AND(N(U73)&gt;0,N(W73)&gt;=N(U73)),SUMPRODUCT(MAX(('成交明细'!$A$5:$A$804=A73)*('成交明细'!$D$5:$D$804=IF(F73="空","买","卖"))*'成交明细'!$B$5:$B$804)),"")</f>
        <v/>
      </c>
      <c r="T73" s="38" t="str">
        <f>IF(N(U73)=0,"",IF(SUMPRODUCT(('成交明细'!$A$5:$A$804=A73)*('成交明细'!$D$5:$D$804=IF(F73="空","卖","买"))*ISNUMBER('成交明细'!$C$5:$C$804))=0,"没填时间",IFERROR(VLOOKUP(MOD(SUMPRODUCT(LARGE(('成交明细'!$A$5:$A$804=A73)*('成交明细'!$D$5:$D$804=IF(F73="空","卖","买"))*('成交明细'!$B$5:$B$804+'成交明细'!$C$5:$C$804),COUNTIFS('成交明细'!$A$5:$A$804,A73,'成交明细'!$D$5:$D$804,IF(F73="空","卖","买")))),1),'参数'!$B$39:$C$48,2,TRUE),"")))</f>
        <v/>
      </c>
      <c r="U73" s="35" t="str">
        <f>IF(A73="","",SUMIFS('成交明细'!$F$5:$F$804,'成交明细'!$A$5:$A$804,A73,'成交明细'!$D$5:$D$804,IF(F73="空","卖","买")))</f>
        <v/>
      </c>
      <c r="V73" s="39" t="str">
        <f>IF(N(U73)&gt;0,SUMIFS('成交明细'!$H$5:$H$804,'成交明细'!$A$5:$A$804,A73,'成交明细'!$D$5:$D$804,IF(F73="空","卖","买"))/U73,"")</f>
        <v/>
      </c>
      <c r="W73" s="35" t="str">
        <f>IF(A73="","",SUMIFS('成交明细'!$F$5:$F$804,'成交明细'!$A$5:$A$804,A73,'成交明细'!$D$5:$D$804,IF(F73="空","买","卖")))</f>
        <v/>
      </c>
      <c r="X73" s="39" t="str">
        <f>IF(N(W73)&gt;0,SUMIFS('成交明细'!$H$5:$H$804,'成交明细'!$A$5:$A$804,A73,'成交明细'!$D$5:$D$804,IF(F73="空","买","卖"))/W73,"")</f>
        <v/>
      </c>
      <c r="Y73" s="40" t="str">
        <f>IF(A73="","",IF(Q73&lt;&gt;"已执行",IF(Q73="","未填执行情况",Q73),IF(N(U73)=0,"待录成交",IF(N(W73)&gt;N(U73),"平仓多于开仓",IF(N(W73)&lt;N(U73),"持仓中","已平仓")))))</f>
        <v/>
      </c>
      <c r="Z73" s="41" t="str">
        <f>IF(N(U73)=0,"",SUMIFS('成交明细'!$L$5:$L$804,'成交明细'!$A$5:$A$804,A73))</f>
        <v/>
      </c>
      <c r="AA73" s="42" t="str">
        <f>IF(Y73&lt;&gt;"已平仓","",(SUMIFS('成交明细'!$H$5:$H$804,'成交明细'!$A$5:$A$804,A73,'成交明细'!$D$5:$D$804,"卖")-SUMIFS('成交明细'!$H$5:$H$804,'成交明细'!$A$5:$A$804,A73,'成交明细'!$D$5:$D$804,"买"))*IF(N(G73)&gt;0,G73,1)-Z73)</f>
        <v/>
      </c>
      <c r="AB73" s="43" t="str">
        <f>IF(AND(Y73="已平仓",ISNUMBER(O73)),(SUMIFS('成交明细'!$H$5:$H$804,'成交明细'!$A$5:$A$804,A73,'成交明细'!$D$5:$D$804,"卖")-SUMIFS('成交明细'!$H$5:$H$804,'成交明细'!$A$5:$A$804,A73,'成交明细'!$D$5:$D$804,"买"))*IF(N(G73)&gt;0,G73,1)/O73,"")</f>
        <v/>
      </c>
      <c r="AC73" s="43" t="str">
        <f>IF(AND(Y73="已平仓",ISNUMBER(O73)),AA73/O73,"")</f>
        <v/>
      </c>
      <c r="AD73" s="44" t="str">
        <f>IF(AND(ISNUMBER(V73),ISNUMBER(I73)),IF(F73="空",I73-V73,V73-I73),"")</f>
        <v/>
      </c>
      <c r="AE73" s="44" t="str">
        <f>IF(OR(NOT(ISNUMBER(AA73)),NOT(ISNUMBER(X73))),"",IF(AA73&lt;0,IF(F73="空",X73-J73,J73-X73),IF(NOT(ISNUMBER(K73)),"",IF(F73="空",X73-K73,K73-X73))))</f>
        <v/>
      </c>
      <c r="AF73" s="32" t="n"/>
      <c r="AG73" s="32" t="n"/>
      <c r="AH73" s="31" t="n"/>
      <c r="AI73" s="43" t="str">
        <f>IF(A73="","",SUM(AC$5:AC73))</f>
        <v/>
      </c>
      <c r="AJ73" s="45" t="str">
        <f>IF(A73="","",MAX(0,MAX(AI$5:AI73))-AI73)</f>
        <v/>
      </c>
    </row>
    <row r="74">
      <c r="A74" s="29" t="n"/>
      <c r="B74" s="30" t="n"/>
      <c r="C74" s="31" t="n"/>
      <c r="D74" s="32" t="n"/>
      <c r="E74" s="32" t="n"/>
      <c r="F74" s="32" t="n"/>
      <c r="G74" s="32" t="n"/>
      <c r="H74" s="32" t="n"/>
      <c r="I74" s="33" t="n"/>
      <c r="J74" s="33" t="n"/>
      <c r="K74" s="33" t="n"/>
      <c r="L74" s="34" t="str">
        <f>IF(AND(ISNUMBER(I74),ISNUMBER(J74),ISNUMBER(K74)),IF(OR(AND(F74="多",I74&gt;J74),AND(F74="空",I74&lt;J74)),ABS(K74-I74)/ABS(I74-J74),"止损方向不对"),"")</f>
        <v/>
      </c>
      <c r="M74" s="35" t="str">
        <f>IF(AND(ISNUMBER(I74),ISNUMBER(J74)),IF(I74=J74,"",IF(INT(ROUND('参数'!$C$7/(ABS(I74-J74)*IF(N(G74)&gt;0,G74,1)+2*(I74*IF(N(G74)&gt;0,G74,1)*'参数'!$C$12+'参数'!$C$13+'参数'!$C$14*IF(N(G74)&gt;0,G74,1)))/IF(N(H74)&gt;0,H74,1),6))*IF(N(H74)&gt;0,H74,1)&gt;0,INT(ROUND('参数'!$C$7/(ABS(I74-J74)*IF(N(G74)&gt;0,G74,1)+2*(I74*IF(N(G74)&gt;0,G74,1)*'参数'!$C$12+'参数'!$C$13+'参数'!$C$14*IF(N(G74)&gt;0,G74,1)))/IF(N(H74)&gt;0,H74,1),6))*IF(N(H74)&gt;0,H74,1),"预算不足，这笔不做")),"")</f>
        <v/>
      </c>
      <c r="N74" s="36" t="n"/>
      <c r="O74" s="20" t="str">
        <f>IF(AND(ISNUMBER(I74),ISNUMBER(J74),ISNUMBER(N74)),IF(AND(I74&lt;&gt;J74,N74&gt;0),ABS(I74-J74)*N74*IF(N(G74)&gt;0,G74,1),""),"")</f>
        <v/>
      </c>
      <c r="P74" s="31" t="n"/>
      <c r="Q74" s="32" t="n"/>
      <c r="R74" s="37" t="str">
        <f>IF(N(U74)&gt;0,SUMPRODUCT(LARGE(('成交明细'!$A$5:$A$804=A74)*('成交明细'!$D$5:$D$804=IF(F74="空","卖","买"))*'成交明细'!$B$5:$B$804,COUNTIFS('成交明细'!$A$5:$A$804,A74,'成交明细'!$D$5:$D$804,IF(F74="空","卖","买")))),"")</f>
        <v/>
      </c>
      <c r="S74" s="37" t="str">
        <f>IF(AND(N(U74)&gt;0,N(W74)&gt;=N(U74)),SUMPRODUCT(MAX(('成交明细'!$A$5:$A$804=A74)*('成交明细'!$D$5:$D$804=IF(F74="空","买","卖"))*'成交明细'!$B$5:$B$804)),"")</f>
        <v/>
      </c>
      <c r="T74" s="38" t="str">
        <f>IF(N(U74)=0,"",IF(SUMPRODUCT(('成交明细'!$A$5:$A$804=A74)*('成交明细'!$D$5:$D$804=IF(F74="空","卖","买"))*ISNUMBER('成交明细'!$C$5:$C$804))=0,"没填时间",IFERROR(VLOOKUP(MOD(SUMPRODUCT(LARGE(('成交明细'!$A$5:$A$804=A74)*('成交明细'!$D$5:$D$804=IF(F74="空","卖","买"))*('成交明细'!$B$5:$B$804+'成交明细'!$C$5:$C$804),COUNTIFS('成交明细'!$A$5:$A$804,A74,'成交明细'!$D$5:$D$804,IF(F74="空","卖","买")))),1),'参数'!$B$39:$C$48,2,TRUE),"")))</f>
        <v/>
      </c>
      <c r="U74" s="35" t="str">
        <f>IF(A74="","",SUMIFS('成交明细'!$F$5:$F$804,'成交明细'!$A$5:$A$804,A74,'成交明细'!$D$5:$D$804,IF(F74="空","卖","买")))</f>
        <v/>
      </c>
      <c r="V74" s="39" t="str">
        <f>IF(N(U74)&gt;0,SUMIFS('成交明细'!$H$5:$H$804,'成交明细'!$A$5:$A$804,A74,'成交明细'!$D$5:$D$804,IF(F74="空","卖","买"))/U74,"")</f>
        <v/>
      </c>
      <c r="W74" s="35" t="str">
        <f>IF(A74="","",SUMIFS('成交明细'!$F$5:$F$804,'成交明细'!$A$5:$A$804,A74,'成交明细'!$D$5:$D$804,IF(F74="空","买","卖")))</f>
        <v/>
      </c>
      <c r="X74" s="39" t="str">
        <f>IF(N(W74)&gt;0,SUMIFS('成交明细'!$H$5:$H$804,'成交明细'!$A$5:$A$804,A74,'成交明细'!$D$5:$D$804,IF(F74="空","买","卖"))/W74,"")</f>
        <v/>
      </c>
      <c r="Y74" s="40" t="str">
        <f>IF(A74="","",IF(Q74&lt;&gt;"已执行",IF(Q74="","未填执行情况",Q74),IF(N(U74)=0,"待录成交",IF(N(W74)&gt;N(U74),"平仓多于开仓",IF(N(W74)&lt;N(U74),"持仓中","已平仓")))))</f>
        <v/>
      </c>
      <c r="Z74" s="41" t="str">
        <f>IF(N(U74)=0,"",SUMIFS('成交明细'!$L$5:$L$804,'成交明细'!$A$5:$A$804,A74))</f>
        <v/>
      </c>
      <c r="AA74" s="42" t="str">
        <f>IF(Y74&lt;&gt;"已平仓","",(SUMIFS('成交明细'!$H$5:$H$804,'成交明细'!$A$5:$A$804,A74,'成交明细'!$D$5:$D$804,"卖")-SUMIFS('成交明细'!$H$5:$H$804,'成交明细'!$A$5:$A$804,A74,'成交明细'!$D$5:$D$804,"买"))*IF(N(G74)&gt;0,G74,1)-Z74)</f>
        <v/>
      </c>
      <c r="AB74" s="43" t="str">
        <f>IF(AND(Y74="已平仓",ISNUMBER(O74)),(SUMIFS('成交明细'!$H$5:$H$804,'成交明细'!$A$5:$A$804,A74,'成交明细'!$D$5:$D$804,"卖")-SUMIFS('成交明细'!$H$5:$H$804,'成交明细'!$A$5:$A$804,A74,'成交明细'!$D$5:$D$804,"买"))*IF(N(G74)&gt;0,G74,1)/O74,"")</f>
        <v/>
      </c>
      <c r="AC74" s="43" t="str">
        <f>IF(AND(Y74="已平仓",ISNUMBER(O74)),AA74/O74,"")</f>
        <v/>
      </c>
      <c r="AD74" s="44" t="str">
        <f>IF(AND(ISNUMBER(V74),ISNUMBER(I74)),IF(F74="空",I74-V74,V74-I74),"")</f>
        <v/>
      </c>
      <c r="AE74" s="44" t="str">
        <f>IF(OR(NOT(ISNUMBER(AA74)),NOT(ISNUMBER(X74))),"",IF(AA74&lt;0,IF(F74="空",X74-J74,J74-X74),IF(NOT(ISNUMBER(K74)),"",IF(F74="空",X74-K74,K74-X74))))</f>
        <v/>
      </c>
      <c r="AF74" s="32" t="n"/>
      <c r="AG74" s="32" t="n"/>
      <c r="AH74" s="31" t="n"/>
      <c r="AI74" s="43" t="str">
        <f>IF(A74="","",SUM(AC$5:AC74))</f>
        <v/>
      </c>
      <c r="AJ74" s="45" t="str">
        <f>IF(A74="","",MAX(0,MAX(AI$5:AI74))-AI74)</f>
        <v/>
      </c>
    </row>
    <row r="75">
      <c r="A75" s="29" t="n"/>
      <c r="B75" s="30" t="n"/>
      <c r="C75" s="31" t="n"/>
      <c r="D75" s="32" t="n"/>
      <c r="E75" s="32" t="n"/>
      <c r="F75" s="32" t="n"/>
      <c r="G75" s="32" t="n"/>
      <c r="H75" s="32" t="n"/>
      <c r="I75" s="33" t="n"/>
      <c r="J75" s="33" t="n"/>
      <c r="K75" s="33" t="n"/>
      <c r="L75" s="34" t="str">
        <f>IF(AND(ISNUMBER(I75),ISNUMBER(J75),ISNUMBER(K75)),IF(OR(AND(F75="多",I75&gt;J75),AND(F75="空",I75&lt;J75)),ABS(K75-I75)/ABS(I75-J75),"止损方向不对"),"")</f>
        <v/>
      </c>
      <c r="M75" s="35" t="str">
        <f>IF(AND(ISNUMBER(I75),ISNUMBER(J75)),IF(I75=J75,"",IF(INT(ROUND('参数'!$C$7/(ABS(I75-J75)*IF(N(G75)&gt;0,G75,1)+2*(I75*IF(N(G75)&gt;0,G75,1)*'参数'!$C$12+'参数'!$C$13+'参数'!$C$14*IF(N(G75)&gt;0,G75,1)))/IF(N(H75)&gt;0,H75,1),6))*IF(N(H75)&gt;0,H75,1)&gt;0,INT(ROUND('参数'!$C$7/(ABS(I75-J75)*IF(N(G75)&gt;0,G75,1)+2*(I75*IF(N(G75)&gt;0,G75,1)*'参数'!$C$12+'参数'!$C$13+'参数'!$C$14*IF(N(G75)&gt;0,G75,1)))/IF(N(H75)&gt;0,H75,1),6))*IF(N(H75)&gt;0,H75,1),"预算不足，这笔不做")),"")</f>
        <v/>
      </c>
      <c r="N75" s="36" t="n"/>
      <c r="O75" s="20" t="str">
        <f>IF(AND(ISNUMBER(I75),ISNUMBER(J75),ISNUMBER(N75)),IF(AND(I75&lt;&gt;J75,N75&gt;0),ABS(I75-J75)*N75*IF(N(G75)&gt;0,G75,1),""),"")</f>
        <v/>
      </c>
      <c r="P75" s="31" t="n"/>
      <c r="Q75" s="32" t="n"/>
      <c r="R75" s="37" t="str">
        <f>IF(N(U75)&gt;0,SUMPRODUCT(LARGE(('成交明细'!$A$5:$A$804=A75)*('成交明细'!$D$5:$D$804=IF(F75="空","卖","买"))*'成交明细'!$B$5:$B$804,COUNTIFS('成交明细'!$A$5:$A$804,A75,'成交明细'!$D$5:$D$804,IF(F75="空","卖","买")))),"")</f>
        <v/>
      </c>
      <c r="S75" s="37" t="str">
        <f>IF(AND(N(U75)&gt;0,N(W75)&gt;=N(U75)),SUMPRODUCT(MAX(('成交明细'!$A$5:$A$804=A75)*('成交明细'!$D$5:$D$804=IF(F75="空","买","卖"))*'成交明细'!$B$5:$B$804)),"")</f>
        <v/>
      </c>
      <c r="T75" s="38" t="str">
        <f>IF(N(U75)=0,"",IF(SUMPRODUCT(('成交明细'!$A$5:$A$804=A75)*('成交明细'!$D$5:$D$804=IF(F75="空","卖","买"))*ISNUMBER('成交明细'!$C$5:$C$804))=0,"没填时间",IFERROR(VLOOKUP(MOD(SUMPRODUCT(LARGE(('成交明细'!$A$5:$A$804=A75)*('成交明细'!$D$5:$D$804=IF(F75="空","卖","买"))*('成交明细'!$B$5:$B$804+'成交明细'!$C$5:$C$804),COUNTIFS('成交明细'!$A$5:$A$804,A75,'成交明细'!$D$5:$D$804,IF(F75="空","卖","买")))),1),'参数'!$B$39:$C$48,2,TRUE),"")))</f>
        <v/>
      </c>
      <c r="U75" s="35" t="str">
        <f>IF(A75="","",SUMIFS('成交明细'!$F$5:$F$804,'成交明细'!$A$5:$A$804,A75,'成交明细'!$D$5:$D$804,IF(F75="空","卖","买")))</f>
        <v/>
      </c>
      <c r="V75" s="39" t="str">
        <f>IF(N(U75)&gt;0,SUMIFS('成交明细'!$H$5:$H$804,'成交明细'!$A$5:$A$804,A75,'成交明细'!$D$5:$D$804,IF(F75="空","卖","买"))/U75,"")</f>
        <v/>
      </c>
      <c r="W75" s="35" t="str">
        <f>IF(A75="","",SUMIFS('成交明细'!$F$5:$F$804,'成交明细'!$A$5:$A$804,A75,'成交明细'!$D$5:$D$804,IF(F75="空","买","卖")))</f>
        <v/>
      </c>
      <c r="X75" s="39" t="str">
        <f>IF(N(W75)&gt;0,SUMIFS('成交明细'!$H$5:$H$804,'成交明细'!$A$5:$A$804,A75,'成交明细'!$D$5:$D$804,IF(F75="空","买","卖"))/W75,"")</f>
        <v/>
      </c>
      <c r="Y75" s="40" t="str">
        <f>IF(A75="","",IF(Q75&lt;&gt;"已执行",IF(Q75="","未填执行情况",Q75),IF(N(U75)=0,"待录成交",IF(N(W75)&gt;N(U75),"平仓多于开仓",IF(N(W75)&lt;N(U75),"持仓中","已平仓")))))</f>
        <v/>
      </c>
      <c r="Z75" s="41" t="str">
        <f>IF(N(U75)=0,"",SUMIFS('成交明细'!$L$5:$L$804,'成交明细'!$A$5:$A$804,A75))</f>
        <v/>
      </c>
      <c r="AA75" s="42" t="str">
        <f>IF(Y75&lt;&gt;"已平仓","",(SUMIFS('成交明细'!$H$5:$H$804,'成交明细'!$A$5:$A$804,A75,'成交明细'!$D$5:$D$804,"卖")-SUMIFS('成交明细'!$H$5:$H$804,'成交明细'!$A$5:$A$804,A75,'成交明细'!$D$5:$D$804,"买"))*IF(N(G75)&gt;0,G75,1)-Z75)</f>
        <v/>
      </c>
      <c r="AB75" s="43" t="str">
        <f>IF(AND(Y75="已平仓",ISNUMBER(O75)),(SUMIFS('成交明细'!$H$5:$H$804,'成交明细'!$A$5:$A$804,A75,'成交明细'!$D$5:$D$804,"卖")-SUMIFS('成交明细'!$H$5:$H$804,'成交明细'!$A$5:$A$804,A75,'成交明细'!$D$5:$D$804,"买"))*IF(N(G75)&gt;0,G75,1)/O75,"")</f>
        <v/>
      </c>
      <c r="AC75" s="43" t="str">
        <f>IF(AND(Y75="已平仓",ISNUMBER(O75)),AA75/O75,"")</f>
        <v/>
      </c>
      <c r="AD75" s="44" t="str">
        <f>IF(AND(ISNUMBER(V75),ISNUMBER(I75)),IF(F75="空",I75-V75,V75-I75),"")</f>
        <v/>
      </c>
      <c r="AE75" s="44" t="str">
        <f>IF(OR(NOT(ISNUMBER(AA75)),NOT(ISNUMBER(X75))),"",IF(AA75&lt;0,IF(F75="空",X75-J75,J75-X75),IF(NOT(ISNUMBER(K75)),"",IF(F75="空",X75-K75,K75-X75))))</f>
        <v/>
      </c>
      <c r="AF75" s="32" t="n"/>
      <c r="AG75" s="32" t="n"/>
      <c r="AH75" s="31" t="n"/>
      <c r="AI75" s="43" t="str">
        <f>IF(A75="","",SUM(AC$5:AC75))</f>
        <v/>
      </c>
      <c r="AJ75" s="45" t="str">
        <f>IF(A75="","",MAX(0,MAX(AI$5:AI75))-AI75)</f>
        <v/>
      </c>
    </row>
    <row r="76">
      <c r="A76" s="29" t="n"/>
      <c r="B76" s="30" t="n"/>
      <c r="C76" s="31" t="n"/>
      <c r="D76" s="32" t="n"/>
      <c r="E76" s="32" t="n"/>
      <c r="F76" s="32" t="n"/>
      <c r="G76" s="32" t="n"/>
      <c r="H76" s="32" t="n"/>
      <c r="I76" s="33" t="n"/>
      <c r="J76" s="33" t="n"/>
      <c r="K76" s="33" t="n"/>
      <c r="L76" s="34" t="str">
        <f>IF(AND(ISNUMBER(I76),ISNUMBER(J76),ISNUMBER(K76)),IF(OR(AND(F76="多",I76&gt;J76),AND(F76="空",I76&lt;J76)),ABS(K76-I76)/ABS(I76-J76),"止损方向不对"),"")</f>
        <v/>
      </c>
      <c r="M76" s="35" t="str">
        <f>IF(AND(ISNUMBER(I76),ISNUMBER(J76)),IF(I76=J76,"",IF(INT(ROUND('参数'!$C$7/(ABS(I76-J76)*IF(N(G76)&gt;0,G76,1)+2*(I76*IF(N(G76)&gt;0,G76,1)*'参数'!$C$12+'参数'!$C$13+'参数'!$C$14*IF(N(G76)&gt;0,G76,1)))/IF(N(H76)&gt;0,H76,1),6))*IF(N(H76)&gt;0,H76,1)&gt;0,INT(ROUND('参数'!$C$7/(ABS(I76-J76)*IF(N(G76)&gt;0,G76,1)+2*(I76*IF(N(G76)&gt;0,G76,1)*'参数'!$C$12+'参数'!$C$13+'参数'!$C$14*IF(N(G76)&gt;0,G76,1)))/IF(N(H76)&gt;0,H76,1),6))*IF(N(H76)&gt;0,H76,1),"预算不足，这笔不做")),"")</f>
        <v/>
      </c>
      <c r="N76" s="36" t="n"/>
      <c r="O76" s="20" t="str">
        <f>IF(AND(ISNUMBER(I76),ISNUMBER(J76),ISNUMBER(N76)),IF(AND(I76&lt;&gt;J76,N76&gt;0),ABS(I76-J76)*N76*IF(N(G76)&gt;0,G76,1),""),"")</f>
        <v/>
      </c>
      <c r="P76" s="31" t="n"/>
      <c r="Q76" s="32" t="n"/>
      <c r="R76" s="37" t="str">
        <f>IF(N(U76)&gt;0,SUMPRODUCT(LARGE(('成交明细'!$A$5:$A$804=A76)*('成交明细'!$D$5:$D$804=IF(F76="空","卖","买"))*'成交明细'!$B$5:$B$804,COUNTIFS('成交明细'!$A$5:$A$804,A76,'成交明细'!$D$5:$D$804,IF(F76="空","卖","买")))),"")</f>
        <v/>
      </c>
      <c r="S76" s="37" t="str">
        <f>IF(AND(N(U76)&gt;0,N(W76)&gt;=N(U76)),SUMPRODUCT(MAX(('成交明细'!$A$5:$A$804=A76)*('成交明细'!$D$5:$D$804=IF(F76="空","买","卖"))*'成交明细'!$B$5:$B$804)),"")</f>
        <v/>
      </c>
      <c r="T76" s="38" t="str">
        <f>IF(N(U76)=0,"",IF(SUMPRODUCT(('成交明细'!$A$5:$A$804=A76)*('成交明细'!$D$5:$D$804=IF(F76="空","卖","买"))*ISNUMBER('成交明细'!$C$5:$C$804))=0,"没填时间",IFERROR(VLOOKUP(MOD(SUMPRODUCT(LARGE(('成交明细'!$A$5:$A$804=A76)*('成交明细'!$D$5:$D$804=IF(F76="空","卖","买"))*('成交明细'!$B$5:$B$804+'成交明细'!$C$5:$C$804),COUNTIFS('成交明细'!$A$5:$A$804,A76,'成交明细'!$D$5:$D$804,IF(F76="空","卖","买")))),1),'参数'!$B$39:$C$48,2,TRUE),"")))</f>
        <v/>
      </c>
      <c r="U76" s="35" t="str">
        <f>IF(A76="","",SUMIFS('成交明细'!$F$5:$F$804,'成交明细'!$A$5:$A$804,A76,'成交明细'!$D$5:$D$804,IF(F76="空","卖","买")))</f>
        <v/>
      </c>
      <c r="V76" s="39" t="str">
        <f>IF(N(U76)&gt;0,SUMIFS('成交明细'!$H$5:$H$804,'成交明细'!$A$5:$A$804,A76,'成交明细'!$D$5:$D$804,IF(F76="空","卖","买"))/U76,"")</f>
        <v/>
      </c>
      <c r="W76" s="35" t="str">
        <f>IF(A76="","",SUMIFS('成交明细'!$F$5:$F$804,'成交明细'!$A$5:$A$804,A76,'成交明细'!$D$5:$D$804,IF(F76="空","买","卖")))</f>
        <v/>
      </c>
      <c r="X76" s="39" t="str">
        <f>IF(N(W76)&gt;0,SUMIFS('成交明细'!$H$5:$H$804,'成交明细'!$A$5:$A$804,A76,'成交明细'!$D$5:$D$804,IF(F76="空","买","卖"))/W76,"")</f>
        <v/>
      </c>
      <c r="Y76" s="40" t="str">
        <f>IF(A76="","",IF(Q76&lt;&gt;"已执行",IF(Q76="","未填执行情况",Q76),IF(N(U76)=0,"待录成交",IF(N(W76)&gt;N(U76),"平仓多于开仓",IF(N(W76)&lt;N(U76),"持仓中","已平仓")))))</f>
        <v/>
      </c>
      <c r="Z76" s="41" t="str">
        <f>IF(N(U76)=0,"",SUMIFS('成交明细'!$L$5:$L$804,'成交明细'!$A$5:$A$804,A76))</f>
        <v/>
      </c>
      <c r="AA76" s="42" t="str">
        <f>IF(Y76&lt;&gt;"已平仓","",(SUMIFS('成交明细'!$H$5:$H$804,'成交明细'!$A$5:$A$804,A76,'成交明细'!$D$5:$D$804,"卖")-SUMIFS('成交明细'!$H$5:$H$804,'成交明细'!$A$5:$A$804,A76,'成交明细'!$D$5:$D$804,"买"))*IF(N(G76)&gt;0,G76,1)-Z76)</f>
        <v/>
      </c>
      <c r="AB76" s="43" t="str">
        <f>IF(AND(Y76="已平仓",ISNUMBER(O76)),(SUMIFS('成交明细'!$H$5:$H$804,'成交明细'!$A$5:$A$804,A76,'成交明细'!$D$5:$D$804,"卖")-SUMIFS('成交明细'!$H$5:$H$804,'成交明细'!$A$5:$A$804,A76,'成交明细'!$D$5:$D$804,"买"))*IF(N(G76)&gt;0,G76,1)/O76,"")</f>
        <v/>
      </c>
      <c r="AC76" s="43" t="str">
        <f>IF(AND(Y76="已平仓",ISNUMBER(O76)),AA76/O76,"")</f>
        <v/>
      </c>
      <c r="AD76" s="44" t="str">
        <f>IF(AND(ISNUMBER(V76),ISNUMBER(I76)),IF(F76="空",I76-V76,V76-I76),"")</f>
        <v/>
      </c>
      <c r="AE76" s="44" t="str">
        <f>IF(OR(NOT(ISNUMBER(AA76)),NOT(ISNUMBER(X76))),"",IF(AA76&lt;0,IF(F76="空",X76-J76,J76-X76),IF(NOT(ISNUMBER(K76)),"",IF(F76="空",X76-K76,K76-X76))))</f>
        <v/>
      </c>
      <c r="AF76" s="32" t="n"/>
      <c r="AG76" s="32" t="n"/>
      <c r="AH76" s="31" t="n"/>
      <c r="AI76" s="43" t="str">
        <f>IF(A76="","",SUM(AC$5:AC76))</f>
        <v/>
      </c>
      <c r="AJ76" s="45" t="str">
        <f>IF(A76="","",MAX(0,MAX(AI$5:AI76))-AI76)</f>
        <v/>
      </c>
    </row>
    <row r="77">
      <c r="A77" s="29" t="n"/>
      <c r="B77" s="30" t="n"/>
      <c r="C77" s="31" t="n"/>
      <c r="D77" s="32" t="n"/>
      <c r="E77" s="32" t="n"/>
      <c r="F77" s="32" t="n"/>
      <c r="G77" s="32" t="n"/>
      <c r="H77" s="32" t="n"/>
      <c r="I77" s="33" t="n"/>
      <c r="J77" s="33" t="n"/>
      <c r="K77" s="33" t="n"/>
      <c r="L77" s="34" t="str">
        <f>IF(AND(ISNUMBER(I77),ISNUMBER(J77),ISNUMBER(K77)),IF(OR(AND(F77="多",I77&gt;J77),AND(F77="空",I77&lt;J77)),ABS(K77-I77)/ABS(I77-J77),"止损方向不对"),"")</f>
        <v/>
      </c>
      <c r="M77" s="35" t="str">
        <f>IF(AND(ISNUMBER(I77),ISNUMBER(J77)),IF(I77=J77,"",IF(INT(ROUND('参数'!$C$7/(ABS(I77-J77)*IF(N(G77)&gt;0,G77,1)+2*(I77*IF(N(G77)&gt;0,G77,1)*'参数'!$C$12+'参数'!$C$13+'参数'!$C$14*IF(N(G77)&gt;0,G77,1)))/IF(N(H77)&gt;0,H77,1),6))*IF(N(H77)&gt;0,H77,1)&gt;0,INT(ROUND('参数'!$C$7/(ABS(I77-J77)*IF(N(G77)&gt;0,G77,1)+2*(I77*IF(N(G77)&gt;0,G77,1)*'参数'!$C$12+'参数'!$C$13+'参数'!$C$14*IF(N(G77)&gt;0,G77,1)))/IF(N(H77)&gt;0,H77,1),6))*IF(N(H77)&gt;0,H77,1),"预算不足，这笔不做")),"")</f>
        <v/>
      </c>
      <c r="N77" s="36" t="n"/>
      <c r="O77" s="20" t="str">
        <f>IF(AND(ISNUMBER(I77),ISNUMBER(J77),ISNUMBER(N77)),IF(AND(I77&lt;&gt;J77,N77&gt;0),ABS(I77-J77)*N77*IF(N(G77)&gt;0,G77,1),""),"")</f>
        <v/>
      </c>
      <c r="P77" s="31" t="n"/>
      <c r="Q77" s="32" t="n"/>
      <c r="R77" s="37" t="str">
        <f>IF(N(U77)&gt;0,SUMPRODUCT(LARGE(('成交明细'!$A$5:$A$804=A77)*('成交明细'!$D$5:$D$804=IF(F77="空","卖","买"))*'成交明细'!$B$5:$B$804,COUNTIFS('成交明细'!$A$5:$A$804,A77,'成交明细'!$D$5:$D$804,IF(F77="空","卖","买")))),"")</f>
        <v/>
      </c>
      <c r="S77" s="37" t="str">
        <f>IF(AND(N(U77)&gt;0,N(W77)&gt;=N(U77)),SUMPRODUCT(MAX(('成交明细'!$A$5:$A$804=A77)*('成交明细'!$D$5:$D$804=IF(F77="空","买","卖"))*'成交明细'!$B$5:$B$804)),"")</f>
        <v/>
      </c>
      <c r="T77" s="38" t="str">
        <f>IF(N(U77)=0,"",IF(SUMPRODUCT(('成交明细'!$A$5:$A$804=A77)*('成交明细'!$D$5:$D$804=IF(F77="空","卖","买"))*ISNUMBER('成交明细'!$C$5:$C$804))=0,"没填时间",IFERROR(VLOOKUP(MOD(SUMPRODUCT(LARGE(('成交明细'!$A$5:$A$804=A77)*('成交明细'!$D$5:$D$804=IF(F77="空","卖","买"))*('成交明细'!$B$5:$B$804+'成交明细'!$C$5:$C$804),COUNTIFS('成交明细'!$A$5:$A$804,A77,'成交明细'!$D$5:$D$804,IF(F77="空","卖","买")))),1),'参数'!$B$39:$C$48,2,TRUE),"")))</f>
        <v/>
      </c>
      <c r="U77" s="35" t="str">
        <f>IF(A77="","",SUMIFS('成交明细'!$F$5:$F$804,'成交明细'!$A$5:$A$804,A77,'成交明细'!$D$5:$D$804,IF(F77="空","卖","买")))</f>
        <v/>
      </c>
      <c r="V77" s="39" t="str">
        <f>IF(N(U77)&gt;0,SUMIFS('成交明细'!$H$5:$H$804,'成交明细'!$A$5:$A$804,A77,'成交明细'!$D$5:$D$804,IF(F77="空","卖","买"))/U77,"")</f>
        <v/>
      </c>
      <c r="W77" s="35" t="str">
        <f>IF(A77="","",SUMIFS('成交明细'!$F$5:$F$804,'成交明细'!$A$5:$A$804,A77,'成交明细'!$D$5:$D$804,IF(F77="空","买","卖")))</f>
        <v/>
      </c>
      <c r="X77" s="39" t="str">
        <f>IF(N(W77)&gt;0,SUMIFS('成交明细'!$H$5:$H$804,'成交明细'!$A$5:$A$804,A77,'成交明细'!$D$5:$D$804,IF(F77="空","买","卖"))/W77,"")</f>
        <v/>
      </c>
      <c r="Y77" s="40" t="str">
        <f>IF(A77="","",IF(Q77&lt;&gt;"已执行",IF(Q77="","未填执行情况",Q77),IF(N(U77)=0,"待录成交",IF(N(W77)&gt;N(U77),"平仓多于开仓",IF(N(W77)&lt;N(U77),"持仓中","已平仓")))))</f>
        <v/>
      </c>
      <c r="Z77" s="41" t="str">
        <f>IF(N(U77)=0,"",SUMIFS('成交明细'!$L$5:$L$804,'成交明细'!$A$5:$A$804,A77))</f>
        <v/>
      </c>
      <c r="AA77" s="42" t="str">
        <f>IF(Y77&lt;&gt;"已平仓","",(SUMIFS('成交明细'!$H$5:$H$804,'成交明细'!$A$5:$A$804,A77,'成交明细'!$D$5:$D$804,"卖")-SUMIFS('成交明细'!$H$5:$H$804,'成交明细'!$A$5:$A$804,A77,'成交明细'!$D$5:$D$804,"买"))*IF(N(G77)&gt;0,G77,1)-Z77)</f>
        <v/>
      </c>
      <c r="AB77" s="43" t="str">
        <f>IF(AND(Y77="已平仓",ISNUMBER(O77)),(SUMIFS('成交明细'!$H$5:$H$804,'成交明细'!$A$5:$A$804,A77,'成交明细'!$D$5:$D$804,"卖")-SUMIFS('成交明细'!$H$5:$H$804,'成交明细'!$A$5:$A$804,A77,'成交明细'!$D$5:$D$804,"买"))*IF(N(G77)&gt;0,G77,1)/O77,"")</f>
        <v/>
      </c>
      <c r="AC77" s="43" t="str">
        <f>IF(AND(Y77="已平仓",ISNUMBER(O77)),AA77/O77,"")</f>
        <v/>
      </c>
      <c r="AD77" s="44" t="str">
        <f>IF(AND(ISNUMBER(V77),ISNUMBER(I77)),IF(F77="空",I77-V77,V77-I77),"")</f>
        <v/>
      </c>
      <c r="AE77" s="44" t="str">
        <f>IF(OR(NOT(ISNUMBER(AA77)),NOT(ISNUMBER(X77))),"",IF(AA77&lt;0,IF(F77="空",X77-J77,J77-X77),IF(NOT(ISNUMBER(K77)),"",IF(F77="空",X77-K77,K77-X77))))</f>
        <v/>
      </c>
      <c r="AF77" s="32" t="n"/>
      <c r="AG77" s="32" t="n"/>
      <c r="AH77" s="31" t="n"/>
      <c r="AI77" s="43" t="str">
        <f>IF(A77="","",SUM(AC$5:AC77))</f>
        <v/>
      </c>
      <c r="AJ77" s="45" t="str">
        <f>IF(A77="","",MAX(0,MAX(AI$5:AI77))-AI77)</f>
        <v/>
      </c>
    </row>
    <row r="78">
      <c r="A78" s="29" t="n"/>
      <c r="B78" s="30" t="n"/>
      <c r="C78" s="31" t="n"/>
      <c r="D78" s="32" t="n"/>
      <c r="E78" s="32" t="n"/>
      <c r="F78" s="32" t="n"/>
      <c r="G78" s="32" t="n"/>
      <c r="H78" s="32" t="n"/>
      <c r="I78" s="33" t="n"/>
      <c r="J78" s="33" t="n"/>
      <c r="K78" s="33" t="n"/>
      <c r="L78" s="34" t="str">
        <f>IF(AND(ISNUMBER(I78),ISNUMBER(J78),ISNUMBER(K78)),IF(OR(AND(F78="多",I78&gt;J78),AND(F78="空",I78&lt;J78)),ABS(K78-I78)/ABS(I78-J78),"止损方向不对"),"")</f>
        <v/>
      </c>
      <c r="M78" s="35" t="str">
        <f>IF(AND(ISNUMBER(I78),ISNUMBER(J78)),IF(I78=J78,"",IF(INT(ROUND('参数'!$C$7/(ABS(I78-J78)*IF(N(G78)&gt;0,G78,1)+2*(I78*IF(N(G78)&gt;0,G78,1)*'参数'!$C$12+'参数'!$C$13+'参数'!$C$14*IF(N(G78)&gt;0,G78,1)))/IF(N(H78)&gt;0,H78,1),6))*IF(N(H78)&gt;0,H78,1)&gt;0,INT(ROUND('参数'!$C$7/(ABS(I78-J78)*IF(N(G78)&gt;0,G78,1)+2*(I78*IF(N(G78)&gt;0,G78,1)*'参数'!$C$12+'参数'!$C$13+'参数'!$C$14*IF(N(G78)&gt;0,G78,1)))/IF(N(H78)&gt;0,H78,1),6))*IF(N(H78)&gt;0,H78,1),"预算不足，这笔不做")),"")</f>
        <v/>
      </c>
      <c r="N78" s="36" t="n"/>
      <c r="O78" s="20" t="str">
        <f>IF(AND(ISNUMBER(I78),ISNUMBER(J78),ISNUMBER(N78)),IF(AND(I78&lt;&gt;J78,N78&gt;0),ABS(I78-J78)*N78*IF(N(G78)&gt;0,G78,1),""),"")</f>
        <v/>
      </c>
      <c r="P78" s="31" t="n"/>
      <c r="Q78" s="32" t="n"/>
      <c r="R78" s="37" t="str">
        <f>IF(N(U78)&gt;0,SUMPRODUCT(LARGE(('成交明细'!$A$5:$A$804=A78)*('成交明细'!$D$5:$D$804=IF(F78="空","卖","买"))*'成交明细'!$B$5:$B$804,COUNTIFS('成交明细'!$A$5:$A$804,A78,'成交明细'!$D$5:$D$804,IF(F78="空","卖","买")))),"")</f>
        <v/>
      </c>
      <c r="S78" s="37" t="str">
        <f>IF(AND(N(U78)&gt;0,N(W78)&gt;=N(U78)),SUMPRODUCT(MAX(('成交明细'!$A$5:$A$804=A78)*('成交明细'!$D$5:$D$804=IF(F78="空","买","卖"))*'成交明细'!$B$5:$B$804)),"")</f>
        <v/>
      </c>
      <c r="T78" s="38" t="str">
        <f>IF(N(U78)=0,"",IF(SUMPRODUCT(('成交明细'!$A$5:$A$804=A78)*('成交明细'!$D$5:$D$804=IF(F78="空","卖","买"))*ISNUMBER('成交明细'!$C$5:$C$804))=0,"没填时间",IFERROR(VLOOKUP(MOD(SUMPRODUCT(LARGE(('成交明细'!$A$5:$A$804=A78)*('成交明细'!$D$5:$D$804=IF(F78="空","卖","买"))*('成交明细'!$B$5:$B$804+'成交明细'!$C$5:$C$804),COUNTIFS('成交明细'!$A$5:$A$804,A78,'成交明细'!$D$5:$D$804,IF(F78="空","卖","买")))),1),'参数'!$B$39:$C$48,2,TRUE),"")))</f>
        <v/>
      </c>
      <c r="U78" s="35" t="str">
        <f>IF(A78="","",SUMIFS('成交明细'!$F$5:$F$804,'成交明细'!$A$5:$A$804,A78,'成交明细'!$D$5:$D$804,IF(F78="空","卖","买")))</f>
        <v/>
      </c>
      <c r="V78" s="39" t="str">
        <f>IF(N(U78)&gt;0,SUMIFS('成交明细'!$H$5:$H$804,'成交明细'!$A$5:$A$804,A78,'成交明细'!$D$5:$D$804,IF(F78="空","卖","买"))/U78,"")</f>
        <v/>
      </c>
      <c r="W78" s="35" t="str">
        <f>IF(A78="","",SUMIFS('成交明细'!$F$5:$F$804,'成交明细'!$A$5:$A$804,A78,'成交明细'!$D$5:$D$804,IF(F78="空","买","卖")))</f>
        <v/>
      </c>
      <c r="X78" s="39" t="str">
        <f>IF(N(W78)&gt;0,SUMIFS('成交明细'!$H$5:$H$804,'成交明细'!$A$5:$A$804,A78,'成交明细'!$D$5:$D$804,IF(F78="空","买","卖"))/W78,"")</f>
        <v/>
      </c>
      <c r="Y78" s="40" t="str">
        <f>IF(A78="","",IF(Q78&lt;&gt;"已执行",IF(Q78="","未填执行情况",Q78),IF(N(U78)=0,"待录成交",IF(N(W78)&gt;N(U78),"平仓多于开仓",IF(N(W78)&lt;N(U78),"持仓中","已平仓")))))</f>
        <v/>
      </c>
      <c r="Z78" s="41" t="str">
        <f>IF(N(U78)=0,"",SUMIFS('成交明细'!$L$5:$L$804,'成交明细'!$A$5:$A$804,A78))</f>
        <v/>
      </c>
      <c r="AA78" s="42" t="str">
        <f>IF(Y78&lt;&gt;"已平仓","",(SUMIFS('成交明细'!$H$5:$H$804,'成交明细'!$A$5:$A$804,A78,'成交明细'!$D$5:$D$804,"卖")-SUMIFS('成交明细'!$H$5:$H$804,'成交明细'!$A$5:$A$804,A78,'成交明细'!$D$5:$D$804,"买"))*IF(N(G78)&gt;0,G78,1)-Z78)</f>
        <v/>
      </c>
      <c r="AB78" s="43" t="str">
        <f>IF(AND(Y78="已平仓",ISNUMBER(O78)),(SUMIFS('成交明细'!$H$5:$H$804,'成交明细'!$A$5:$A$804,A78,'成交明细'!$D$5:$D$804,"卖")-SUMIFS('成交明细'!$H$5:$H$804,'成交明细'!$A$5:$A$804,A78,'成交明细'!$D$5:$D$804,"买"))*IF(N(G78)&gt;0,G78,1)/O78,"")</f>
        <v/>
      </c>
      <c r="AC78" s="43" t="str">
        <f>IF(AND(Y78="已平仓",ISNUMBER(O78)),AA78/O78,"")</f>
        <v/>
      </c>
      <c r="AD78" s="44" t="str">
        <f>IF(AND(ISNUMBER(V78),ISNUMBER(I78)),IF(F78="空",I78-V78,V78-I78),"")</f>
        <v/>
      </c>
      <c r="AE78" s="44" t="str">
        <f>IF(OR(NOT(ISNUMBER(AA78)),NOT(ISNUMBER(X78))),"",IF(AA78&lt;0,IF(F78="空",X78-J78,J78-X78),IF(NOT(ISNUMBER(K78)),"",IF(F78="空",X78-K78,K78-X78))))</f>
        <v/>
      </c>
      <c r="AF78" s="32" t="n"/>
      <c r="AG78" s="32" t="n"/>
      <c r="AH78" s="31" t="n"/>
      <c r="AI78" s="43" t="str">
        <f>IF(A78="","",SUM(AC$5:AC78))</f>
        <v/>
      </c>
      <c r="AJ78" s="45" t="str">
        <f>IF(A78="","",MAX(0,MAX(AI$5:AI78))-AI78)</f>
        <v/>
      </c>
    </row>
    <row r="79">
      <c r="A79" s="29" t="n"/>
      <c r="B79" s="30" t="n"/>
      <c r="C79" s="31" t="n"/>
      <c r="D79" s="32" t="n"/>
      <c r="E79" s="32" t="n"/>
      <c r="F79" s="32" t="n"/>
      <c r="G79" s="32" t="n"/>
      <c r="H79" s="32" t="n"/>
      <c r="I79" s="33" t="n"/>
      <c r="J79" s="33" t="n"/>
      <c r="K79" s="33" t="n"/>
      <c r="L79" s="34" t="str">
        <f>IF(AND(ISNUMBER(I79),ISNUMBER(J79),ISNUMBER(K79)),IF(OR(AND(F79="多",I79&gt;J79),AND(F79="空",I79&lt;J79)),ABS(K79-I79)/ABS(I79-J79),"止损方向不对"),"")</f>
        <v/>
      </c>
      <c r="M79" s="35" t="str">
        <f>IF(AND(ISNUMBER(I79),ISNUMBER(J79)),IF(I79=J79,"",IF(INT(ROUND('参数'!$C$7/(ABS(I79-J79)*IF(N(G79)&gt;0,G79,1)+2*(I79*IF(N(G79)&gt;0,G79,1)*'参数'!$C$12+'参数'!$C$13+'参数'!$C$14*IF(N(G79)&gt;0,G79,1)))/IF(N(H79)&gt;0,H79,1),6))*IF(N(H79)&gt;0,H79,1)&gt;0,INT(ROUND('参数'!$C$7/(ABS(I79-J79)*IF(N(G79)&gt;0,G79,1)+2*(I79*IF(N(G79)&gt;0,G79,1)*'参数'!$C$12+'参数'!$C$13+'参数'!$C$14*IF(N(G79)&gt;0,G79,1)))/IF(N(H79)&gt;0,H79,1),6))*IF(N(H79)&gt;0,H79,1),"预算不足，这笔不做")),"")</f>
        <v/>
      </c>
      <c r="N79" s="36" t="n"/>
      <c r="O79" s="20" t="str">
        <f>IF(AND(ISNUMBER(I79),ISNUMBER(J79),ISNUMBER(N79)),IF(AND(I79&lt;&gt;J79,N79&gt;0),ABS(I79-J79)*N79*IF(N(G79)&gt;0,G79,1),""),"")</f>
        <v/>
      </c>
      <c r="P79" s="31" t="n"/>
      <c r="Q79" s="32" t="n"/>
      <c r="R79" s="37" t="str">
        <f>IF(N(U79)&gt;0,SUMPRODUCT(LARGE(('成交明细'!$A$5:$A$804=A79)*('成交明细'!$D$5:$D$804=IF(F79="空","卖","买"))*'成交明细'!$B$5:$B$804,COUNTIFS('成交明细'!$A$5:$A$804,A79,'成交明细'!$D$5:$D$804,IF(F79="空","卖","买")))),"")</f>
        <v/>
      </c>
      <c r="S79" s="37" t="str">
        <f>IF(AND(N(U79)&gt;0,N(W79)&gt;=N(U79)),SUMPRODUCT(MAX(('成交明细'!$A$5:$A$804=A79)*('成交明细'!$D$5:$D$804=IF(F79="空","买","卖"))*'成交明细'!$B$5:$B$804)),"")</f>
        <v/>
      </c>
      <c r="T79" s="38" t="str">
        <f>IF(N(U79)=0,"",IF(SUMPRODUCT(('成交明细'!$A$5:$A$804=A79)*('成交明细'!$D$5:$D$804=IF(F79="空","卖","买"))*ISNUMBER('成交明细'!$C$5:$C$804))=0,"没填时间",IFERROR(VLOOKUP(MOD(SUMPRODUCT(LARGE(('成交明细'!$A$5:$A$804=A79)*('成交明细'!$D$5:$D$804=IF(F79="空","卖","买"))*('成交明细'!$B$5:$B$804+'成交明细'!$C$5:$C$804),COUNTIFS('成交明细'!$A$5:$A$804,A79,'成交明细'!$D$5:$D$804,IF(F79="空","卖","买")))),1),'参数'!$B$39:$C$48,2,TRUE),"")))</f>
        <v/>
      </c>
      <c r="U79" s="35" t="str">
        <f>IF(A79="","",SUMIFS('成交明细'!$F$5:$F$804,'成交明细'!$A$5:$A$804,A79,'成交明细'!$D$5:$D$804,IF(F79="空","卖","买")))</f>
        <v/>
      </c>
      <c r="V79" s="39" t="str">
        <f>IF(N(U79)&gt;0,SUMIFS('成交明细'!$H$5:$H$804,'成交明细'!$A$5:$A$804,A79,'成交明细'!$D$5:$D$804,IF(F79="空","卖","买"))/U79,"")</f>
        <v/>
      </c>
      <c r="W79" s="35" t="str">
        <f>IF(A79="","",SUMIFS('成交明细'!$F$5:$F$804,'成交明细'!$A$5:$A$804,A79,'成交明细'!$D$5:$D$804,IF(F79="空","买","卖")))</f>
        <v/>
      </c>
      <c r="X79" s="39" t="str">
        <f>IF(N(W79)&gt;0,SUMIFS('成交明细'!$H$5:$H$804,'成交明细'!$A$5:$A$804,A79,'成交明细'!$D$5:$D$804,IF(F79="空","买","卖"))/W79,"")</f>
        <v/>
      </c>
      <c r="Y79" s="40" t="str">
        <f>IF(A79="","",IF(Q79&lt;&gt;"已执行",IF(Q79="","未填执行情况",Q79),IF(N(U79)=0,"待录成交",IF(N(W79)&gt;N(U79),"平仓多于开仓",IF(N(W79)&lt;N(U79),"持仓中","已平仓")))))</f>
        <v/>
      </c>
      <c r="Z79" s="41" t="str">
        <f>IF(N(U79)=0,"",SUMIFS('成交明细'!$L$5:$L$804,'成交明细'!$A$5:$A$804,A79))</f>
        <v/>
      </c>
      <c r="AA79" s="42" t="str">
        <f>IF(Y79&lt;&gt;"已平仓","",(SUMIFS('成交明细'!$H$5:$H$804,'成交明细'!$A$5:$A$804,A79,'成交明细'!$D$5:$D$804,"卖")-SUMIFS('成交明细'!$H$5:$H$804,'成交明细'!$A$5:$A$804,A79,'成交明细'!$D$5:$D$804,"买"))*IF(N(G79)&gt;0,G79,1)-Z79)</f>
        <v/>
      </c>
      <c r="AB79" s="43" t="str">
        <f>IF(AND(Y79="已平仓",ISNUMBER(O79)),(SUMIFS('成交明细'!$H$5:$H$804,'成交明细'!$A$5:$A$804,A79,'成交明细'!$D$5:$D$804,"卖")-SUMIFS('成交明细'!$H$5:$H$804,'成交明细'!$A$5:$A$804,A79,'成交明细'!$D$5:$D$804,"买"))*IF(N(G79)&gt;0,G79,1)/O79,"")</f>
        <v/>
      </c>
      <c r="AC79" s="43" t="str">
        <f>IF(AND(Y79="已平仓",ISNUMBER(O79)),AA79/O79,"")</f>
        <v/>
      </c>
      <c r="AD79" s="44" t="str">
        <f>IF(AND(ISNUMBER(V79),ISNUMBER(I79)),IF(F79="空",I79-V79,V79-I79),"")</f>
        <v/>
      </c>
      <c r="AE79" s="44" t="str">
        <f>IF(OR(NOT(ISNUMBER(AA79)),NOT(ISNUMBER(X79))),"",IF(AA79&lt;0,IF(F79="空",X79-J79,J79-X79),IF(NOT(ISNUMBER(K79)),"",IF(F79="空",X79-K79,K79-X79))))</f>
        <v/>
      </c>
      <c r="AF79" s="32" t="n"/>
      <c r="AG79" s="32" t="n"/>
      <c r="AH79" s="31" t="n"/>
      <c r="AI79" s="43" t="str">
        <f>IF(A79="","",SUM(AC$5:AC79))</f>
        <v/>
      </c>
      <c r="AJ79" s="45" t="str">
        <f>IF(A79="","",MAX(0,MAX(AI$5:AI79))-AI79)</f>
        <v/>
      </c>
    </row>
    <row r="80">
      <c r="A80" s="29" t="n"/>
      <c r="B80" s="30" t="n"/>
      <c r="C80" s="31" t="n"/>
      <c r="D80" s="32" t="n"/>
      <c r="E80" s="32" t="n"/>
      <c r="F80" s="32" t="n"/>
      <c r="G80" s="32" t="n"/>
      <c r="H80" s="32" t="n"/>
      <c r="I80" s="33" t="n"/>
      <c r="J80" s="33" t="n"/>
      <c r="K80" s="33" t="n"/>
      <c r="L80" s="34" t="str">
        <f>IF(AND(ISNUMBER(I80),ISNUMBER(J80),ISNUMBER(K80)),IF(OR(AND(F80="多",I80&gt;J80),AND(F80="空",I80&lt;J80)),ABS(K80-I80)/ABS(I80-J80),"止损方向不对"),"")</f>
        <v/>
      </c>
      <c r="M80" s="35" t="str">
        <f>IF(AND(ISNUMBER(I80),ISNUMBER(J80)),IF(I80=J80,"",IF(INT(ROUND('参数'!$C$7/(ABS(I80-J80)*IF(N(G80)&gt;0,G80,1)+2*(I80*IF(N(G80)&gt;0,G80,1)*'参数'!$C$12+'参数'!$C$13+'参数'!$C$14*IF(N(G80)&gt;0,G80,1)))/IF(N(H80)&gt;0,H80,1),6))*IF(N(H80)&gt;0,H80,1)&gt;0,INT(ROUND('参数'!$C$7/(ABS(I80-J80)*IF(N(G80)&gt;0,G80,1)+2*(I80*IF(N(G80)&gt;0,G80,1)*'参数'!$C$12+'参数'!$C$13+'参数'!$C$14*IF(N(G80)&gt;0,G80,1)))/IF(N(H80)&gt;0,H80,1),6))*IF(N(H80)&gt;0,H80,1),"预算不足，这笔不做")),"")</f>
        <v/>
      </c>
      <c r="N80" s="36" t="n"/>
      <c r="O80" s="20" t="str">
        <f>IF(AND(ISNUMBER(I80),ISNUMBER(J80),ISNUMBER(N80)),IF(AND(I80&lt;&gt;J80,N80&gt;0),ABS(I80-J80)*N80*IF(N(G80)&gt;0,G80,1),""),"")</f>
        <v/>
      </c>
      <c r="P80" s="31" t="n"/>
      <c r="Q80" s="32" t="n"/>
      <c r="R80" s="37" t="str">
        <f>IF(N(U80)&gt;0,SUMPRODUCT(LARGE(('成交明细'!$A$5:$A$804=A80)*('成交明细'!$D$5:$D$804=IF(F80="空","卖","买"))*'成交明细'!$B$5:$B$804,COUNTIFS('成交明细'!$A$5:$A$804,A80,'成交明细'!$D$5:$D$804,IF(F80="空","卖","买")))),"")</f>
        <v/>
      </c>
      <c r="S80" s="37" t="str">
        <f>IF(AND(N(U80)&gt;0,N(W80)&gt;=N(U80)),SUMPRODUCT(MAX(('成交明细'!$A$5:$A$804=A80)*('成交明细'!$D$5:$D$804=IF(F80="空","买","卖"))*'成交明细'!$B$5:$B$804)),"")</f>
        <v/>
      </c>
      <c r="T80" s="38" t="str">
        <f>IF(N(U80)=0,"",IF(SUMPRODUCT(('成交明细'!$A$5:$A$804=A80)*('成交明细'!$D$5:$D$804=IF(F80="空","卖","买"))*ISNUMBER('成交明细'!$C$5:$C$804))=0,"没填时间",IFERROR(VLOOKUP(MOD(SUMPRODUCT(LARGE(('成交明细'!$A$5:$A$804=A80)*('成交明细'!$D$5:$D$804=IF(F80="空","卖","买"))*('成交明细'!$B$5:$B$804+'成交明细'!$C$5:$C$804),COUNTIFS('成交明细'!$A$5:$A$804,A80,'成交明细'!$D$5:$D$804,IF(F80="空","卖","买")))),1),'参数'!$B$39:$C$48,2,TRUE),"")))</f>
        <v/>
      </c>
      <c r="U80" s="35" t="str">
        <f>IF(A80="","",SUMIFS('成交明细'!$F$5:$F$804,'成交明细'!$A$5:$A$804,A80,'成交明细'!$D$5:$D$804,IF(F80="空","卖","买")))</f>
        <v/>
      </c>
      <c r="V80" s="39" t="str">
        <f>IF(N(U80)&gt;0,SUMIFS('成交明细'!$H$5:$H$804,'成交明细'!$A$5:$A$804,A80,'成交明细'!$D$5:$D$804,IF(F80="空","卖","买"))/U80,"")</f>
        <v/>
      </c>
      <c r="W80" s="35" t="str">
        <f>IF(A80="","",SUMIFS('成交明细'!$F$5:$F$804,'成交明细'!$A$5:$A$804,A80,'成交明细'!$D$5:$D$804,IF(F80="空","买","卖")))</f>
        <v/>
      </c>
      <c r="X80" s="39" t="str">
        <f>IF(N(W80)&gt;0,SUMIFS('成交明细'!$H$5:$H$804,'成交明细'!$A$5:$A$804,A80,'成交明细'!$D$5:$D$804,IF(F80="空","买","卖"))/W80,"")</f>
        <v/>
      </c>
      <c r="Y80" s="40" t="str">
        <f>IF(A80="","",IF(Q80&lt;&gt;"已执行",IF(Q80="","未填执行情况",Q80),IF(N(U80)=0,"待录成交",IF(N(W80)&gt;N(U80),"平仓多于开仓",IF(N(W80)&lt;N(U80),"持仓中","已平仓")))))</f>
        <v/>
      </c>
      <c r="Z80" s="41" t="str">
        <f>IF(N(U80)=0,"",SUMIFS('成交明细'!$L$5:$L$804,'成交明细'!$A$5:$A$804,A80))</f>
        <v/>
      </c>
      <c r="AA80" s="42" t="str">
        <f>IF(Y80&lt;&gt;"已平仓","",(SUMIFS('成交明细'!$H$5:$H$804,'成交明细'!$A$5:$A$804,A80,'成交明细'!$D$5:$D$804,"卖")-SUMIFS('成交明细'!$H$5:$H$804,'成交明细'!$A$5:$A$804,A80,'成交明细'!$D$5:$D$804,"买"))*IF(N(G80)&gt;0,G80,1)-Z80)</f>
        <v/>
      </c>
      <c r="AB80" s="43" t="str">
        <f>IF(AND(Y80="已平仓",ISNUMBER(O80)),(SUMIFS('成交明细'!$H$5:$H$804,'成交明细'!$A$5:$A$804,A80,'成交明细'!$D$5:$D$804,"卖")-SUMIFS('成交明细'!$H$5:$H$804,'成交明细'!$A$5:$A$804,A80,'成交明细'!$D$5:$D$804,"买"))*IF(N(G80)&gt;0,G80,1)/O80,"")</f>
        <v/>
      </c>
      <c r="AC80" s="43" t="str">
        <f>IF(AND(Y80="已平仓",ISNUMBER(O80)),AA80/O80,"")</f>
        <v/>
      </c>
      <c r="AD80" s="44" t="str">
        <f>IF(AND(ISNUMBER(V80),ISNUMBER(I80)),IF(F80="空",I80-V80,V80-I80),"")</f>
        <v/>
      </c>
      <c r="AE80" s="44" t="str">
        <f>IF(OR(NOT(ISNUMBER(AA80)),NOT(ISNUMBER(X80))),"",IF(AA80&lt;0,IF(F80="空",X80-J80,J80-X80),IF(NOT(ISNUMBER(K80)),"",IF(F80="空",X80-K80,K80-X80))))</f>
        <v/>
      </c>
      <c r="AF80" s="32" t="n"/>
      <c r="AG80" s="32" t="n"/>
      <c r="AH80" s="31" t="n"/>
      <c r="AI80" s="43" t="str">
        <f>IF(A80="","",SUM(AC$5:AC80))</f>
        <v/>
      </c>
      <c r="AJ80" s="45" t="str">
        <f>IF(A80="","",MAX(0,MAX(AI$5:AI80))-AI80)</f>
        <v/>
      </c>
    </row>
    <row r="81">
      <c r="A81" s="29" t="n"/>
      <c r="B81" s="30" t="n"/>
      <c r="C81" s="31" t="n"/>
      <c r="D81" s="32" t="n"/>
      <c r="E81" s="32" t="n"/>
      <c r="F81" s="32" t="n"/>
      <c r="G81" s="32" t="n"/>
      <c r="H81" s="32" t="n"/>
      <c r="I81" s="33" t="n"/>
      <c r="J81" s="33" t="n"/>
      <c r="K81" s="33" t="n"/>
      <c r="L81" s="34" t="str">
        <f>IF(AND(ISNUMBER(I81),ISNUMBER(J81),ISNUMBER(K81)),IF(OR(AND(F81="多",I81&gt;J81),AND(F81="空",I81&lt;J81)),ABS(K81-I81)/ABS(I81-J81),"止损方向不对"),"")</f>
        <v/>
      </c>
      <c r="M81" s="35" t="str">
        <f>IF(AND(ISNUMBER(I81),ISNUMBER(J81)),IF(I81=J81,"",IF(INT(ROUND('参数'!$C$7/(ABS(I81-J81)*IF(N(G81)&gt;0,G81,1)+2*(I81*IF(N(G81)&gt;0,G81,1)*'参数'!$C$12+'参数'!$C$13+'参数'!$C$14*IF(N(G81)&gt;0,G81,1)))/IF(N(H81)&gt;0,H81,1),6))*IF(N(H81)&gt;0,H81,1)&gt;0,INT(ROUND('参数'!$C$7/(ABS(I81-J81)*IF(N(G81)&gt;0,G81,1)+2*(I81*IF(N(G81)&gt;0,G81,1)*'参数'!$C$12+'参数'!$C$13+'参数'!$C$14*IF(N(G81)&gt;0,G81,1)))/IF(N(H81)&gt;0,H81,1),6))*IF(N(H81)&gt;0,H81,1),"预算不足，这笔不做")),"")</f>
        <v/>
      </c>
      <c r="N81" s="36" t="n"/>
      <c r="O81" s="20" t="str">
        <f>IF(AND(ISNUMBER(I81),ISNUMBER(J81),ISNUMBER(N81)),IF(AND(I81&lt;&gt;J81,N81&gt;0),ABS(I81-J81)*N81*IF(N(G81)&gt;0,G81,1),""),"")</f>
        <v/>
      </c>
      <c r="P81" s="31" t="n"/>
      <c r="Q81" s="32" t="n"/>
      <c r="R81" s="37" t="str">
        <f>IF(N(U81)&gt;0,SUMPRODUCT(LARGE(('成交明细'!$A$5:$A$804=A81)*('成交明细'!$D$5:$D$804=IF(F81="空","卖","买"))*'成交明细'!$B$5:$B$804,COUNTIFS('成交明细'!$A$5:$A$804,A81,'成交明细'!$D$5:$D$804,IF(F81="空","卖","买")))),"")</f>
        <v/>
      </c>
      <c r="S81" s="37" t="str">
        <f>IF(AND(N(U81)&gt;0,N(W81)&gt;=N(U81)),SUMPRODUCT(MAX(('成交明细'!$A$5:$A$804=A81)*('成交明细'!$D$5:$D$804=IF(F81="空","买","卖"))*'成交明细'!$B$5:$B$804)),"")</f>
        <v/>
      </c>
      <c r="T81" s="38" t="str">
        <f>IF(N(U81)=0,"",IF(SUMPRODUCT(('成交明细'!$A$5:$A$804=A81)*('成交明细'!$D$5:$D$804=IF(F81="空","卖","买"))*ISNUMBER('成交明细'!$C$5:$C$804))=0,"没填时间",IFERROR(VLOOKUP(MOD(SUMPRODUCT(LARGE(('成交明细'!$A$5:$A$804=A81)*('成交明细'!$D$5:$D$804=IF(F81="空","卖","买"))*('成交明细'!$B$5:$B$804+'成交明细'!$C$5:$C$804),COUNTIFS('成交明细'!$A$5:$A$804,A81,'成交明细'!$D$5:$D$804,IF(F81="空","卖","买")))),1),'参数'!$B$39:$C$48,2,TRUE),"")))</f>
        <v/>
      </c>
      <c r="U81" s="35" t="str">
        <f>IF(A81="","",SUMIFS('成交明细'!$F$5:$F$804,'成交明细'!$A$5:$A$804,A81,'成交明细'!$D$5:$D$804,IF(F81="空","卖","买")))</f>
        <v/>
      </c>
      <c r="V81" s="39" t="str">
        <f>IF(N(U81)&gt;0,SUMIFS('成交明细'!$H$5:$H$804,'成交明细'!$A$5:$A$804,A81,'成交明细'!$D$5:$D$804,IF(F81="空","卖","买"))/U81,"")</f>
        <v/>
      </c>
      <c r="W81" s="35" t="str">
        <f>IF(A81="","",SUMIFS('成交明细'!$F$5:$F$804,'成交明细'!$A$5:$A$804,A81,'成交明细'!$D$5:$D$804,IF(F81="空","买","卖")))</f>
        <v/>
      </c>
      <c r="X81" s="39" t="str">
        <f>IF(N(W81)&gt;0,SUMIFS('成交明细'!$H$5:$H$804,'成交明细'!$A$5:$A$804,A81,'成交明细'!$D$5:$D$804,IF(F81="空","买","卖"))/W81,"")</f>
        <v/>
      </c>
      <c r="Y81" s="40" t="str">
        <f>IF(A81="","",IF(Q81&lt;&gt;"已执行",IF(Q81="","未填执行情况",Q81),IF(N(U81)=0,"待录成交",IF(N(W81)&gt;N(U81),"平仓多于开仓",IF(N(W81)&lt;N(U81),"持仓中","已平仓")))))</f>
        <v/>
      </c>
      <c r="Z81" s="41" t="str">
        <f>IF(N(U81)=0,"",SUMIFS('成交明细'!$L$5:$L$804,'成交明细'!$A$5:$A$804,A81))</f>
        <v/>
      </c>
      <c r="AA81" s="42" t="str">
        <f>IF(Y81&lt;&gt;"已平仓","",(SUMIFS('成交明细'!$H$5:$H$804,'成交明细'!$A$5:$A$804,A81,'成交明细'!$D$5:$D$804,"卖")-SUMIFS('成交明细'!$H$5:$H$804,'成交明细'!$A$5:$A$804,A81,'成交明细'!$D$5:$D$804,"买"))*IF(N(G81)&gt;0,G81,1)-Z81)</f>
        <v/>
      </c>
      <c r="AB81" s="43" t="str">
        <f>IF(AND(Y81="已平仓",ISNUMBER(O81)),(SUMIFS('成交明细'!$H$5:$H$804,'成交明细'!$A$5:$A$804,A81,'成交明细'!$D$5:$D$804,"卖")-SUMIFS('成交明细'!$H$5:$H$804,'成交明细'!$A$5:$A$804,A81,'成交明细'!$D$5:$D$804,"买"))*IF(N(G81)&gt;0,G81,1)/O81,"")</f>
        <v/>
      </c>
      <c r="AC81" s="43" t="str">
        <f>IF(AND(Y81="已平仓",ISNUMBER(O81)),AA81/O81,"")</f>
        <v/>
      </c>
      <c r="AD81" s="44" t="str">
        <f>IF(AND(ISNUMBER(V81),ISNUMBER(I81)),IF(F81="空",I81-V81,V81-I81),"")</f>
        <v/>
      </c>
      <c r="AE81" s="44" t="str">
        <f>IF(OR(NOT(ISNUMBER(AA81)),NOT(ISNUMBER(X81))),"",IF(AA81&lt;0,IF(F81="空",X81-J81,J81-X81),IF(NOT(ISNUMBER(K81)),"",IF(F81="空",X81-K81,K81-X81))))</f>
        <v/>
      </c>
      <c r="AF81" s="32" t="n"/>
      <c r="AG81" s="32" t="n"/>
      <c r="AH81" s="31" t="n"/>
      <c r="AI81" s="43" t="str">
        <f>IF(A81="","",SUM(AC$5:AC81))</f>
        <v/>
      </c>
      <c r="AJ81" s="45" t="str">
        <f>IF(A81="","",MAX(0,MAX(AI$5:AI81))-AI81)</f>
        <v/>
      </c>
    </row>
    <row r="82">
      <c r="A82" s="29" t="n"/>
      <c r="B82" s="30" t="n"/>
      <c r="C82" s="31" t="n"/>
      <c r="D82" s="32" t="n"/>
      <c r="E82" s="32" t="n"/>
      <c r="F82" s="32" t="n"/>
      <c r="G82" s="32" t="n"/>
      <c r="H82" s="32" t="n"/>
      <c r="I82" s="33" t="n"/>
      <c r="J82" s="33" t="n"/>
      <c r="K82" s="33" t="n"/>
      <c r="L82" s="34" t="str">
        <f>IF(AND(ISNUMBER(I82),ISNUMBER(J82),ISNUMBER(K82)),IF(OR(AND(F82="多",I82&gt;J82),AND(F82="空",I82&lt;J82)),ABS(K82-I82)/ABS(I82-J82),"止损方向不对"),"")</f>
        <v/>
      </c>
      <c r="M82" s="35" t="str">
        <f>IF(AND(ISNUMBER(I82),ISNUMBER(J82)),IF(I82=J82,"",IF(INT(ROUND('参数'!$C$7/(ABS(I82-J82)*IF(N(G82)&gt;0,G82,1)+2*(I82*IF(N(G82)&gt;0,G82,1)*'参数'!$C$12+'参数'!$C$13+'参数'!$C$14*IF(N(G82)&gt;0,G82,1)))/IF(N(H82)&gt;0,H82,1),6))*IF(N(H82)&gt;0,H82,1)&gt;0,INT(ROUND('参数'!$C$7/(ABS(I82-J82)*IF(N(G82)&gt;0,G82,1)+2*(I82*IF(N(G82)&gt;0,G82,1)*'参数'!$C$12+'参数'!$C$13+'参数'!$C$14*IF(N(G82)&gt;0,G82,1)))/IF(N(H82)&gt;0,H82,1),6))*IF(N(H82)&gt;0,H82,1),"预算不足，这笔不做")),"")</f>
        <v/>
      </c>
      <c r="N82" s="36" t="n"/>
      <c r="O82" s="20" t="str">
        <f>IF(AND(ISNUMBER(I82),ISNUMBER(J82),ISNUMBER(N82)),IF(AND(I82&lt;&gt;J82,N82&gt;0),ABS(I82-J82)*N82*IF(N(G82)&gt;0,G82,1),""),"")</f>
        <v/>
      </c>
      <c r="P82" s="31" t="n"/>
      <c r="Q82" s="32" t="n"/>
      <c r="R82" s="37" t="str">
        <f>IF(N(U82)&gt;0,SUMPRODUCT(LARGE(('成交明细'!$A$5:$A$804=A82)*('成交明细'!$D$5:$D$804=IF(F82="空","卖","买"))*'成交明细'!$B$5:$B$804,COUNTIFS('成交明细'!$A$5:$A$804,A82,'成交明细'!$D$5:$D$804,IF(F82="空","卖","买")))),"")</f>
        <v/>
      </c>
      <c r="S82" s="37" t="str">
        <f>IF(AND(N(U82)&gt;0,N(W82)&gt;=N(U82)),SUMPRODUCT(MAX(('成交明细'!$A$5:$A$804=A82)*('成交明细'!$D$5:$D$804=IF(F82="空","买","卖"))*'成交明细'!$B$5:$B$804)),"")</f>
        <v/>
      </c>
      <c r="T82" s="38" t="str">
        <f>IF(N(U82)=0,"",IF(SUMPRODUCT(('成交明细'!$A$5:$A$804=A82)*('成交明细'!$D$5:$D$804=IF(F82="空","卖","买"))*ISNUMBER('成交明细'!$C$5:$C$804))=0,"没填时间",IFERROR(VLOOKUP(MOD(SUMPRODUCT(LARGE(('成交明细'!$A$5:$A$804=A82)*('成交明细'!$D$5:$D$804=IF(F82="空","卖","买"))*('成交明细'!$B$5:$B$804+'成交明细'!$C$5:$C$804),COUNTIFS('成交明细'!$A$5:$A$804,A82,'成交明细'!$D$5:$D$804,IF(F82="空","卖","买")))),1),'参数'!$B$39:$C$48,2,TRUE),"")))</f>
        <v/>
      </c>
      <c r="U82" s="35" t="str">
        <f>IF(A82="","",SUMIFS('成交明细'!$F$5:$F$804,'成交明细'!$A$5:$A$804,A82,'成交明细'!$D$5:$D$804,IF(F82="空","卖","买")))</f>
        <v/>
      </c>
      <c r="V82" s="39" t="str">
        <f>IF(N(U82)&gt;0,SUMIFS('成交明细'!$H$5:$H$804,'成交明细'!$A$5:$A$804,A82,'成交明细'!$D$5:$D$804,IF(F82="空","卖","买"))/U82,"")</f>
        <v/>
      </c>
      <c r="W82" s="35" t="str">
        <f>IF(A82="","",SUMIFS('成交明细'!$F$5:$F$804,'成交明细'!$A$5:$A$804,A82,'成交明细'!$D$5:$D$804,IF(F82="空","买","卖")))</f>
        <v/>
      </c>
      <c r="X82" s="39" t="str">
        <f>IF(N(W82)&gt;0,SUMIFS('成交明细'!$H$5:$H$804,'成交明细'!$A$5:$A$804,A82,'成交明细'!$D$5:$D$804,IF(F82="空","买","卖"))/W82,"")</f>
        <v/>
      </c>
      <c r="Y82" s="40" t="str">
        <f>IF(A82="","",IF(Q82&lt;&gt;"已执行",IF(Q82="","未填执行情况",Q82),IF(N(U82)=0,"待录成交",IF(N(W82)&gt;N(U82),"平仓多于开仓",IF(N(W82)&lt;N(U82),"持仓中","已平仓")))))</f>
        <v/>
      </c>
      <c r="Z82" s="41" t="str">
        <f>IF(N(U82)=0,"",SUMIFS('成交明细'!$L$5:$L$804,'成交明细'!$A$5:$A$804,A82))</f>
        <v/>
      </c>
      <c r="AA82" s="42" t="str">
        <f>IF(Y82&lt;&gt;"已平仓","",(SUMIFS('成交明细'!$H$5:$H$804,'成交明细'!$A$5:$A$804,A82,'成交明细'!$D$5:$D$804,"卖")-SUMIFS('成交明细'!$H$5:$H$804,'成交明细'!$A$5:$A$804,A82,'成交明细'!$D$5:$D$804,"买"))*IF(N(G82)&gt;0,G82,1)-Z82)</f>
        <v/>
      </c>
      <c r="AB82" s="43" t="str">
        <f>IF(AND(Y82="已平仓",ISNUMBER(O82)),(SUMIFS('成交明细'!$H$5:$H$804,'成交明细'!$A$5:$A$804,A82,'成交明细'!$D$5:$D$804,"卖")-SUMIFS('成交明细'!$H$5:$H$804,'成交明细'!$A$5:$A$804,A82,'成交明细'!$D$5:$D$804,"买"))*IF(N(G82)&gt;0,G82,1)/O82,"")</f>
        <v/>
      </c>
      <c r="AC82" s="43" t="str">
        <f>IF(AND(Y82="已平仓",ISNUMBER(O82)),AA82/O82,"")</f>
        <v/>
      </c>
      <c r="AD82" s="44" t="str">
        <f>IF(AND(ISNUMBER(V82),ISNUMBER(I82)),IF(F82="空",I82-V82,V82-I82),"")</f>
        <v/>
      </c>
      <c r="AE82" s="44" t="str">
        <f>IF(OR(NOT(ISNUMBER(AA82)),NOT(ISNUMBER(X82))),"",IF(AA82&lt;0,IF(F82="空",X82-J82,J82-X82),IF(NOT(ISNUMBER(K82)),"",IF(F82="空",X82-K82,K82-X82))))</f>
        <v/>
      </c>
      <c r="AF82" s="32" t="n"/>
      <c r="AG82" s="32" t="n"/>
      <c r="AH82" s="31" t="n"/>
      <c r="AI82" s="43" t="str">
        <f>IF(A82="","",SUM(AC$5:AC82))</f>
        <v/>
      </c>
      <c r="AJ82" s="45" t="str">
        <f>IF(A82="","",MAX(0,MAX(AI$5:AI82))-AI82)</f>
        <v/>
      </c>
    </row>
    <row r="83">
      <c r="A83" s="29" t="n"/>
      <c r="B83" s="30" t="n"/>
      <c r="C83" s="31" t="n"/>
      <c r="D83" s="32" t="n"/>
      <c r="E83" s="32" t="n"/>
      <c r="F83" s="32" t="n"/>
      <c r="G83" s="32" t="n"/>
      <c r="H83" s="32" t="n"/>
      <c r="I83" s="33" t="n"/>
      <c r="J83" s="33" t="n"/>
      <c r="K83" s="33" t="n"/>
      <c r="L83" s="34" t="str">
        <f>IF(AND(ISNUMBER(I83),ISNUMBER(J83),ISNUMBER(K83)),IF(OR(AND(F83="多",I83&gt;J83),AND(F83="空",I83&lt;J83)),ABS(K83-I83)/ABS(I83-J83),"止损方向不对"),"")</f>
        <v/>
      </c>
      <c r="M83" s="35" t="str">
        <f>IF(AND(ISNUMBER(I83),ISNUMBER(J83)),IF(I83=J83,"",IF(INT(ROUND('参数'!$C$7/(ABS(I83-J83)*IF(N(G83)&gt;0,G83,1)+2*(I83*IF(N(G83)&gt;0,G83,1)*'参数'!$C$12+'参数'!$C$13+'参数'!$C$14*IF(N(G83)&gt;0,G83,1)))/IF(N(H83)&gt;0,H83,1),6))*IF(N(H83)&gt;0,H83,1)&gt;0,INT(ROUND('参数'!$C$7/(ABS(I83-J83)*IF(N(G83)&gt;0,G83,1)+2*(I83*IF(N(G83)&gt;0,G83,1)*'参数'!$C$12+'参数'!$C$13+'参数'!$C$14*IF(N(G83)&gt;0,G83,1)))/IF(N(H83)&gt;0,H83,1),6))*IF(N(H83)&gt;0,H83,1),"预算不足，这笔不做")),"")</f>
        <v/>
      </c>
      <c r="N83" s="36" t="n"/>
      <c r="O83" s="20" t="str">
        <f>IF(AND(ISNUMBER(I83),ISNUMBER(J83),ISNUMBER(N83)),IF(AND(I83&lt;&gt;J83,N83&gt;0),ABS(I83-J83)*N83*IF(N(G83)&gt;0,G83,1),""),"")</f>
        <v/>
      </c>
      <c r="P83" s="31" t="n"/>
      <c r="Q83" s="32" t="n"/>
      <c r="R83" s="37" t="str">
        <f>IF(N(U83)&gt;0,SUMPRODUCT(LARGE(('成交明细'!$A$5:$A$804=A83)*('成交明细'!$D$5:$D$804=IF(F83="空","卖","买"))*'成交明细'!$B$5:$B$804,COUNTIFS('成交明细'!$A$5:$A$804,A83,'成交明细'!$D$5:$D$804,IF(F83="空","卖","买")))),"")</f>
        <v/>
      </c>
      <c r="S83" s="37" t="str">
        <f>IF(AND(N(U83)&gt;0,N(W83)&gt;=N(U83)),SUMPRODUCT(MAX(('成交明细'!$A$5:$A$804=A83)*('成交明细'!$D$5:$D$804=IF(F83="空","买","卖"))*'成交明细'!$B$5:$B$804)),"")</f>
        <v/>
      </c>
      <c r="T83" s="38" t="str">
        <f>IF(N(U83)=0,"",IF(SUMPRODUCT(('成交明细'!$A$5:$A$804=A83)*('成交明细'!$D$5:$D$804=IF(F83="空","卖","买"))*ISNUMBER('成交明细'!$C$5:$C$804))=0,"没填时间",IFERROR(VLOOKUP(MOD(SUMPRODUCT(LARGE(('成交明细'!$A$5:$A$804=A83)*('成交明细'!$D$5:$D$804=IF(F83="空","卖","买"))*('成交明细'!$B$5:$B$804+'成交明细'!$C$5:$C$804),COUNTIFS('成交明细'!$A$5:$A$804,A83,'成交明细'!$D$5:$D$804,IF(F83="空","卖","买")))),1),'参数'!$B$39:$C$48,2,TRUE),"")))</f>
        <v/>
      </c>
      <c r="U83" s="35" t="str">
        <f>IF(A83="","",SUMIFS('成交明细'!$F$5:$F$804,'成交明细'!$A$5:$A$804,A83,'成交明细'!$D$5:$D$804,IF(F83="空","卖","买")))</f>
        <v/>
      </c>
      <c r="V83" s="39" t="str">
        <f>IF(N(U83)&gt;0,SUMIFS('成交明细'!$H$5:$H$804,'成交明细'!$A$5:$A$804,A83,'成交明细'!$D$5:$D$804,IF(F83="空","卖","买"))/U83,"")</f>
        <v/>
      </c>
      <c r="W83" s="35" t="str">
        <f>IF(A83="","",SUMIFS('成交明细'!$F$5:$F$804,'成交明细'!$A$5:$A$804,A83,'成交明细'!$D$5:$D$804,IF(F83="空","买","卖")))</f>
        <v/>
      </c>
      <c r="X83" s="39" t="str">
        <f>IF(N(W83)&gt;0,SUMIFS('成交明细'!$H$5:$H$804,'成交明细'!$A$5:$A$804,A83,'成交明细'!$D$5:$D$804,IF(F83="空","买","卖"))/W83,"")</f>
        <v/>
      </c>
      <c r="Y83" s="40" t="str">
        <f>IF(A83="","",IF(Q83&lt;&gt;"已执行",IF(Q83="","未填执行情况",Q83),IF(N(U83)=0,"待录成交",IF(N(W83)&gt;N(U83),"平仓多于开仓",IF(N(W83)&lt;N(U83),"持仓中","已平仓")))))</f>
        <v/>
      </c>
      <c r="Z83" s="41" t="str">
        <f>IF(N(U83)=0,"",SUMIFS('成交明细'!$L$5:$L$804,'成交明细'!$A$5:$A$804,A83))</f>
        <v/>
      </c>
      <c r="AA83" s="42" t="str">
        <f>IF(Y83&lt;&gt;"已平仓","",(SUMIFS('成交明细'!$H$5:$H$804,'成交明细'!$A$5:$A$804,A83,'成交明细'!$D$5:$D$804,"卖")-SUMIFS('成交明细'!$H$5:$H$804,'成交明细'!$A$5:$A$804,A83,'成交明细'!$D$5:$D$804,"买"))*IF(N(G83)&gt;0,G83,1)-Z83)</f>
        <v/>
      </c>
      <c r="AB83" s="43" t="str">
        <f>IF(AND(Y83="已平仓",ISNUMBER(O83)),(SUMIFS('成交明细'!$H$5:$H$804,'成交明细'!$A$5:$A$804,A83,'成交明细'!$D$5:$D$804,"卖")-SUMIFS('成交明细'!$H$5:$H$804,'成交明细'!$A$5:$A$804,A83,'成交明细'!$D$5:$D$804,"买"))*IF(N(G83)&gt;0,G83,1)/O83,"")</f>
        <v/>
      </c>
      <c r="AC83" s="43" t="str">
        <f>IF(AND(Y83="已平仓",ISNUMBER(O83)),AA83/O83,"")</f>
        <v/>
      </c>
      <c r="AD83" s="44" t="str">
        <f>IF(AND(ISNUMBER(V83),ISNUMBER(I83)),IF(F83="空",I83-V83,V83-I83),"")</f>
        <v/>
      </c>
      <c r="AE83" s="44" t="str">
        <f>IF(OR(NOT(ISNUMBER(AA83)),NOT(ISNUMBER(X83))),"",IF(AA83&lt;0,IF(F83="空",X83-J83,J83-X83),IF(NOT(ISNUMBER(K83)),"",IF(F83="空",X83-K83,K83-X83))))</f>
        <v/>
      </c>
      <c r="AF83" s="32" t="n"/>
      <c r="AG83" s="32" t="n"/>
      <c r="AH83" s="31" t="n"/>
      <c r="AI83" s="43" t="str">
        <f>IF(A83="","",SUM(AC$5:AC83))</f>
        <v/>
      </c>
      <c r="AJ83" s="45" t="str">
        <f>IF(A83="","",MAX(0,MAX(AI$5:AI83))-AI83)</f>
        <v/>
      </c>
    </row>
    <row r="84">
      <c r="A84" s="29" t="n"/>
      <c r="B84" s="30" t="n"/>
      <c r="C84" s="31" t="n"/>
      <c r="D84" s="32" t="n"/>
      <c r="E84" s="32" t="n"/>
      <c r="F84" s="32" t="n"/>
      <c r="G84" s="32" t="n"/>
      <c r="H84" s="32" t="n"/>
      <c r="I84" s="33" t="n"/>
      <c r="J84" s="33" t="n"/>
      <c r="K84" s="33" t="n"/>
      <c r="L84" s="34" t="str">
        <f>IF(AND(ISNUMBER(I84),ISNUMBER(J84),ISNUMBER(K84)),IF(OR(AND(F84="多",I84&gt;J84),AND(F84="空",I84&lt;J84)),ABS(K84-I84)/ABS(I84-J84),"止损方向不对"),"")</f>
        <v/>
      </c>
      <c r="M84" s="35" t="str">
        <f>IF(AND(ISNUMBER(I84),ISNUMBER(J84)),IF(I84=J84,"",IF(INT(ROUND('参数'!$C$7/(ABS(I84-J84)*IF(N(G84)&gt;0,G84,1)+2*(I84*IF(N(G84)&gt;0,G84,1)*'参数'!$C$12+'参数'!$C$13+'参数'!$C$14*IF(N(G84)&gt;0,G84,1)))/IF(N(H84)&gt;0,H84,1),6))*IF(N(H84)&gt;0,H84,1)&gt;0,INT(ROUND('参数'!$C$7/(ABS(I84-J84)*IF(N(G84)&gt;0,G84,1)+2*(I84*IF(N(G84)&gt;0,G84,1)*'参数'!$C$12+'参数'!$C$13+'参数'!$C$14*IF(N(G84)&gt;0,G84,1)))/IF(N(H84)&gt;0,H84,1),6))*IF(N(H84)&gt;0,H84,1),"预算不足，这笔不做")),"")</f>
        <v/>
      </c>
      <c r="N84" s="36" t="n"/>
      <c r="O84" s="20" t="str">
        <f>IF(AND(ISNUMBER(I84),ISNUMBER(J84),ISNUMBER(N84)),IF(AND(I84&lt;&gt;J84,N84&gt;0),ABS(I84-J84)*N84*IF(N(G84)&gt;0,G84,1),""),"")</f>
        <v/>
      </c>
      <c r="P84" s="31" t="n"/>
      <c r="Q84" s="32" t="n"/>
      <c r="R84" s="37" t="str">
        <f>IF(N(U84)&gt;0,SUMPRODUCT(LARGE(('成交明细'!$A$5:$A$804=A84)*('成交明细'!$D$5:$D$804=IF(F84="空","卖","买"))*'成交明细'!$B$5:$B$804,COUNTIFS('成交明细'!$A$5:$A$804,A84,'成交明细'!$D$5:$D$804,IF(F84="空","卖","买")))),"")</f>
        <v/>
      </c>
      <c r="S84" s="37" t="str">
        <f>IF(AND(N(U84)&gt;0,N(W84)&gt;=N(U84)),SUMPRODUCT(MAX(('成交明细'!$A$5:$A$804=A84)*('成交明细'!$D$5:$D$804=IF(F84="空","买","卖"))*'成交明细'!$B$5:$B$804)),"")</f>
        <v/>
      </c>
      <c r="T84" s="38" t="str">
        <f>IF(N(U84)=0,"",IF(SUMPRODUCT(('成交明细'!$A$5:$A$804=A84)*('成交明细'!$D$5:$D$804=IF(F84="空","卖","买"))*ISNUMBER('成交明细'!$C$5:$C$804))=0,"没填时间",IFERROR(VLOOKUP(MOD(SUMPRODUCT(LARGE(('成交明细'!$A$5:$A$804=A84)*('成交明细'!$D$5:$D$804=IF(F84="空","卖","买"))*('成交明细'!$B$5:$B$804+'成交明细'!$C$5:$C$804),COUNTIFS('成交明细'!$A$5:$A$804,A84,'成交明细'!$D$5:$D$804,IF(F84="空","卖","买")))),1),'参数'!$B$39:$C$48,2,TRUE),"")))</f>
        <v/>
      </c>
      <c r="U84" s="35" t="str">
        <f>IF(A84="","",SUMIFS('成交明细'!$F$5:$F$804,'成交明细'!$A$5:$A$804,A84,'成交明细'!$D$5:$D$804,IF(F84="空","卖","买")))</f>
        <v/>
      </c>
      <c r="V84" s="39" t="str">
        <f>IF(N(U84)&gt;0,SUMIFS('成交明细'!$H$5:$H$804,'成交明细'!$A$5:$A$804,A84,'成交明细'!$D$5:$D$804,IF(F84="空","卖","买"))/U84,"")</f>
        <v/>
      </c>
      <c r="W84" s="35" t="str">
        <f>IF(A84="","",SUMIFS('成交明细'!$F$5:$F$804,'成交明细'!$A$5:$A$804,A84,'成交明细'!$D$5:$D$804,IF(F84="空","买","卖")))</f>
        <v/>
      </c>
      <c r="X84" s="39" t="str">
        <f>IF(N(W84)&gt;0,SUMIFS('成交明细'!$H$5:$H$804,'成交明细'!$A$5:$A$804,A84,'成交明细'!$D$5:$D$804,IF(F84="空","买","卖"))/W84,"")</f>
        <v/>
      </c>
      <c r="Y84" s="40" t="str">
        <f>IF(A84="","",IF(Q84&lt;&gt;"已执行",IF(Q84="","未填执行情况",Q84),IF(N(U84)=0,"待录成交",IF(N(W84)&gt;N(U84),"平仓多于开仓",IF(N(W84)&lt;N(U84),"持仓中","已平仓")))))</f>
        <v/>
      </c>
      <c r="Z84" s="41" t="str">
        <f>IF(N(U84)=0,"",SUMIFS('成交明细'!$L$5:$L$804,'成交明细'!$A$5:$A$804,A84))</f>
        <v/>
      </c>
      <c r="AA84" s="42" t="str">
        <f>IF(Y84&lt;&gt;"已平仓","",(SUMIFS('成交明细'!$H$5:$H$804,'成交明细'!$A$5:$A$804,A84,'成交明细'!$D$5:$D$804,"卖")-SUMIFS('成交明细'!$H$5:$H$804,'成交明细'!$A$5:$A$804,A84,'成交明细'!$D$5:$D$804,"买"))*IF(N(G84)&gt;0,G84,1)-Z84)</f>
        <v/>
      </c>
      <c r="AB84" s="43" t="str">
        <f>IF(AND(Y84="已平仓",ISNUMBER(O84)),(SUMIFS('成交明细'!$H$5:$H$804,'成交明细'!$A$5:$A$804,A84,'成交明细'!$D$5:$D$804,"卖")-SUMIFS('成交明细'!$H$5:$H$804,'成交明细'!$A$5:$A$804,A84,'成交明细'!$D$5:$D$804,"买"))*IF(N(G84)&gt;0,G84,1)/O84,"")</f>
        <v/>
      </c>
      <c r="AC84" s="43" t="str">
        <f>IF(AND(Y84="已平仓",ISNUMBER(O84)),AA84/O84,"")</f>
        <v/>
      </c>
      <c r="AD84" s="44" t="str">
        <f>IF(AND(ISNUMBER(V84),ISNUMBER(I84)),IF(F84="空",I84-V84,V84-I84),"")</f>
        <v/>
      </c>
      <c r="AE84" s="44" t="str">
        <f>IF(OR(NOT(ISNUMBER(AA84)),NOT(ISNUMBER(X84))),"",IF(AA84&lt;0,IF(F84="空",X84-J84,J84-X84),IF(NOT(ISNUMBER(K84)),"",IF(F84="空",X84-K84,K84-X84))))</f>
        <v/>
      </c>
      <c r="AF84" s="32" t="n"/>
      <c r="AG84" s="32" t="n"/>
      <c r="AH84" s="31" t="n"/>
      <c r="AI84" s="43" t="str">
        <f>IF(A84="","",SUM(AC$5:AC84))</f>
        <v/>
      </c>
      <c r="AJ84" s="45" t="str">
        <f>IF(A84="","",MAX(0,MAX(AI$5:AI84))-AI84)</f>
        <v/>
      </c>
    </row>
    <row r="85">
      <c r="A85" s="29" t="n"/>
      <c r="B85" s="30" t="n"/>
      <c r="C85" s="31" t="n"/>
      <c r="D85" s="32" t="n"/>
      <c r="E85" s="32" t="n"/>
      <c r="F85" s="32" t="n"/>
      <c r="G85" s="32" t="n"/>
      <c r="H85" s="32" t="n"/>
      <c r="I85" s="33" t="n"/>
      <c r="J85" s="33" t="n"/>
      <c r="K85" s="33" t="n"/>
      <c r="L85" s="34" t="str">
        <f>IF(AND(ISNUMBER(I85),ISNUMBER(J85),ISNUMBER(K85)),IF(OR(AND(F85="多",I85&gt;J85),AND(F85="空",I85&lt;J85)),ABS(K85-I85)/ABS(I85-J85),"止损方向不对"),"")</f>
        <v/>
      </c>
      <c r="M85" s="35" t="str">
        <f>IF(AND(ISNUMBER(I85),ISNUMBER(J85)),IF(I85=J85,"",IF(INT(ROUND('参数'!$C$7/(ABS(I85-J85)*IF(N(G85)&gt;0,G85,1)+2*(I85*IF(N(G85)&gt;0,G85,1)*'参数'!$C$12+'参数'!$C$13+'参数'!$C$14*IF(N(G85)&gt;0,G85,1)))/IF(N(H85)&gt;0,H85,1),6))*IF(N(H85)&gt;0,H85,1)&gt;0,INT(ROUND('参数'!$C$7/(ABS(I85-J85)*IF(N(G85)&gt;0,G85,1)+2*(I85*IF(N(G85)&gt;0,G85,1)*'参数'!$C$12+'参数'!$C$13+'参数'!$C$14*IF(N(G85)&gt;0,G85,1)))/IF(N(H85)&gt;0,H85,1),6))*IF(N(H85)&gt;0,H85,1),"预算不足，这笔不做")),"")</f>
        <v/>
      </c>
      <c r="N85" s="36" t="n"/>
      <c r="O85" s="20" t="str">
        <f>IF(AND(ISNUMBER(I85),ISNUMBER(J85),ISNUMBER(N85)),IF(AND(I85&lt;&gt;J85,N85&gt;0),ABS(I85-J85)*N85*IF(N(G85)&gt;0,G85,1),""),"")</f>
        <v/>
      </c>
      <c r="P85" s="31" t="n"/>
      <c r="Q85" s="32" t="n"/>
      <c r="R85" s="37" t="str">
        <f>IF(N(U85)&gt;0,SUMPRODUCT(LARGE(('成交明细'!$A$5:$A$804=A85)*('成交明细'!$D$5:$D$804=IF(F85="空","卖","买"))*'成交明细'!$B$5:$B$804,COUNTIFS('成交明细'!$A$5:$A$804,A85,'成交明细'!$D$5:$D$804,IF(F85="空","卖","买")))),"")</f>
        <v/>
      </c>
      <c r="S85" s="37" t="str">
        <f>IF(AND(N(U85)&gt;0,N(W85)&gt;=N(U85)),SUMPRODUCT(MAX(('成交明细'!$A$5:$A$804=A85)*('成交明细'!$D$5:$D$804=IF(F85="空","买","卖"))*'成交明细'!$B$5:$B$804)),"")</f>
        <v/>
      </c>
      <c r="T85" s="38" t="str">
        <f>IF(N(U85)=0,"",IF(SUMPRODUCT(('成交明细'!$A$5:$A$804=A85)*('成交明细'!$D$5:$D$804=IF(F85="空","卖","买"))*ISNUMBER('成交明细'!$C$5:$C$804))=0,"没填时间",IFERROR(VLOOKUP(MOD(SUMPRODUCT(LARGE(('成交明细'!$A$5:$A$804=A85)*('成交明细'!$D$5:$D$804=IF(F85="空","卖","买"))*('成交明细'!$B$5:$B$804+'成交明细'!$C$5:$C$804),COUNTIFS('成交明细'!$A$5:$A$804,A85,'成交明细'!$D$5:$D$804,IF(F85="空","卖","买")))),1),'参数'!$B$39:$C$48,2,TRUE),"")))</f>
        <v/>
      </c>
      <c r="U85" s="35" t="str">
        <f>IF(A85="","",SUMIFS('成交明细'!$F$5:$F$804,'成交明细'!$A$5:$A$804,A85,'成交明细'!$D$5:$D$804,IF(F85="空","卖","买")))</f>
        <v/>
      </c>
      <c r="V85" s="39" t="str">
        <f>IF(N(U85)&gt;0,SUMIFS('成交明细'!$H$5:$H$804,'成交明细'!$A$5:$A$804,A85,'成交明细'!$D$5:$D$804,IF(F85="空","卖","买"))/U85,"")</f>
        <v/>
      </c>
      <c r="W85" s="35" t="str">
        <f>IF(A85="","",SUMIFS('成交明细'!$F$5:$F$804,'成交明细'!$A$5:$A$804,A85,'成交明细'!$D$5:$D$804,IF(F85="空","买","卖")))</f>
        <v/>
      </c>
      <c r="X85" s="39" t="str">
        <f>IF(N(W85)&gt;0,SUMIFS('成交明细'!$H$5:$H$804,'成交明细'!$A$5:$A$804,A85,'成交明细'!$D$5:$D$804,IF(F85="空","买","卖"))/W85,"")</f>
        <v/>
      </c>
      <c r="Y85" s="40" t="str">
        <f>IF(A85="","",IF(Q85&lt;&gt;"已执行",IF(Q85="","未填执行情况",Q85),IF(N(U85)=0,"待录成交",IF(N(W85)&gt;N(U85),"平仓多于开仓",IF(N(W85)&lt;N(U85),"持仓中","已平仓")))))</f>
        <v/>
      </c>
      <c r="Z85" s="41" t="str">
        <f>IF(N(U85)=0,"",SUMIFS('成交明细'!$L$5:$L$804,'成交明细'!$A$5:$A$804,A85))</f>
        <v/>
      </c>
      <c r="AA85" s="42" t="str">
        <f>IF(Y85&lt;&gt;"已平仓","",(SUMIFS('成交明细'!$H$5:$H$804,'成交明细'!$A$5:$A$804,A85,'成交明细'!$D$5:$D$804,"卖")-SUMIFS('成交明细'!$H$5:$H$804,'成交明细'!$A$5:$A$804,A85,'成交明细'!$D$5:$D$804,"买"))*IF(N(G85)&gt;0,G85,1)-Z85)</f>
        <v/>
      </c>
      <c r="AB85" s="43" t="str">
        <f>IF(AND(Y85="已平仓",ISNUMBER(O85)),(SUMIFS('成交明细'!$H$5:$H$804,'成交明细'!$A$5:$A$804,A85,'成交明细'!$D$5:$D$804,"卖")-SUMIFS('成交明细'!$H$5:$H$804,'成交明细'!$A$5:$A$804,A85,'成交明细'!$D$5:$D$804,"买"))*IF(N(G85)&gt;0,G85,1)/O85,"")</f>
        <v/>
      </c>
      <c r="AC85" s="43" t="str">
        <f>IF(AND(Y85="已平仓",ISNUMBER(O85)),AA85/O85,"")</f>
        <v/>
      </c>
      <c r="AD85" s="44" t="str">
        <f>IF(AND(ISNUMBER(V85),ISNUMBER(I85)),IF(F85="空",I85-V85,V85-I85),"")</f>
        <v/>
      </c>
      <c r="AE85" s="44" t="str">
        <f>IF(OR(NOT(ISNUMBER(AA85)),NOT(ISNUMBER(X85))),"",IF(AA85&lt;0,IF(F85="空",X85-J85,J85-X85),IF(NOT(ISNUMBER(K85)),"",IF(F85="空",X85-K85,K85-X85))))</f>
        <v/>
      </c>
      <c r="AF85" s="32" t="n"/>
      <c r="AG85" s="32" t="n"/>
      <c r="AH85" s="31" t="n"/>
      <c r="AI85" s="43" t="str">
        <f>IF(A85="","",SUM(AC$5:AC85))</f>
        <v/>
      </c>
      <c r="AJ85" s="45" t="str">
        <f>IF(A85="","",MAX(0,MAX(AI$5:AI85))-AI85)</f>
        <v/>
      </c>
    </row>
    <row r="86">
      <c r="A86" s="29" t="n"/>
      <c r="B86" s="30" t="n"/>
      <c r="C86" s="31" t="n"/>
      <c r="D86" s="32" t="n"/>
      <c r="E86" s="32" t="n"/>
      <c r="F86" s="32" t="n"/>
      <c r="G86" s="32" t="n"/>
      <c r="H86" s="32" t="n"/>
      <c r="I86" s="33" t="n"/>
      <c r="J86" s="33" t="n"/>
      <c r="K86" s="33" t="n"/>
      <c r="L86" s="34" t="str">
        <f>IF(AND(ISNUMBER(I86),ISNUMBER(J86),ISNUMBER(K86)),IF(OR(AND(F86="多",I86&gt;J86),AND(F86="空",I86&lt;J86)),ABS(K86-I86)/ABS(I86-J86),"止损方向不对"),"")</f>
        <v/>
      </c>
      <c r="M86" s="35" t="str">
        <f>IF(AND(ISNUMBER(I86),ISNUMBER(J86)),IF(I86=J86,"",IF(INT(ROUND('参数'!$C$7/(ABS(I86-J86)*IF(N(G86)&gt;0,G86,1)+2*(I86*IF(N(G86)&gt;0,G86,1)*'参数'!$C$12+'参数'!$C$13+'参数'!$C$14*IF(N(G86)&gt;0,G86,1)))/IF(N(H86)&gt;0,H86,1),6))*IF(N(H86)&gt;0,H86,1)&gt;0,INT(ROUND('参数'!$C$7/(ABS(I86-J86)*IF(N(G86)&gt;0,G86,1)+2*(I86*IF(N(G86)&gt;0,G86,1)*'参数'!$C$12+'参数'!$C$13+'参数'!$C$14*IF(N(G86)&gt;0,G86,1)))/IF(N(H86)&gt;0,H86,1),6))*IF(N(H86)&gt;0,H86,1),"预算不足，这笔不做")),"")</f>
        <v/>
      </c>
      <c r="N86" s="36" t="n"/>
      <c r="O86" s="20" t="str">
        <f>IF(AND(ISNUMBER(I86),ISNUMBER(J86),ISNUMBER(N86)),IF(AND(I86&lt;&gt;J86,N86&gt;0),ABS(I86-J86)*N86*IF(N(G86)&gt;0,G86,1),""),"")</f>
        <v/>
      </c>
      <c r="P86" s="31" t="n"/>
      <c r="Q86" s="32" t="n"/>
      <c r="R86" s="37" t="str">
        <f>IF(N(U86)&gt;0,SUMPRODUCT(LARGE(('成交明细'!$A$5:$A$804=A86)*('成交明细'!$D$5:$D$804=IF(F86="空","卖","买"))*'成交明细'!$B$5:$B$804,COUNTIFS('成交明细'!$A$5:$A$804,A86,'成交明细'!$D$5:$D$804,IF(F86="空","卖","买")))),"")</f>
        <v/>
      </c>
      <c r="S86" s="37" t="str">
        <f>IF(AND(N(U86)&gt;0,N(W86)&gt;=N(U86)),SUMPRODUCT(MAX(('成交明细'!$A$5:$A$804=A86)*('成交明细'!$D$5:$D$804=IF(F86="空","买","卖"))*'成交明细'!$B$5:$B$804)),"")</f>
        <v/>
      </c>
      <c r="T86" s="38" t="str">
        <f>IF(N(U86)=0,"",IF(SUMPRODUCT(('成交明细'!$A$5:$A$804=A86)*('成交明细'!$D$5:$D$804=IF(F86="空","卖","买"))*ISNUMBER('成交明细'!$C$5:$C$804))=0,"没填时间",IFERROR(VLOOKUP(MOD(SUMPRODUCT(LARGE(('成交明细'!$A$5:$A$804=A86)*('成交明细'!$D$5:$D$804=IF(F86="空","卖","买"))*('成交明细'!$B$5:$B$804+'成交明细'!$C$5:$C$804),COUNTIFS('成交明细'!$A$5:$A$804,A86,'成交明细'!$D$5:$D$804,IF(F86="空","卖","买")))),1),'参数'!$B$39:$C$48,2,TRUE),"")))</f>
        <v/>
      </c>
      <c r="U86" s="35" t="str">
        <f>IF(A86="","",SUMIFS('成交明细'!$F$5:$F$804,'成交明细'!$A$5:$A$804,A86,'成交明细'!$D$5:$D$804,IF(F86="空","卖","买")))</f>
        <v/>
      </c>
      <c r="V86" s="39" t="str">
        <f>IF(N(U86)&gt;0,SUMIFS('成交明细'!$H$5:$H$804,'成交明细'!$A$5:$A$804,A86,'成交明细'!$D$5:$D$804,IF(F86="空","卖","买"))/U86,"")</f>
        <v/>
      </c>
      <c r="W86" s="35" t="str">
        <f>IF(A86="","",SUMIFS('成交明细'!$F$5:$F$804,'成交明细'!$A$5:$A$804,A86,'成交明细'!$D$5:$D$804,IF(F86="空","买","卖")))</f>
        <v/>
      </c>
      <c r="X86" s="39" t="str">
        <f>IF(N(W86)&gt;0,SUMIFS('成交明细'!$H$5:$H$804,'成交明细'!$A$5:$A$804,A86,'成交明细'!$D$5:$D$804,IF(F86="空","买","卖"))/W86,"")</f>
        <v/>
      </c>
      <c r="Y86" s="40" t="str">
        <f>IF(A86="","",IF(Q86&lt;&gt;"已执行",IF(Q86="","未填执行情况",Q86),IF(N(U86)=0,"待录成交",IF(N(W86)&gt;N(U86),"平仓多于开仓",IF(N(W86)&lt;N(U86),"持仓中","已平仓")))))</f>
        <v/>
      </c>
      <c r="Z86" s="41" t="str">
        <f>IF(N(U86)=0,"",SUMIFS('成交明细'!$L$5:$L$804,'成交明细'!$A$5:$A$804,A86))</f>
        <v/>
      </c>
      <c r="AA86" s="42" t="str">
        <f>IF(Y86&lt;&gt;"已平仓","",(SUMIFS('成交明细'!$H$5:$H$804,'成交明细'!$A$5:$A$804,A86,'成交明细'!$D$5:$D$804,"卖")-SUMIFS('成交明细'!$H$5:$H$804,'成交明细'!$A$5:$A$804,A86,'成交明细'!$D$5:$D$804,"买"))*IF(N(G86)&gt;0,G86,1)-Z86)</f>
        <v/>
      </c>
      <c r="AB86" s="43" t="str">
        <f>IF(AND(Y86="已平仓",ISNUMBER(O86)),(SUMIFS('成交明细'!$H$5:$H$804,'成交明细'!$A$5:$A$804,A86,'成交明细'!$D$5:$D$804,"卖")-SUMIFS('成交明细'!$H$5:$H$804,'成交明细'!$A$5:$A$804,A86,'成交明细'!$D$5:$D$804,"买"))*IF(N(G86)&gt;0,G86,1)/O86,"")</f>
        <v/>
      </c>
      <c r="AC86" s="43" t="str">
        <f>IF(AND(Y86="已平仓",ISNUMBER(O86)),AA86/O86,"")</f>
        <v/>
      </c>
      <c r="AD86" s="44" t="str">
        <f>IF(AND(ISNUMBER(V86),ISNUMBER(I86)),IF(F86="空",I86-V86,V86-I86),"")</f>
        <v/>
      </c>
      <c r="AE86" s="44" t="str">
        <f>IF(OR(NOT(ISNUMBER(AA86)),NOT(ISNUMBER(X86))),"",IF(AA86&lt;0,IF(F86="空",X86-J86,J86-X86),IF(NOT(ISNUMBER(K86)),"",IF(F86="空",X86-K86,K86-X86))))</f>
        <v/>
      </c>
      <c r="AF86" s="32" t="n"/>
      <c r="AG86" s="32" t="n"/>
      <c r="AH86" s="31" t="n"/>
      <c r="AI86" s="43" t="str">
        <f>IF(A86="","",SUM(AC$5:AC86))</f>
        <v/>
      </c>
      <c r="AJ86" s="45" t="str">
        <f>IF(A86="","",MAX(0,MAX(AI$5:AI86))-AI86)</f>
        <v/>
      </c>
    </row>
    <row r="87">
      <c r="A87" s="29" t="n"/>
      <c r="B87" s="30" t="n"/>
      <c r="C87" s="31" t="n"/>
      <c r="D87" s="32" t="n"/>
      <c r="E87" s="32" t="n"/>
      <c r="F87" s="32" t="n"/>
      <c r="G87" s="32" t="n"/>
      <c r="H87" s="32" t="n"/>
      <c r="I87" s="33" t="n"/>
      <c r="J87" s="33" t="n"/>
      <c r="K87" s="33" t="n"/>
      <c r="L87" s="34" t="str">
        <f>IF(AND(ISNUMBER(I87),ISNUMBER(J87),ISNUMBER(K87)),IF(OR(AND(F87="多",I87&gt;J87),AND(F87="空",I87&lt;J87)),ABS(K87-I87)/ABS(I87-J87),"止损方向不对"),"")</f>
        <v/>
      </c>
      <c r="M87" s="35" t="str">
        <f>IF(AND(ISNUMBER(I87),ISNUMBER(J87)),IF(I87=J87,"",IF(INT(ROUND('参数'!$C$7/(ABS(I87-J87)*IF(N(G87)&gt;0,G87,1)+2*(I87*IF(N(G87)&gt;0,G87,1)*'参数'!$C$12+'参数'!$C$13+'参数'!$C$14*IF(N(G87)&gt;0,G87,1)))/IF(N(H87)&gt;0,H87,1),6))*IF(N(H87)&gt;0,H87,1)&gt;0,INT(ROUND('参数'!$C$7/(ABS(I87-J87)*IF(N(G87)&gt;0,G87,1)+2*(I87*IF(N(G87)&gt;0,G87,1)*'参数'!$C$12+'参数'!$C$13+'参数'!$C$14*IF(N(G87)&gt;0,G87,1)))/IF(N(H87)&gt;0,H87,1),6))*IF(N(H87)&gt;0,H87,1),"预算不足，这笔不做")),"")</f>
        <v/>
      </c>
      <c r="N87" s="36" t="n"/>
      <c r="O87" s="20" t="str">
        <f>IF(AND(ISNUMBER(I87),ISNUMBER(J87),ISNUMBER(N87)),IF(AND(I87&lt;&gt;J87,N87&gt;0),ABS(I87-J87)*N87*IF(N(G87)&gt;0,G87,1),""),"")</f>
        <v/>
      </c>
      <c r="P87" s="31" t="n"/>
      <c r="Q87" s="32" t="n"/>
      <c r="R87" s="37" t="str">
        <f>IF(N(U87)&gt;0,SUMPRODUCT(LARGE(('成交明细'!$A$5:$A$804=A87)*('成交明细'!$D$5:$D$804=IF(F87="空","卖","买"))*'成交明细'!$B$5:$B$804,COUNTIFS('成交明细'!$A$5:$A$804,A87,'成交明细'!$D$5:$D$804,IF(F87="空","卖","买")))),"")</f>
        <v/>
      </c>
      <c r="S87" s="37" t="str">
        <f>IF(AND(N(U87)&gt;0,N(W87)&gt;=N(U87)),SUMPRODUCT(MAX(('成交明细'!$A$5:$A$804=A87)*('成交明细'!$D$5:$D$804=IF(F87="空","买","卖"))*'成交明细'!$B$5:$B$804)),"")</f>
        <v/>
      </c>
      <c r="T87" s="38" t="str">
        <f>IF(N(U87)=0,"",IF(SUMPRODUCT(('成交明细'!$A$5:$A$804=A87)*('成交明细'!$D$5:$D$804=IF(F87="空","卖","买"))*ISNUMBER('成交明细'!$C$5:$C$804))=0,"没填时间",IFERROR(VLOOKUP(MOD(SUMPRODUCT(LARGE(('成交明细'!$A$5:$A$804=A87)*('成交明细'!$D$5:$D$804=IF(F87="空","卖","买"))*('成交明细'!$B$5:$B$804+'成交明细'!$C$5:$C$804),COUNTIFS('成交明细'!$A$5:$A$804,A87,'成交明细'!$D$5:$D$804,IF(F87="空","卖","买")))),1),'参数'!$B$39:$C$48,2,TRUE),"")))</f>
        <v/>
      </c>
      <c r="U87" s="35" t="str">
        <f>IF(A87="","",SUMIFS('成交明细'!$F$5:$F$804,'成交明细'!$A$5:$A$804,A87,'成交明细'!$D$5:$D$804,IF(F87="空","卖","买")))</f>
        <v/>
      </c>
      <c r="V87" s="39" t="str">
        <f>IF(N(U87)&gt;0,SUMIFS('成交明细'!$H$5:$H$804,'成交明细'!$A$5:$A$804,A87,'成交明细'!$D$5:$D$804,IF(F87="空","卖","买"))/U87,"")</f>
        <v/>
      </c>
      <c r="W87" s="35" t="str">
        <f>IF(A87="","",SUMIFS('成交明细'!$F$5:$F$804,'成交明细'!$A$5:$A$804,A87,'成交明细'!$D$5:$D$804,IF(F87="空","买","卖")))</f>
        <v/>
      </c>
      <c r="X87" s="39" t="str">
        <f>IF(N(W87)&gt;0,SUMIFS('成交明细'!$H$5:$H$804,'成交明细'!$A$5:$A$804,A87,'成交明细'!$D$5:$D$804,IF(F87="空","买","卖"))/W87,"")</f>
        <v/>
      </c>
      <c r="Y87" s="40" t="str">
        <f>IF(A87="","",IF(Q87&lt;&gt;"已执行",IF(Q87="","未填执行情况",Q87),IF(N(U87)=0,"待录成交",IF(N(W87)&gt;N(U87),"平仓多于开仓",IF(N(W87)&lt;N(U87),"持仓中","已平仓")))))</f>
        <v/>
      </c>
      <c r="Z87" s="41" t="str">
        <f>IF(N(U87)=0,"",SUMIFS('成交明细'!$L$5:$L$804,'成交明细'!$A$5:$A$804,A87))</f>
        <v/>
      </c>
      <c r="AA87" s="42" t="str">
        <f>IF(Y87&lt;&gt;"已平仓","",(SUMIFS('成交明细'!$H$5:$H$804,'成交明细'!$A$5:$A$804,A87,'成交明细'!$D$5:$D$804,"卖")-SUMIFS('成交明细'!$H$5:$H$804,'成交明细'!$A$5:$A$804,A87,'成交明细'!$D$5:$D$804,"买"))*IF(N(G87)&gt;0,G87,1)-Z87)</f>
        <v/>
      </c>
      <c r="AB87" s="43" t="str">
        <f>IF(AND(Y87="已平仓",ISNUMBER(O87)),(SUMIFS('成交明细'!$H$5:$H$804,'成交明细'!$A$5:$A$804,A87,'成交明细'!$D$5:$D$804,"卖")-SUMIFS('成交明细'!$H$5:$H$804,'成交明细'!$A$5:$A$804,A87,'成交明细'!$D$5:$D$804,"买"))*IF(N(G87)&gt;0,G87,1)/O87,"")</f>
        <v/>
      </c>
      <c r="AC87" s="43" t="str">
        <f>IF(AND(Y87="已平仓",ISNUMBER(O87)),AA87/O87,"")</f>
        <v/>
      </c>
      <c r="AD87" s="44" t="str">
        <f>IF(AND(ISNUMBER(V87),ISNUMBER(I87)),IF(F87="空",I87-V87,V87-I87),"")</f>
        <v/>
      </c>
      <c r="AE87" s="44" t="str">
        <f>IF(OR(NOT(ISNUMBER(AA87)),NOT(ISNUMBER(X87))),"",IF(AA87&lt;0,IF(F87="空",X87-J87,J87-X87),IF(NOT(ISNUMBER(K87)),"",IF(F87="空",X87-K87,K87-X87))))</f>
        <v/>
      </c>
      <c r="AF87" s="32" t="n"/>
      <c r="AG87" s="32" t="n"/>
      <c r="AH87" s="31" t="n"/>
      <c r="AI87" s="43" t="str">
        <f>IF(A87="","",SUM(AC$5:AC87))</f>
        <v/>
      </c>
      <c r="AJ87" s="45" t="str">
        <f>IF(A87="","",MAX(0,MAX(AI$5:AI87))-AI87)</f>
        <v/>
      </c>
    </row>
    <row r="88">
      <c r="A88" s="29" t="n"/>
      <c r="B88" s="30" t="n"/>
      <c r="C88" s="31" t="n"/>
      <c r="D88" s="32" t="n"/>
      <c r="E88" s="32" t="n"/>
      <c r="F88" s="32" t="n"/>
      <c r="G88" s="32" t="n"/>
      <c r="H88" s="32" t="n"/>
      <c r="I88" s="33" t="n"/>
      <c r="J88" s="33" t="n"/>
      <c r="K88" s="33" t="n"/>
      <c r="L88" s="34" t="str">
        <f>IF(AND(ISNUMBER(I88),ISNUMBER(J88),ISNUMBER(K88)),IF(OR(AND(F88="多",I88&gt;J88),AND(F88="空",I88&lt;J88)),ABS(K88-I88)/ABS(I88-J88),"止损方向不对"),"")</f>
        <v/>
      </c>
      <c r="M88" s="35" t="str">
        <f>IF(AND(ISNUMBER(I88),ISNUMBER(J88)),IF(I88=J88,"",IF(INT(ROUND('参数'!$C$7/(ABS(I88-J88)*IF(N(G88)&gt;0,G88,1)+2*(I88*IF(N(G88)&gt;0,G88,1)*'参数'!$C$12+'参数'!$C$13+'参数'!$C$14*IF(N(G88)&gt;0,G88,1)))/IF(N(H88)&gt;0,H88,1),6))*IF(N(H88)&gt;0,H88,1)&gt;0,INT(ROUND('参数'!$C$7/(ABS(I88-J88)*IF(N(G88)&gt;0,G88,1)+2*(I88*IF(N(G88)&gt;0,G88,1)*'参数'!$C$12+'参数'!$C$13+'参数'!$C$14*IF(N(G88)&gt;0,G88,1)))/IF(N(H88)&gt;0,H88,1),6))*IF(N(H88)&gt;0,H88,1),"预算不足，这笔不做")),"")</f>
        <v/>
      </c>
      <c r="N88" s="36" t="n"/>
      <c r="O88" s="20" t="str">
        <f>IF(AND(ISNUMBER(I88),ISNUMBER(J88),ISNUMBER(N88)),IF(AND(I88&lt;&gt;J88,N88&gt;0),ABS(I88-J88)*N88*IF(N(G88)&gt;0,G88,1),""),"")</f>
        <v/>
      </c>
      <c r="P88" s="31" t="n"/>
      <c r="Q88" s="32" t="n"/>
      <c r="R88" s="37" t="str">
        <f>IF(N(U88)&gt;0,SUMPRODUCT(LARGE(('成交明细'!$A$5:$A$804=A88)*('成交明细'!$D$5:$D$804=IF(F88="空","卖","买"))*'成交明细'!$B$5:$B$804,COUNTIFS('成交明细'!$A$5:$A$804,A88,'成交明细'!$D$5:$D$804,IF(F88="空","卖","买")))),"")</f>
        <v/>
      </c>
      <c r="S88" s="37" t="str">
        <f>IF(AND(N(U88)&gt;0,N(W88)&gt;=N(U88)),SUMPRODUCT(MAX(('成交明细'!$A$5:$A$804=A88)*('成交明细'!$D$5:$D$804=IF(F88="空","买","卖"))*'成交明细'!$B$5:$B$804)),"")</f>
        <v/>
      </c>
      <c r="T88" s="38" t="str">
        <f>IF(N(U88)=0,"",IF(SUMPRODUCT(('成交明细'!$A$5:$A$804=A88)*('成交明细'!$D$5:$D$804=IF(F88="空","卖","买"))*ISNUMBER('成交明细'!$C$5:$C$804))=0,"没填时间",IFERROR(VLOOKUP(MOD(SUMPRODUCT(LARGE(('成交明细'!$A$5:$A$804=A88)*('成交明细'!$D$5:$D$804=IF(F88="空","卖","买"))*('成交明细'!$B$5:$B$804+'成交明细'!$C$5:$C$804),COUNTIFS('成交明细'!$A$5:$A$804,A88,'成交明细'!$D$5:$D$804,IF(F88="空","卖","买")))),1),'参数'!$B$39:$C$48,2,TRUE),"")))</f>
        <v/>
      </c>
      <c r="U88" s="35" t="str">
        <f>IF(A88="","",SUMIFS('成交明细'!$F$5:$F$804,'成交明细'!$A$5:$A$804,A88,'成交明细'!$D$5:$D$804,IF(F88="空","卖","买")))</f>
        <v/>
      </c>
      <c r="V88" s="39" t="str">
        <f>IF(N(U88)&gt;0,SUMIFS('成交明细'!$H$5:$H$804,'成交明细'!$A$5:$A$804,A88,'成交明细'!$D$5:$D$804,IF(F88="空","卖","买"))/U88,"")</f>
        <v/>
      </c>
      <c r="W88" s="35" t="str">
        <f>IF(A88="","",SUMIFS('成交明细'!$F$5:$F$804,'成交明细'!$A$5:$A$804,A88,'成交明细'!$D$5:$D$804,IF(F88="空","买","卖")))</f>
        <v/>
      </c>
      <c r="X88" s="39" t="str">
        <f>IF(N(W88)&gt;0,SUMIFS('成交明细'!$H$5:$H$804,'成交明细'!$A$5:$A$804,A88,'成交明细'!$D$5:$D$804,IF(F88="空","买","卖"))/W88,"")</f>
        <v/>
      </c>
      <c r="Y88" s="40" t="str">
        <f>IF(A88="","",IF(Q88&lt;&gt;"已执行",IF(Q88="","未填执行情况",Q88),IF(N(U88)=0,"待录成交",IF(N(W88)&gt;N(U88),"平仓多于开仓",IF(N(W88)&lt;N(U88),"持仓中","已平仓")))))</f>
        <v/>
      </c>
      <c r="Z88" s="41" t="str">
        <f>IF(N(U88)=0,"",SUMIFS('成交明细'!$L$5:$L$804,'成交明细'!$A$5:$A$804,A88))</f>
        <v/>
      </c>
      <c r="AA88" s="42" t="str">
        <f>IF(Y88&lt;&gt;"已平仓","",(SUMIFS('成交明细'!$H$5:$H$804,'成交明细'!$A$5:$A$804,A88,'成交明细'!$D$5:$D$804,"卖")-SUMIFS('成交明细'!$H$5:$H$804,'成交明细'!$A$5:$A$804,A88,'成交明细'!$D$5:$D$804,"买"))*IF(N(G88)&gt;0,G88,1)-Z88)</f>
        <v/>
      </c>
      <c r="AB88" s="43" t="str">
        <f>IF(AND(Y88="已平仓",ISNUMBER(O88)),(SUMIFS('成交明细'!$H$5:$H$804,'成交明细'!$A$5:$A$804,A88,'成交明细'!$D$5:$D$804,"卖")-SUMIFS('成交明细'!$H$5:$H$804,'成交明细'!$A$5:$A$804,A88,'成交明细'!$D$5:$D$804,"买"))*IF(N(G88)&gt;0,G88,1)/O88,"")</f>
        <v/>
      </c>
      <c r="AC88" s="43" t="str">
        <f>IF(AND(Y88="已平仓",ISNUMBER(O88)),AA88/O88,"")</f>
        <v/>
      </c>
      <c r="AD88" s="44" t="str">
        <f>IF(AND(ISNUMBER(V88),ISNUMBER(I88)),IF(F88="空",I88-V88,V88-I88),"")</f>
        <v/>
      </c>
      <c r="AE88" s="44" t="str">
        <f>IF(OR(NOT(ISNUMBER(AA88)),NOT(ISNUMBER(X88))),"",IF(AA88&lt;0,IF(F88="空",X88-J88,J88-X88),IF(NOT(ISNUMBER(K88)),"",IF(F88="空",X88-K88,K88-X88))))</f>
        <v/>
      </c>
      <c r="AF88" s="32" t="n"/>
      <c r="AG88" s="32" t="n"/>
      <c r="AH88" s="31" t="n"/>
      <c r="AI88" s="43" t="str">
        <f>IF(A88="","",SUM(AC$5:AC88))</f>
        <v/>
      </c>
      <c r="AJ88" s="45" t="str">
        <f>IF(A88="","",MAX(0,MAX(AI$5:AI88))-AI88)</f>
        <v/>
      </c>
    </row>
    <row r="89">
      <c r="A89" s="29" t="n"/>
      <c r="B89" s="30" t="n"/>
      <c r="C89" s="31" t="n"/>
      <c r="D89" s="32" t="n"/>
      <c r="E89" s="32" t="n"/>
      <c r="F89" s="32" t="n"/>
      <c r="G89" s="32" t="n"/>
      <c r="H89" s="32" t="n"/>
      <c r="I89" s="33" t="n"/>
      <c r="J89" s="33" t="n"/>
      <c r="K89" s="33" t="n"/>
      <c r="L89" s="34" t="str">
        <f>IF(AND(ISNUMBER(I89),ISNUMBER(J89),ISNUMBER(K89)),IF(OR(AND(F89="多",I89&gt;J89),AND(F89="空",I89&lt;J89)),ABS(K89-I89)/ABS(I89-J89),"止损方向不对"),"")</f>
        <v/>
      </c>
      <c r="M89" s="35" t="str">
        <f>IF(AND(ISNUMBER(I89),ISNUMBER(J89)),IF(I89=J89,"",IF(INT(ROUND('参数'!$C$7/(ABS(I89-J89)*IF(N(G89)&gt;0,G89,1)+2*(I89*IF(N(G89)&gt;0,G89,1)*'参数'!$C$12+'参数'!$C$13+'参数'!$C$14*IF(N(G89)&gt;0,G89,1)))/IF(N(H89)&gt;0,H89,1),6))*IF(N(H89)&gt;0,H89,1)&gt;0,INT(ROUND('参数'!$C$7/(ABS(I89-J89)*IF(N(G89)&gt;0,G89,1)+2*(I89*IF(N(G89)&gt;0,G89,1)*'参数'!$C$12+'参数'!$C$13+'参数'!$C$14*IF(N(G89)&gt;0,G89,1)))/IF(N(H89)&gt;0,H89,1),6))*IF(N(H89)&gt;0,H89,1),"预算不足，这笔不做")),"")</f>
        <v/>
      </c>
      <c r="N89" s="36" t="n"/>
      <c r="O89" s="20" t="str">
        <f>IF(AND(ISNUMBER(I89),ISNUMBER(J89),ISNUMBER(N89)),IF(AND(I89&lt;&gt;J89,N89&gt;0),ABS(I89-J89)*N89*IF(N(G89)&gt;0,G89,1),""),"")</f>
        <v/>
      </c>
      <c r="P89" s="31" t="n"/>
      <c r="Q89" s="32" t="n"/>
      <c r="R89" s="37" t="str">
        <f>IF(N(U89)&gt;0,SUMPRODUCT(LARGE(('成交明细'!$A$5:$A$804=A89)*('成交明细'!$D$5:$D$804=IF(F89="空","卖","买"))*'成交明细'!$B$5:$B$804,COUNTIFS('成交明细'!$A$5:$A$804,A89,'成交明细'!$D$5:$D$804,IF(F89="空","卖","买")))),"")</f>
        <v/>
      </c>
      <c r="S89" s="37" t="str">
        <f>IF(AND(N(U89)&gt;0,N(W89)&gt;=N(U89)),SUMPRODUCT(MAX(('成交明细'!$A$5:$A$804=A89)*('成交明细'!$D$5:$D$804=IF(F89="空","买","卖"))*'成交明细'!$B$5:$B$804)),"")</f>
        <v/>
      </c>
      <c r="T89" s="38" t="str">
        <f>IF(N(U89)=0,"",IF(SUMPRODUCT(('成交明细'!$A$5:$A$804=A89)*('成交明细'!$D$5:$D$804=IF(F89="空","卖","买"))*ISNUMBER('成交明细'!$C$5:$C$804))=0,"没填时间",IFERROR(VLOOKUP(MOD(SUMPRODUCT(LARGE(('成交明细'!$A$5:$A$804=A89)*('成交明细'!$D$5:$D$804=IF(F89="空","卖","买"))*('成交明细'!$B$5:$B$804+'成交明细'!$C$5:$C$804),COUNTIFS('成交明细'!$A$5:$A$804,A89,'成交明细'!$D$5:$D$804,IF(F89="空","卖","买")))),1),'参数'!$B$39:$C$48,2,TRUE),"")))</f>
        <v/>
      </c>
      <c r="U89" s="35" t="str">
        <f>IF(A89="","",SUMIFS('成交明细'!$F$5:$F$804,'成交明细'!$A$5:$A$804,A89,'成交明细'!$D$5:$D$804,IF(F89="空","卖","买")))</f>
        <v/>
      </c>
      <c r="V89" s="39" t="str">
        <f>IF(N(U89)&gt;0,SUMIFS('成交明细'!$H$5:$H$804,'成交明细'!$A$5:$A$804,A89,'成交明细'!$D$5:$D$804,IF(F89="空","卖","买"))/U89,"")</f>
        <v/>
      </c>
      <c r="W89" s="35" t="str">
        <f>IF(A89="","",SUMIFS('成交明细'!$F$5:$F$804,'成交明细'!$A$5:$A$804,A89,'成交明细'!$D$5:$D$804,IF(F89="空","买","卖")))</f>
        <v/>
      </c>
      <c r="X89" s="39" t="str">
        <f>IF(N(W89)&gt;0,SUMIFS('成交明细'!$H$5:$H$804,'成交明细'!$A$5:$A$804,A89,'成交明细'!$D$5:$D$804,IF(F89="空","买","卖"))/W89,"")</f>
        <v/>
      </c>
      <c r="Y89" s="40" t="str">
        <f>IF(A89="","",IF(Q89&lt;&gt;"已执行",IF(Q89="","未填执行情况",Q89),IF(N(U89)=0,"待录成交",IF(N(W89)&gt;N(U89),"平仓多于开仓",IF(N(W89)&lt;N(U89),"持仓中","已平仓")))))</f>
        <v/>
      </c>
      <c r="Z89" s="41" t="str">
        <f>IF(N(U89)=0,"",SUMIFS('成交明细'!$L$5:$L$804,'成交明细'!$A$5:$A$804,A89))</f>
        <v/>
      </c>
      <c r="AA89" s="42" t="str">
        <f>IF(Y89&lt;&gt;"已平仓","",(SUMIFS('成交明细'!$H$5:$H$804,'成交明细'!$A$5:$A$804,A89,'成交明细'!$D$5:$D$804,"卖")-SUMIFS('成交明细'!$H$5:$H$804,'成交明细'!$A$5:$A$804,A89,'成交明细'!$D$5:$D$804,"买"))*IF(N(G89)&gt;0,G89,1)-Z89)</f>
        <v/>
      </c>
      <c r="AB89" s="43" t="str">
        <f>IF(AND(Y89="已平仓",ISNUMBER(O89)),(SUMIFS('成交明细'!$H$5:$H$804,'成交明细'!$A$5:$A$804,A89,'成交明细'!$D$5:$D$804,"卖")-SUMIFS('成交明细'!$H$5:$H$804,'成交明细'!$A$5:$A$804,A89,'成交明细'!$D$5:$D$804,"买"))*IF(N(G89)&gt;0,G89,1)/O89,"")</f>
        <v/>
      </c>
      <c r="AC89" s="43" t="str">
        <f>IF(AND(Y89="已平仓",ISNUMBER(O89)),AA89/O89,"")</f>
        <v/>
      </c>
      <c r="AD89" s="44" t="str">
        <f>IF(AND(ISNUMBER(V89),ISNUMBER(I89)),IF(F89="空",I89-V89,V89-I89),"")</f>
        <v/>
      </c>
      <c r="AE89" s="44" t="str">
        <f>IF(OR(NOT(ISNUMBER(AA89)),NOT(ISNUMBER(X89))),"",IF(AA89&lt;0,IF(F89="空",X89-J89,J89-X89),IF(NOT(ISNUMBER(K89)),"",IF(F89="空",X89-K89,K89-X89))))</f>
        <v/>
      </c>
      <c r="AF89" s="32" t="n"/>
      <c r="AG89" s="32" t="n"/>
      <c r="AH89" s="31" t="n"/>
      <c r="AI89" s="43" t="str">
        <f>IF(A89="","",SUM(AC$5:AC89))</f>
        <v/>
      </c>
      <c r="AJ89" s="45" t="str">
        <f>IF(A89="","",MAX(0,MAX(AI$5:AI89))-AI89)</f>
        <v/>
      </c>
    </row>
    <row r="90">
      <c r="A90" s="29" t="n"/>
      <c r="B90" s="30" t="n"/>
      <c r="C90" s="31" t="n"/>
      <c r="D90" s="32" t="n"/>
      <c r="E90" s="32" t="n"/>
      <c r="F90" s="32" t="n"/>
      <c r="G90" s="32" t="n"/>
      <c r="H90" s="32" t="n"/>
      <c r="I90" s="33" t="n"/>
      <c r="J90" s="33" t="n"/>
      <c r="K90" s="33" t="n"/>
      <c r="L90" s="34" t="str">
        <f>IF(AND(ISNUMBER(I90),ISNUMBER(J90),ISNUMBER(K90)),IF(OR(AND(F90="多",I90&gt;J90),AND(F90="空",I90&lt;J90)),ABS(K90-I90)/ABS(I90-J90),"止损方向不对"),"")</f>
        <v/>
      </c>
      <c r="M90" s="35" t="str">
        <f>IF(AND(ISNUMBER(I90),ISNUMBER(J90)),IF(I90=J90,"",IF(INT(ROUND('参数'!$C$7/(ABS(I90-J90)*IF(N(G90)&gt;0,G90,1)+2*(I90*IF(N(G90)&gt;0,G90,1)*'参数'!$C$12+'参数'!$C$13+'参数'!$C$14*IF(N(G90)&gt;0,G90,1)))/IF(N(H90)&gt;0,H90,1),6))*IF(N(H90)&gt;0,H90,1)&gt;0,INT(ROUND('参数'!$C$7/(ABS(I90-J90)*IF(N(G90)&gt;0,G90,1)+2*(I90*IF(N(G90)&gt;0,G90,1)*'参数'!$C$12+'参数'!$C$13+'参数'!$C$14*IF(N(G90)&gt;0,G90,1)))/IF(N(H90)&gt;0,H90,1),6))*IF(N(H90)&gt;0,H90,1),"预算不足，这笔不做")),"")</f>
        <v/>
      </c>
      <c r="N90" s="36" t="n"/>
      <c r="O90" s="20" t="str">
        <f>IF(AND(ISNUMBER(I90),ISNUMBER(J90),ISNUMBER(N90)),IF(AND(I90&lt;&gt;J90,N90&gt;0),ABS(I90-J90)*N90*IF(N(G90)&gt;0,G90,1),""),"")</f>
        <v/>
      </c>
      <c r="P90" s="31" t="n"/>
      <c r="Q90" s="32" t="n"/>
      <c r="R90" s="37" t="str">
        <f>IF(N(U90)&gt;0,SUMPRODUCT(LARGE(('成交明细'!$A$5:$A$804=A90)*('成交明细'!$D$5:$D$804=IF(F90="空","卖","买"))*'成交明细'!$B$5:$B$804,COUNTIFS('成交明细'!$A$5:$A$804,A90,'成交明细'!$D$5:$D$804,IF(F90="空","卖","买")))),"")</f>
        <v/>
      </c>
      <c r="S90" s="37" t="str">
        <f>IF(AND(N(U90)&gt;0,N(W90)&gt;=N(U90)),SUMPRODUCT(MAX(('成交明细'!$A$5:$A$804=A90)*('成交明细'!$D$5:$D$804=IF(F90="空","买","卖"))*'成交明细'!$B$5:$B$804)),"")</f>
        <v/>
      </c>
      <c r="T90" s="38" t="str">
        <f>IF(N(U90)=0,"",IF(SUMPRODUCT(('成交明细'!$A$5:$A$804=A90)*('成交明细'!$D$5:$D$804=IF(F90="空","卖","买"))*ISNUMBER('成交明细'!$C$5:$C$804))=0,"没填时间",IFERROR(VLOOKUP(MOD(SUMPRODUCT(LARGE(('成交明细'!$A$5:$A$804=A90)*('成交明细'!$D$5:$D$804=IF(F90="空","卖","买"))*('成交明细'!$B$5:$B$804+'成交明细'!$C$5:$C$804),COUNTIFS('成交明细'!$A$5:$A$804,A90,'成交明细'!$D$5:$D$804,IF(F90="空","卖","买")))),1),'参数'!$B$39:$C$48,2,TRUE),"")))</f>
        <v/>
      </c>
      <c r="U90" s="35" t="str">
        <f>IF(A90="","",SUMIFS('成交明细'!$F$5:$F$804,'成交明细'!$A$5:$A$804,A90,'成交明细'!$D$5:$D$804,IF(F90="空","卖","买")))</f>
        <v/>
      </c>
      <c r="V90" s="39" t="str">
        <f>IF(N(U90)&gt;0,SUMIFS('成交明细'!$H$5:$H$804,'成交明细'!$A$5:$A$804,A90,'成交明细'!$D$5:$D$804,IF(F90="空","卖","买"))/U90,"")</f>
        <v/>
      </c>
      <c r="W90" s="35" t="str">
        <f>IF(A90="","",SUMIFS('成交明细'!$F$5:$F$804,'成交明细'!$A$5:$A$804,A90,'成交明细'!$D$5:$D$804,IF(F90="空","买","卖")))</f>
        <v/>
      </c>
      <c r="X90" s="39" t="str">
        <f>IF(N(W90)&gt;0,SUMIFS('成交明细'!$H$5:$H$804,'成交明细'!$A$5:$A$804,A90,'成交明细'!$D$5:$D$804,IF(F90="空","买","卖"))/W90,"")</f>
        <v/>
      </c>
      <c r="Y90" s="40" t="str">
        <f>IF(A90="","",IF(Q90&lt;&gt;"已执行",IF(Q90="","未填执行情况",Q90),IF(N(U90)=0,"待录成交",IF(N(W90)&gt;N(U90),"平仓多于开仓",IF(N(W90)&lt;N(U90),"持仓中","已平仓")))))</f>
        <v/>
      </c>
      <c r="Z90" s="41" t="str">
        <f>IF(N(U90)=0,"",SUMIFS('成交明细'!$L$5:$L$804,'成交明细'!$A$5:$A$804,A90))</f>
        <v/>
      </c>
      <c r="AA90" s="42" t="str">
        <f>IF(Y90&lt;&gt;"已平仓","",(SUMIFS('成交明细'!$H$5:$H$804,'成交明细'!$A$5:$A$804,A90,'成交明细'!$D$5:$D$804,"卖")-SUMIFS('成交明细'!$H$5:$H$804,'成交明细'!$A$5:$A$804,A90,'成交明细'!$D$5:$D$804,"买"))*IF(N(G90)&gt;0,G90,1)-Z90)</f>
        <v/>
      </c>
      <c r="AB90" s="43" t="str">
        <f>IF(AND(Y90="已平仓",ISNUMBER(O90)),(SUMIFS('成交明细'!$H$5:$H$804,'成交明细'!$A$5:$A$804,A90,'成交明细'!$D$5:$D$804,"卖")-SUMIFS('成交明细'!$H$5:$H$804,'成交明细'!$A$5:$A$804,A90,'成交明细'!$D$5:$D$804,"买"))*IF(N(G90)&gt;0,G90,1)/O90,"")</f>
        <v/>
      </c>
      <c r="AC90" s="43" t="str">
        <f>IF(AND(Y90="已平仓",ISNUMBER(O90)),AA90/O90,"")</f>
        <v/>
      </c>
      <c r="AD90" s="44" t="str">
        <f>IF(AND(ISNUMBER(V90),ISNUMBER(I90)),IF(F90="空",I90-V90,V90-I90),"")</f>
        <v/>
      </c>
      <c r="AE90" s="44" t="str">
        <f>IF(OR(NOT(ISNUMBER(AA90)),NOT(ISNUMBER(X90))),"",IF(AA90&lt;0,IF(F90="空",X90-J90,J90-X90),IF(NOT(ISNUMBER(K90)),"",IF(F90="空",X90-K90,K90-X90))))</f>
        <v/>
      </c>
      <c r="AF90" s="32" t="n"/>
      <c r="AG90" s="32" t="n"/>
      <c r="AH90" s="31" t="n"/>
      <c r="AI90" s="43" t="str">
        <f>IF(A90="","",SUM(AC$5:AC90))</f>
        <v/>
      </c>
      <c r="AJ90" s="45" t="str">
        <f>IF(A90="","",MAX(0,MAX(AI$5:AI90))-AI90)</f>
        <v/>
      </c>
    </row>
    <row r="91">
      <c r="A91" s="29" t="n"/>
      <c r="B91" s="30" t="n"/>
      <c r="C91" s="31" t="n"/>
      <c r="D91" s="32" t="n"/>
      <c r="E91" s="32" t="n"/>
      <c r="F91" s="32" t="n"/>
      <c r="G91" s="32" t="n"/>
      <c r="H91" s="32" t="n"/>
      <c r="I91" s="33" t="n"/>
      <c r="J91" s="33" t="n"/>
      <c r="K91" s="33" t="n"/>
      <c r="L91" s="34" t="str">
        <f>IF(AND(ISNUMBER(I91),ISNUMBER(J91),ISNUMBER(K91)),IF(OR(AND(F91="多",I91&gt;J91),AND(F91="空",I91&lt;J91)),ABS(K91-I91)/ABS(I91-J91),"止损方向不对"),"")</f>
        <v/>
      </c>
      <c r="M91" s="35" t="str">
        <f>IF(AND(ISNUMBER(I91),ISNUMBER(J91)),IF(I91=J91,"",IF(INT(ROUND('参数'!$C$7/(ABS(I91-J91)*IF(N(G91)&gt;0,G91,1)+2*(I91*IF(N(G91)&gt;0,G91,1)*'参数'!$C$12+'参数'!$C$13+'参数'!$C$14*IF(N(G91)&gt;0,G91,1)))/IF(N(H91)&gt;0,H91,1),6))*IF(N(H91)&gt;0,H91,1)&gt;0,INT(ROUND('参数'!$C$7/(ABS(I91-J91)*IF(N(G91)&gt;0,G91,1)+2*(I91*IF(N(G91)&gt;0,G91,1)*'参数'!$C$12+'参数'!$C$13+'参数'!$C$14*IF(N(G91)&gt;0,G91,1)))/IF(N(H91)&gt;0,H91,1),6))*IF(N(H91)&gt;0,H91,1),"预算不足，这笔不做")),"")</f>
        <v/>
      </c>
      <c r="N91" s="36" t="n"/>
      <c r="O91" s="20" t="str">
        <f>IF(AND(ISNUMBER(I91),ISNUMBER(J91),ISNUMBER(N91)),IF(AND(I91&lt;&gt;J91,N91&gt;0),ABS(I91-J91)*N91*IF(N(G91)&gt;0,G91,1),""),"")</f>
        <v/>
      </c>
      <c r="P91" s="31" t="n"/>
      <c r="Q91" s="32" t="n"/>
      <c r="R91" s="37" t="str">
        <f>IF(N(U91)&gt;0,SUMPRODUCT(LARGE(('成交明细'!$A$5:$A$804=A91)*('成交明细'!$D$5:$D$804=IF(F91="空","卖","买"))*'成交明细'!$B$5:$B$804,COUNTIFS('成交明细'!$A$5:$A$804,A91,'成交明细'!$D$5:$D$804,IF(F91="空","卖","买")))),"")</f>
        <v/>
      </c>
      <c r="S91" s="37" t="str">
        <f>IF(AND(N(U91)&gt;0,N(W91)&gt;=N(U91)),SUMPRODUCT(MAX(('成交明细'!$A$5:$A$804=A91)*('成交明细'!$D$5:$D$804=IF(F91="空","买","卖"))*'成交明细'!$B$5:$B$804)),"")</f>
        <v/>
      </c>
      <c r="T91" s="38" t="str">
        <f>IF(N(U91)=0,"",IF(SUMPRODUCT(('成交明细'!$A$5:$A$804=A91)*('成交明细'!$D$5:$D$804=IF(F91="空","卖","买"))*ISNUMBER('成交明细'!$C$5:$C$804))=0,"没填时间",IFERROR(VLOOKUP(MOD(SUMPRODUCT(LARGE(('成交明细'!$A$5:$A$804=A91)*('成交明细'!$D$5:$D$804=IF(F91="空","卖","买"))*('成交明细'!$B$5:$B$804+'成交明细'!$C$5:$C$804),COUNTIFS('成交明细'!$A$5:$A$804,A91,'成交明细'!$D$5:$D$804,IF(F91="空","卖","买")))),1),'参数'!$B$39:$C$48,2,TRUE),"")))</f>
        <v/>
      </c>
      <c r="U91" s="35" t="str">
        <f>IF(A91="","",SUMIFS('成交明细'!$F$5:$F$804,'成交明细'!$A$5:$A$804,A91,'成交明细'!$D$5:$D$804,IF(F91="空","卖","买")))</f>
        <v/>
      </c>
      <c r="V91" s="39" t="str">
        <f>IF(N(U91)&gt;0,SUMIFS('成交明细'!$H$5:$H$804,'成交明细'!$A$5:$A$804,A91,'成交明细'!$D$5:$D$804,IF(F91="空","卖","买"))/U91,"")</f>
        <v/>
      </c>
      <c r="W91" s="35" t="str">
        <f>IF(A91="","",SUMIFS('成交明细'!$F$5:$F$804,'成交明细'!$A$5:$A$804,A91,'成交明细'!$D$5:$D$804,IF(F91="空","买","卖")))</f>
        <v/>
      </c>
      <c r="X91" s="39" t="str">
        <f>IF(N(W91)&gt;0,SUMIFS('成交明细'!$H$5:$H$804,'成交明细'!$A$5:$A$804,A91,'成交明细'!$D$5:$D$804,IF(F91="空","买","卖"))/W91,"")</f>
        <v/>
      </c>
      <c r="Y91" s="40" t="str">
        <f>IF(A91="","",IF(Q91&lt;&gt;"已执行",IF(Q91="","未填执行情况",Q91),IF(N(U91)=0,"待录成交",IF(N(W91)&gt;N(U91),"平仓多于开仓",IF(N(W91)&lt;N(U91),"持仓中","已平仓")))))</f>
        <v/>
      </c>
      <c r="Z91" s="41" t="str">
        <f>IF(N(U91)=0,"",SUMIFS('成交明细'!$L$5:$L$804,'成交明细'!$A$5:$A$804,A91))</f>
        <v/>
      </c>
      <c r="AA91" s="42" t="str">
        <f>IF(Y91&lt;&gt;"已平仓","",(SUMIFS('成交明细'!$H$5:$H$804,'成交明细'!$A$5:$A$804,A91,'成交明细'!$D$5:$D$804,"卖")-SUMIFS('成交明细'!$H$5:$H$804,'成交明细'!$A$5:$A$804,A91,'成交明细'!$D$5:$D$804,"买"))*IF(N(G91)&gt;0,G91,1)-Z91)</f>
        <v/>
      </c>
      <c r="AB91" s="43" t="str">
        <f>IF(AND(Y91="已平仓",ISNUMBER(O91)),(SUMIFS('成交明细'!$H$5:$H$804,'成交明细'!$A$5:$A$804,A91,'成交明细'!$D$5:$D$804,"卖")-SUMIFS('成交明细'!$H$5:$H$804,'成交明细'!$A$5:$A$804,A91,'成交明细'!$D$5:$D$804,"买"))*IF(N(G91)&gt;0,G91,1)/O91,"")</f>
        <v/>
      </c>
      <c r="AC91" s="43" t="str">
        <f>IF(AND(Y91="已平仓",ISNUMBER(O91)),AA91/O91,"")</f>
        <v/>
      </c>
      <c r="AD91" s="44" t="str">
        <f>IF(AND(ISNUMBER(V91),ISNUMBER(I91)),IF(F91="空",I91-V91,V91-I91),"")</f>
        <v/>
      </c>
      <c r="AE91" s="44" t="str">
        <f>IF(OR(NOT(ISNUMBER(AA91)),NOT(ISNUMBER(X91))),"",IF(AA91&lt;0,IF(F91="空",X91-J91,J91-X91),IF(NOT(ISNUMBER(K91)),"",IF(F91="空",X91-K91,K91-X91))))</f>
        <v/>
      </c>
      <c r="AF91" s="32" t="n"/>
      <c r="AG91" s="32" t="n"/>
      <c r="AH91" s="31" t="n"/>
      <c r="AI91" s="43" t="str">
        <f>IF(A91="","",SUM(AC$5:AC91))</f>
        <v/>
      </c>
      <c r="AJ91" s="45" t="str">
        <f>IF(A91="","",MAX(0,MAX(AI$5:AI91))-AI91)</f>
        <v/>
      </c>
    </row>
    <row r="92">
      <c r="A92" s="29" t="n"/>
      <c r="B92" s="30" t="n"/>
      <c r="C92" s="31" t="n"/>
      <c r="D92" s="32" t="n"/>
      <c r="E92" s="32" t="n"/>
      <c r="F92" s="32" t="n"/>
      <c r="G92" s="32" t="n"/>
      <c r="H92" s="32" t="n"/>
      <c r="I92" s="33" t="n"/>
      <c r="J92" s="33" t="n"/>
      <c r="K92" s="33" t="n"/>
      <c r="L92" s="34" t="str">
        <f>IF(AND(ISNUMBER(I92),ISNUMBER(J92),ISNUMBER(K92)),IF(OR(AND(F92="多",I92&gt;J92),AND(F92="空",I92&lt;J92)),ABS(K92-I92)/ABS(I92-J92),"止损方向不对"),"")</f>
        <v/>
      </c>
      <c r="M92" s="35" t="str">
        <f>IF(AND(ISNUMBER(I92),ISNUMBER(J92)),IF(I92=J92,"",IF(INT(ROUND('参数'!$C$7/(ABS(I92-J92)*IF(N(G92)&gt;0,G92,1)+2*(I92*IF(N(G92)&gt;0,G92,1)*'参数'!$C$12+'参数'!$C$13+'参数'!$C$14*IF(N(G92)&gt;0,G92,1)))/IF(N(H92)&gt;0,H92,1),6))*IF(N(H92)&gt;0,H92,1)&gt;0,INT(ROUND('参数'!$C$7/(ABS(I92-J92)*IF(N(G92)&gt;0,G92,1)+2*(I92*IF(N(G92)&gt;0,G92,1)*'参数'!$C$12+'参数'!$C$13+'参数'!$C$14*IF(N(G92)&gt;0,G92,1)))/IF(N(H92)&gt;0,H92,1),6))*IF(N(H92)&gt;0,H92,1),"预算不足，这笔不做")),"")</f>
        <v/>
      </c>
      <c r="N92" s="36" t="n"/>
      <c r="O92" s="20" t="str">
        <f>IF(AND(ISNUMBER(I92),ISNUMBER(J92),ISNUMBER(N92)),IF(AND(I92&lt;&gt;J92,N92&gt;0),ABS(I92-J92)*N92*IF(N(G92)&gt;0,G92,1),""),"")</f>
        <v/>
      </c>
      <c r="P92" s="31" t="n"/>
      <c r="Q92" s="32" t="n"/>
      <c r="R92" s="37" t="str">
        <f>IF(N(U92)&gt;0,SUMPRODUCT(LARGE(('成交明细'!$A$5:$A$804=A92)*('成交明细'!$D$5:$D$804=IF(F92="空","卖","买"))*'成交明细'!$B$5:$B$804,COUNTIFS('成交明细'!$A$5:$A$804,A92,'成交明细'!$D$5:$D$804,IF(F92="空","卖","买")))),"")</f>
        <v/>
      </c>
      <c r="S92" s="37" t="str">
        <f>IF(AND(N(U92)&gt;0,N(W92)&gt;=N(U92)),SUMPRODUCT(MAX(('成交明细'!$A$5:$A$804=A92)*('成交明细'!$D$5:$D$804=IF(F92="空","买","卖"))*'成交明细'!$B$5:$B$804)),"")</f>
        <v/>
      </c>
      <c r="T92" s="38" t="str">
        <f>IF(N(U92)=0,"",IF(SUMPRODUCT(('成交明细'!$A$5:$A$804=A92)*('成交明细'!$D$5:$D$804=IF(F92="空","卖","买"))*ISNUMBER('成交明细'!$C$5:$C$804))=0,"没填时间",IFERROR(VLOOKUP(MOD(SUMPRODUCT(LARGE(('成交明细'!$A$5:$A$804=A92)*('成交明细'!$D$5:$D$804=IF(F92="空","卖","买"))*('成交明细'!$B$5:$B$804+'成交明细'!$C$5:$C$804),COUNTIFS('成交明细'!$A$5:$A$804,A92,'成交明细'!$D$5:$D$804,IF(F92="空","卖","买")))),1),'参数'!$B$39:$C$48,2,TRUE),"")))</f>
        <v/>
      </c>
      <c r="U92" s="35" t="str">
        <f>IF(A92="","",SUMIFS('成交明细'!$F$5:$F$804,'成交明细'!$A$5:$A$804,A92,'成交明细'!$D$5:$D$804,IF(F92="空","卖","买")))</f>
        <v/>
      </c>
      <c r="V92" s="39" t="str">
        <f>IF(N(U92)&gt;0,SUMIFS('成交明细'!$H$5:$H$804,'成交明细'!$A$5:$A$804,A92,'成交明细'!$D$5:$D$804,IF(F92="空","卖","买"))/U92,"")</f>
        <v/>
      </c>
      <c r="W92" s="35" t="str">
        <f>IF(A92="","",SUMIFS('成交明细'!$F$5:$F$804,'成交明细'!$A$5:$A$804,A92,'成交明细'!$D$5:$D$804,IF(F92="空","买","卖")))</f>
        <v/>
      </c>
      <c r="X92" s="39" t="str">
        <f>IF(N(W92)&gt;0,SUMIFS('成交明细'!$H$5:$H$804,'成交明细'!$A$5:$A$804,A92,'成交明细'!$D$5:$D$804,IF(F92="空","买","卖"))/W92,"")</f>
        <v/>
      </c>
      <c r="Y92" s="40" t="str">
        <f>IF(A92="","",IF(Q92&lt;&gt;"已执行",IF(Q92="","未填执行情况",Q92),IF(N(U92)=0,"待录成交",IF(N(W92)&gt;N(U92),"平仓多于开仓",IF(N(W92)&lt;N(U92),"持仓中","已平仓")))))</f>
        <v/>
      </c>
      <c r="Z92" s="41" t="str">
        <f>IF(N(U92)=0,"",SUMIFS('成交明细'!$L$5:$L$804,'成交明细'!$A$5:$A$804,A92))</f>
        <v/>
      </c>
      <c r="AA92" s="42" t="str">
        <f>IF(Y92&lt;&gt;"已平仓","",(SUMIFS('成交明细'!$H$5:$H$804,'成交明细'!$A$5:$A$804,A92,'成交明细'!$D$5:$D$804,"卖")-SUMIFS('成交明细'!$H$5:$H$804,'成交明细'!$A$5:$A$804,A92,'成交明细'!$D$5:$D$804,"买"))*IF(N(G92)&gt;0,G92,1)-Z92)</f>
        <v/>
      </c>
      <c r="AB92" s="43" t="str">
        <f>IF(AND(Y92="已平仓",ISNUMBER(O92)),(SUMIFS('成交明细'!$H$5:$H$804,'成交明细'!$A$5:$A$804,A92,'成交明细'!$D$5:$D$804,"卖")-SUMIFS('成交明细'!$H$5:$H$804,'成交明细'!$A$5:$A$804,A92,'成交明细'!$D$5:$D$804,"买"))*IF(N(G92)&gt;0,G92,1)/O92,"")</f>
        <v/>
      </c>
      <c r="AC92" s="43" t="str">
        <f>IF(AND(Y92="已平仓",ISNUMBER(O92)),AA92/O92,"")</f>
        <v/>
      </c>
      <c r="AD92" s="44" t="str">
        <f>IF(AND(ISNUMBER(V92),ISNUMBER(I92)),IF(F92="空",I92-V92,V92-I92),"")</f>
        <v/>
      </c>
      <c r="AE92" s="44" t="str">
        <f>IF(OR(NOT(ISNUMBER(AA92)),NOT(ISNUMBER(X92))),"",IF(AA92&lt;0,IF(F92="空",X92-J92,J92-X92),IF(NOT(ISNUMBER(K92)),"",IF(F92="空",X92-K92,K92-X92))))</f>
        <v/>
      </c>
      <c r="AF92" s="32" t="n"/>
      <c r="AG92" s="32" t="n"/>
      <c r="AH92" s="31" t="n"/>
      <c r="AI92" s="43" t="str">
        <f>IF(A92="","",SUM(AC$5:AC92))</f>
        <v/>
      </c>
      <c r="AJ92" s="45" t="str">
        <f>IF(A92="","",MAX(0,MAX(AI$5:AI92))-AI92)</f>
        <v/>
      </c>
    </row>
    <row r="93">
      <c r="A93" s="29" t="n"/>
      <c r="B93" s="30" t="n"/>
      <c r="C93" s="31" t="n"/>
      <c r="D93" s="32" t="n"/>
      <c r="E93" s="32" t="n"/>
      <c r="F93" s="32" t="n"/>
      <c r="G93" s="32" t="n"/>
      <c r="H93" s="32" t="n"/>
      <c r="I93" s="33" t="n"/>
      <c r="J93" s="33" t="n"/>
      <c r="K93" s="33" t="n"/>
      <c r="L93" s="34" t="str">
        <f>IF(AND(ISNUMBER(I93),ISNUMBER(J93),ISNUMBER(K93)),IF(OR(AND(F93="多",I93&gt;J93),AND(F93="空",I93&lt;J93)),ABS(K93-I93)/ABS(I93-J93),"止损方向不对"),"")</f>
        <v/>
      </c>
      <c r="M93" s="35" t="str">
        <f>IF(AND(ISNUMBER(I93),ISNUMBER(J93)),IF(I93=J93,"",IF(INT(ROUND('参数'!$C$7/(ABS(I93-J93)*IF(N(G93)&gt;0,G93,1)+2*(I93*IF(N(G93)&gt;0,G93,1)*'参数'!$C$12+'参数'!$C$13+'参数'!$C$14*IF(N(G93)&gt;0,G93,1)))/IF(N(H93)&gt;0,H93,1),6))*IF(N(H93)&gt;0,H93,1)&gt;0,INT(ROUND('参数'!$C$7/(ABS(I93-J93)*IF(N(G93)&gt;0,G93,1)+2*(I93*IF(N(G93)&gt;0,G93,1)*'参数'!$C$12+'参数'!$C$13+'参数'!$C$14*IF(N(G93)&gt;0,G93,1)))/IF(N(H93)&gt;0,H93,1),6))*IF(N(H93)&gt;0,H93,1),"预算不足，这笔不做")),"")</f>
        <v/>
      </c>
      <c r="N93" s="36" t="n"/>
      <c r="O93" s="20" t="str">
        <f>IF(AND(ISNUMBER(I93),ISNUMBER(J93),ISNUMBER(N93)),IF(AND(I93&lt;&gt;J93,N93&gt;0),ABS(I93-J93)*N93*IF(N(G93)&gt;0,G93,1),""),"")</f>
        <v/>
      </c>
      <c r="P93" s="31" t="n"/>
      <c r="Q93" s="32" t="n"/>
      <c r="R93" s="37" t="str">
        <f>IF(N(U93)&gt;0,SUMPRODUCT(LARGE(('成交明细'!$A$5:$A$804=A93)*('成交明细'!$D$5:$D$804=IF(F93="空","卖","买"))*'成交明细'!$B$5:$B$804,COUNTIFS('成交明细'!$A$5:$A$804,A93,'成交明细'!$D$5:$D$804,IF(F93="空","卖","买")))),"")</f>
        <v/>
      </c>
      <c r="S93" s="37" t="str">
        <f>IF(AND(N(U93)&gt;0,N(W93)&gt;=N(U93)),SUMPRODUCT(MAX(('成交明细'!$A$5:$A$804=A93)*('成交明细'!$D$5:$D$804=IF(F93="空","买","卖"))*'成交明细'!$B$5:$B$804)),"")</f>
        <v/>
      </c>
      <c r="T93" s="38" t="str">
        <f>IF(N(U93)=0,"",IF(SUMPRODUCT(('成交明细'!$A$5:$A$804=A93)*('成交明细'!$D$5:$D$804=IF(F93="空","卖","买"))*ISNUMBER('成交明细'!$C$5:$C$804))=0,"没填时间",IFERROR(VLOOKUP(MOD(SUMPRODUCT(LARGE(('成交明细'!$A$5:$A$804=A93)*('成交明细'!$D$5:$D$804=IF(F93="空","卖","买"))*('成交明细'!$B$5:$B$804+'成交明细'!$C$5:$C$804),COUNTIFS('成交明细'!$A$5:$A$804,A93,'成交明细'!$D$5:$D$804,IF(F93="空","卖","买")))),1),'参数'!$B$39:$C$48,2,TRUE),"")))</f>
        <v/>
      </c>
      <c r="U93" s="35" t="str">
        <f>IF(A93="","",SUMIFS('成交明细'!$F$5:$F$804,'成交明细'!$A$5:$A$804,A93,'成交明细'!$D$5:$D$804,IF(F93="空","卖","买")))</f>
        <v/>
      </c>
      <c r="V93" s="39" t="str">
        <f>IF(N(U93)&gt;0,SUMIFS('成交明细'!$H$5:$H$804,'成交明细'!$A$5:$A$804,A93,'成交明细'!$D$5:$D$804,IF(F93="空","卖","买"))/U93,"")</f>
        <v/>
      </c>
      <c r="W93" s="35" t="str">
        <f>IF(A93="","",SUMIFS('成交明细'!$F$5:$F$804,'成交明细'!$A$5:$A$804,A93,'成交明细'!$D$5:$D$804,IF(F93="空","买","卖")))</f>
        <v/>
      </c>
      <c r="X93" s="39" t="str">
        <f>IF(N(W93)&gt;0,SUMIFS('成交明细'!$H$5:$H$804,'成交明细'!$A$5:$A$804,A93,'成交明细'!$D$5:$D$804,IF(F93="空","买","卖"))/W93,"")</f>
        <v/>
      </c>
      <c r="Y93" s="40" t="str">
        <f>IF(A93="","",IF(Q93&lt;&gt;"已执行",IF(Q93="","未填执行情况",Q93),IF(N(U93)=0,"待录成交",IF(N(W93)&gt;N(U93),"平仓多于开仓",IF(N(W93)&lt;N(U93),"持仓中","已平仓")))))</f>
        <v/>
      </c>
      <c r="Z93" s="41" t="str">
        <f>IF(N(U93)=0,"",SUMIFS('成交明细'!$L$5:$L$804,'成交明细'!$A$5:$A$804,A93))</f>
        <v/>
      </c>
      <c r="AA93" s="42" t="str">
        <f>IF(Y93&lt;&gt;"已平仓","",(SUMIFS('成交明细'!$H$5:$H$804,'成交明细'!$A$5:$A$804,A93,'成交明细'!$D$5:$D$804,"卖")-SUMIFS('成交明细'!$H$5:$H$804,'成交明细'!$A$5:$A$804,A93,'成交明细'!$D$5:$D$804,"买"))*IF(N(G93)&gt;0,G93,1)-Z93)</f>
        <v/>
      </c>
      <c r="AB93" s="43" t="str">
        <f>IF(AND(Y93="已平仓",ISNUMBER(O93)),(SUMIFS('成交明细'!$H$5:$H$804,'成交明细'!$A$5:$A$804,A93,'成交明细'!$D$5:$D$804,"卖")-SUMIFS('成交明细'!$H$5:$H$804,'成交明细'!$A$5:$A$804,A93,'成交明细'!$D$5:$D$804,"买"))*IF(N(G93)&gt;0,G93,1)/O93,"")</f>
        <v/>
      </c>
      <c r="AC93" s="43" t="str">
        <f>IF(AND(Y93="已平仓",ISNUMBER(O93)),AA93/O93,"")</f>
        <v/>
      </c>
      <c r="AD93" s="44" t="str">
        <f>IF(AND(ISNUMBER(V93),ISNUMBER(I93)),IF(F93="空",I93-V93,V93-I93),"")</f>
        <v/>
      </c>
      <c r="AE93" s="44" t="str">
        <f>IF(OR(NOT(ISNUMBER(AA93)),NOT(ISNUMBER(X93))),"",IF(AA93&lt;0,IF(F93="空",X93-J93,J93-X93),IF(NOT(ISNUMBER(K93)),"",IF(F93="空",X93-K93,K93-X93))))</f>
        <v/>
      </c>
      <c r="AF93" s="32" t="n"/>
      <c r="AG93" s="32" t="n"/>
      <c r="AH93" s="31" t="n"/>
      <c r="AI93" s="43" t="str">
        <f>IF(A93="","",SUM(AC$5:AC93))</f>
        <v/>
      </c>
      <c r="AJ93" s="45" t="str">
        <f>IF(A93="","",MAX(0,MAX(AI$5:AI93))-AI93)</f>
        <v/>
      </c>
    </row>
    <row r="94">
      <c r="A94" s="29" t="n"/>
      <c r="B94" s="30" t="n"/>
      <c r="C94" s="31" t="n"/>
      <c r="D94" s="32" t="n"/>
      <c r="E94" s="32" t="n"/>
      <c r="F94" s="32" t="n"/>
      <c r="G94" s="32" t="n"/>
      <c r="H94" s="32" t="n"/>
      <c r="I94" s="33" t="n"/>
      <c r="J94" s="33" t="n"/>
      <c r="K94" s="33" t="n"/>
      <c r="L94" s="34" t="str">
        <f>IF(AND(ISNUMBER(I94),ISNUMBER(J94),ISNUMBER(K94)),IF(OR(AND(F94="多",I94&gt;J94),AND(F94="空",I94&lt;J94)),ABS(K94-I94)/ABS(I94-J94),"止损方向不对"),"")</f>
        <v/>
      </c>
      <c r="M94" s="35" t="str">
        <f>IF(AND(ISNUMBER(I94),ISNUMBER(J94)),IF(I94=J94,"",IF(INT(ROUND('参数'!$C$7/(ABS(I94-J94)*IF(N(G94)&gt;0,G94,1)+2*(I94*IF(N(G94)&gt;0,G94,1)*'参数'!$C$12+'参数'!$C$13+'参数'!$C$14*IF(N(G94)&gt;0,G94,1)))/IF(N(H94)&gt;0,H94,1),6))*IF(N(H94)&gt;0,H94,1)&gt;0,INT(ROUND('参数'!$C$7/(ABS(I94-J94)*IF(N(G94)&gt;0,G94,1)+2*(I94*IF(N(G94)&gt;0,G94,1)*'参数'!$C$12+'参数'!$C$13+'参数'!$C$14*IF(N(G94)&gt;0,G94,1)))/IF(N(H94)&gt;0,H94,1),6))*IF(N(H94)&gt;0,H94,1),"预算不足，这笔不做")),"")</f>
        <v/>
      </c>
      <c r="N94" s="36" t="n"/>
      <c r="O94" s="20" t="str">
        <f>IF(AND(ISNUMBER(I94),ISNUMBER(J94),ISNUMBER(N94)),IF(AND(I94&lt;&gt;J94,N94&gt;0),ABS(I94-J94)*N94*IF(N(G94)&gt;0,G94,1),""),"")</f>
        <v/>
      </c>
      <c r="P94" s="31" t="n"/>
      <c r="Q94" s="32" t="n"/>
      <c r="R94" s="37" t="str">
        <f>IF(N(U94)&gt;0,SUMPRODUCT(LARGE(('成交明细'!$A$5:$A$804=A94)*('成交明细'!$D$5:$D$804=IF(F94="空","卖","买"))*'成交明细'!$B$5:$B$804,COUNTIFS('成交明细'!$A$5:$A$804,A94,'成交明细'!$D$5:$D$804,IF(F94="空","卖","买")))),"")</f>
        <v/>
      </c>
      <c r="S94" s="37" t="str">
        <f>IF(AND(N(U94)&gt;0,N(W94)&gt;=N(U94)),SUMPRODUCT(MAX(('成交明细'!$A$5:$A$804=A94)*('成交明细'!$D$5:$D$804=IF(F94="空","买","卖"))*'成交明细'!$B$5:$B$804)),"")</f>
        <v/>
      </c>
      <c r="T94" s="38" t="str">
        <f>IF(N(U94)=0,"",IF(SUMPRODUCT(('成交明细'!$A$5:$A$804=A94)*('成交明细'!$D$5:$D$804=IF(F94="空","卖","买"))*ISNUMBER('成交明细'!$C$5:$C$804))=0,"没填时间",IFERROR(VLOOKUP(MOD(SUMPRODUCT(LARGE(('成交明细'!$A$5:$A$804=A94)*('成交明细'!$D$5:$D$804=IF(F94="空","卖","买"))*('成交明细'!$B$5:$B$804+'成交明细'!$C$5:$C$804),COUNTIFS('成交明细'!$A$5:$A$804,A94,'成交明细'!$D$5:$D$804,IF(F94="空","卖","买")))),1),'参数'!$B$39:$C$48,2,TRUE),"")))</f>
        <v/>
      </c>
      <c r="U94" s="35" t="str">
        <f>IF(A94="","",SUMIFS('成交明细'!$F$5:$F$804,'成交明细'!$A$5:$A$804,A94,'成交明细'!$D$5:$D$804,IF(F94="空","卖","买")))</f>
        <v/>
      </c>
      <c r="V94" s="39" t="str">
        <f>IF(N(U94)&gt;0,SUMIFS('成交明细'!$H$5:$H$804,'成交明细'!$A$5:$A$804,A94,'成交明细'!$D$5:$D$804,IF(F94="空","卖","买"))/U94,"")</f>
        <v/>
      </c>
      <c r="W94" s="35" t="str">
        <f>IF(A94="","",SUMIFS('成交明细'!$F$5:$F$804,'成交明细'!$A$5:$A$804,A94,'成交明细'!$D$5:$D$804,IF(F94="空","买","卖")))</f>
        <v/>
      </c>
      <c r="X94" s="39" t="str">
        <f>IF(N(W94)&gt;0,SUMIFS('成交明细'!$H$5:$H$804,'成交明细'!$A$5:$A$804,A94,'成交明细'!$D$5:$D$804,IF(F94="空","买","卖"))/W94,"")</f>
        <v/>
      </c>
      <c r="Y94" s="40" t="str">
        <f>IF(A94="","",IF(Q94&lt;&gt;"已执行",IF(Q94="","未填执行情况",Q94),IF(N(U94)=0,"待录成交",IF(N(W94)&gt;N(U94),"平仓多于开仓",IF(N(W94)&lt;N(U94),"持仓中","已平仓")))))</f>
        <v/>
      </c>
      <c r="Z94" s="41" t="str">
        <f>IF(N(U94)=0,"",SUMIFS('成交明细'!$L$5:$L$804,'成交明细'!$A$5:$A$804,A94))</f>
        <v/>
      </c>
      <c r="AA94" s="42" t="str">
        <f>IF(Y94&lt;&gt;"已平仓","",(SUMIFS('成交明细'!$H$5:$H$804,'成交明细'!$A$5:$A$804,A94,'成交明细'!$D$5:$D$804,"卖")-SUMIFS('成交明细'!$H$5:$H$804,'成交明细'!$A$5:$A$804,A94,'成交明细'!$D$5:$D$804,"买"))*IF(N(G94)&gt;0,G94,1)-Z94)</f>
        <v/>
      </c>
      <c r="AB94" s="43" t="str">
        <f>IF(AND(Y94="已平仓",ISNUMBER(O94)),(SUMIFS('成交明细'!$H$5:$H$804,'成交明细'!$A$5:$A$804,A94,'成交明细'!$D$5:$D$804,"卖")-SUMIFS('成交明细'!$H$5:$H$804,'成交明细'!$A$5:$A$804,A94,'成交明细'!$D$5:$D$804,"买"))*IF(N(G94)&gt;0,G94,1)/O94,"")</f>
        <v/>
      </c>
      <c r="AC94" s="43" t="str">
        <f>IF(AND(Y94="已平仓",ISNUMBER(O94)),AA94/O94,"")</f>
        <v/>
      </c>
      <c r="AD94" s="44" t="str">
        <f>IF(AND(ISNUMBER(V94),ISNUMBER(I94)),IF(F94="空",I94-V94,V94-I94),"")</f>
        <v/>
      </c>
      <c r="AE94" s="44" t="str">
        <f>IF(OR(NOT(ISNUMBER(AA94)),NOT(ISNUMBER(X94))),"",IF(AA94&lt;0,IF(F94="空",X94-J94,J94-X94),IF(NOT(ISNUMBER(K94)),"",IF(F94="空",X94-K94,K94-X94))))</f>
        <v/>
      </c>
      <c r="AF94" s="32" t="n"/>
      <c r="AG94" s="32" t="n"/>
      <c r="AH94" s="31" t="n"/>
      <c r="AI94" s="43" t="str">
        <f>IF(A94="","",SUM(AC$5:AC94))</f>
        <v/>
      </c>
      <c r="AJ94" s="45" t="str">
        <f>IF(A94="","",MAX(0,MAX(AI$5:AI94))-AI94)</f>
        <v/>
      </c>
    </row>
    <row r="95">
      <c r="A95" s="29" t="n"/>
      <c r="B95" s="30" t="n"/>
      <c r="C95" s="31" t="n"/>
      <c r="D95" s="32" t="n"/>
      <c r="E95" s="32" t="n"/>
      <c r="F95" s="32" t="n"/>
      <c r="G95" s="32" t="n"/>
      <c r="H95" s="32" t="n"/>
      <c r="I95" s="33" t="n"/>
      <c r="J95" s="33" t="n"/>
      <c r="K95" s="33" t="n"/>
      <c r="L95" s="34" t="str">
        <f>IF(AND(ISNUMBER(I95),ISNUMBER(J95),ISNUMBER(K95)),IF(OR(AND(F95="多",I95&gt;J95),AND(F95="空",I95&lt;J95)),ABS(K95-I95)/ABS(I95-J95),"止损方向不对"),"")</f>
        <v/>
      </c>
      <c r="M95" s="35" t="str">
        <f>IF(AND(ISNUMBER(I95),ISNUMBER(J95)),IF(I95=J95,"",IF(INT(ROUND('参数'!$C$7/(ABS(I95-J95)*IF(N(G95)&gt;0,G95,1)+2*(I95*IF(N(G95)&gt;0,G95,1)*'参数'!$C$12+'参数'!$C$13+'参数'!$C$14*IF(N(G95)&gt;0,G95,1)))/IF(N(H95)&gt;0,H95,1),6))*IF(N(H95)&gt;0,H95,1)&gt;0,INT(ROUND('参数'!$C$7/(ABS(I95-J95)*IF(N(G95)&gt;0,G95,1)+2*(I95*IF(N(G95)&gt;0,G95,1)*'参数'!$C$12+'参数'!$C$13+'参数'!$C$14*IF(N(G95)&gt;0,G95,1)))/IF(N(H95)&gt;0,H95,1),6))*IF(N(H95)&gt;0,H95,1),"预算不足，这笔不做")),"")</f>
        <v/>
      </c>
      <c r="N95" s="36" t="n"/>
      <c r="O95" s="20" t="str">
        <f>IF(AND(ISNUMBER(I95),ISNUMBER(J95),ISNUMBER(N95)),IF(AND(I95&lt;&gt;J95,N95&gt;0),ABS(I95-J95)*N95*IF(N(G95)&gt;0,G95,1),""),"")</f>
        <v/>
      </c>
      <c r="P95" s="31" t="n"/>
      <c r="Q95" s="32" t="n"/>
      <c r="R95" s="37" t="str">
        <f>IF(N(U95)&gt;0,SUMPRODUCT(LARGE(('成交明细'!$A$5:$A$804=A95)*('成交明细'!$D$5:$D$804=IF(F95="空","卖","买"))*'成交明细'!$B$5:$B$804,COUNTIFS('成交明细'!$A$5:$A$804,A95,'成交明细'!$D$5:$D$804,IF(F95="空","卖","买")))),"")</f>
        <v/>
      </c>
      <c r="S95" s="37" t="str">
        <f>IF(AND(N(U95)&gt;0,N(W95)&gt;=N(U95)),SUMPRODUCT(MAX(('成交明细'!$A$5:$A$804=A95)*('成交明细'!$D$5:$D$804=IF(F95="空","买","卖"))*'成交明细'!$B$5:$B$804)),"")</f>
        <v/>
      </c>
      <c r="T95" s="38" t="str">
        <f>IF(N(U95)=0,"",IF(SUMPRODUCT(('成交明细'!$A$5:$A$804=A95)*('成交明细'!$D$5:$D$804=IF(F95="空","卖","买"))*ISNUMBER('成交明细'!$C$5:$C$804))=0,"没填时间",IFERROR(VLOOKUP(MOD(SUMPRODUCT(LARGE(('成交明细'!$A$5:$A$804=A95)*('成交明细'!$D$5:$D$804=IF(F95="空","卖","买"))*('成交明细'!$B$5:$B$804+'成交明细'!$C$5:$C$804),COUNTIFS('成交明细'!$A$5:$A$804,A95,'成交明细'!$D$5:$D$804,IF(F95="空","卖","买")))),1),'参数'!$B$39:$C$48,2,TRUE),"")))</f>
        <v/>
      </c>
      <c r="U95" s="35" t="str">
        <f>IF(A95="","",SUMIFS('成交明细'!$F$5:$F$804,'成交明细'!$A$5:$A$804,A95,'成交明细'!$D$5:$D$804,IF(F95="空","卖","买")))</f>
        <v/>
      </c>
      <c r="V95" s="39" t="str">
        <f>IF(N(U95)&gt;0,SUMIFS('成交明细'!$H$5:$H$804,'成交明细'!$A$5:$A$804,A95,'成交明细'!$D$5:$D$804,IF(F95="空","卖","买"))/U95,"")</f>
        <v/>
      </c>
      <c r="W95" s="35" t="str">
        <f>IF(A95="","",SUMIFS('成交明细'!$F$5:$F$804,'成交明细'!$A$5:$A$804,A95,'成交明细'!$D$5:$D$804,IF(F95="空","买","卖")))</f>
        <v/>
      </c>
      <c r="X95" s="39" t="str">
        <f>IF(N(W95)&gt;0,SUMIFS('成交明细'!$H$5:$H$804,'成交明细'!$A$5:$A$804,A95,'成交明细'!$D$5:$D$804,IF(F95="空","买","卖"))/W95,"")</f>
        <v/>
      </c>
      <c r="Y95" s="40" t="str">
        <f>IF(A95="","",IF(Q95&lt;&gt;"已执行",IF(Q95="","未填执行情况",Q95),IF(N(U95)=0,"待录成交",IF(N(W95)&gt;N(U95),"平仓多于开仓",IF(N(W95)&lt;N(U95),"持仓中","已平仓")))))</f>
        <v/>
      </c>
      <c r="Z95" s="41" t="str">
        <f>IF(N(U95)=0,"",SUMIFS('成交明细'!$L$5:$L$804,'成交明细'!$A$5:$A$804,A95))</f>
        <v/>
      </c>
      <c r="AA95" s="42" t="str">
        <f>IF(Y95&lt;&gt;"已平仓","",(SUMIFS('成交明细'!$H$5:$H$804,'成交明细'!$A$5:$A$804,A95,'成交明细'!$D$5:$D$804,"卖")-SUMIFS('成交明细'!$H$5:$H$804,'成交明细'!$A$5:$A$804,A95,'成交明细'!$D$5:$D$804,"买"))*IF(N(G95)&gt;0,G95,1)-Z95)</f>
        <v/>
      </c>
      <c r="AB95" s="43" t="str">
        <f>IF(AND(Y95="已平仓",ISNUMBER(O95)),(SUMIFS('成交明细'!$H$5:$H$804,'成交明细'!$A$5:$A$804,A95,'成交明细'!$D$5:$D$804,"卖")-SUMIFS('成交明细'!$H$5:$H$804,'成交明细'!$A$5:$A$804,A95,'成交明细'!$D$5:$D$804,"买"))*IF(N(G95)&gt;0,G95,1)/O95,"")</f>
        <v/>
      </c>
      <c r="AC95" s="43" t="str">
        <f>IF(AND(Y95="已平仓",ISNUMBER(O95)),AA95/O95,"")</f>
        <v/>
      </c>
      <c r="AD95" s="44" t="str">
        <f>IF(AND(ISNUMBER(V95),ISNUMBER(I95)),IF(F95="空",I95-V95,V95-I95),"")</f>
        <v/>
      </c>
      <c r="AE95" s="44" t="str">
        <f>IF(OR(NOT(ISNUMBER(AA95)),NOT(ISNUMBER(X95))),"",IF(AA95&lt;0,IF(F95="空",X95-J95,J95-X95),IF(NOT(ISNUMBER(K95)),"",IF(F95="空",X95-K95,K95-X95))))</f>
        <v/>
      </c>
      <c r="AF95" s="32" t="n"/>
      <c r="AG95" s="32" t="n"/>
      <c r="AH95" s="31" t="n"/>
      <c r="AI95" s="43" t="str">
        <f>IF(A95="","",SUM(AC$5:AC95))</f>
        <v/>
      </c>
      <c r="AJ95" s="45" t="str">
        <f>IF(A95="","",MAX(0,MAX(AI$5:AI95))-AI95)</f>
        <v/>
      </c>
    </row>
    <row r="96">
      <c r="A96" s="29" t="n"/>
      <c r="B96" s="30" t="n"/>
      <c r="C96" s="31" t="n"/>
      <c r="D96" s="32" t="n"/>
      <c r="E96" s="32" t="n"/>
      <c r="F96" s="32" t="n"/>
      <c r="G96" s="32" t="n"/>
      <c r="H96" s="32" t="n"/>
      <c r="I96" s="33" t="n"/>
      <c r="J96" s="33" t="n"/>
      <c r="K96" s="33" t="n"/>
      <c r="L96" s="34" t="str">
        <f>IF(AND(ISNUMBER(I96),ISNUMBER(J96),ISNUMBER(K96)),IF(OR(AND(F96="多",I96&gt;J96),AND(F96="空",I96&lt;J96)),ABS(K96-I96)/ABS(I96-J96),"止损方向不对"),"")</f>
        <v/>
      </c>
      <c r="M96" s="35" t="str">
        <f>IF(AND(ISNUMBER(I96),ISNUMBER(J96)),IF(I96=J96,"",IF(INT(ROUND('参数'!$C$7/(ABS(I96-J96)*IF(N(G96)&gt;0,G96,1)+2*(I96*IF(N(G96)&gt;0,G96,1)*'参数'!$C$12+'参数'!$C$13+'参数'!$C$14*IF(N(G96)&gt;0,G96,1)))/IF(N(H96)&gt;0,H96,1),6))*IF(N(H96)&gt;0,H96,1)&gt;0,INT(ROUND('参数'!$C$7/(ABS(I96-J96)*IF(N(G96)&gt;0,G96,1)+2*(I96*IF(N(G96)&gt;0,G96,1)*'参数'!$C$12+'参数'!$C$13+'参数'!$C$14*IF(N(G96)&gt;0,G96,1)))/IF(N(H96)&gt;0,H96,1),6))*IF(N(H96)&gt;0,H96,1),"预算不足，这笔不做")),"")</f>
        <v/>
      </c>
      <c r="N96" s="36" t="n"/>
      <c r="O96" s="20" t="str">
        <f>IF(AND(ISNUMBER(I96),ISNUMBER(J96),ISNUMBER(N96)),IF(AND(I96&lt;&gt;J96,N96&gt;0),ABS(I96-J96)*N96*IF(N(G96)&gt;0,G96,1),""),"")</f>
        <v/>
      </c>
      <c r="P96" s="31" t="n"/>
      <c r="Q96" s="32" t="n"/>
      <c r="R96" s="37" t="str">
        <f>IF(N(U96)&gt;0,SUMPRODUCT(LARGE(('成交明细'!$A$5:$A$804=A96)*('成交明细'!$D$5:$D$804=IF(F96="空","卖","买"))*'成交明细'!$B$5:$B$804,COUNTIFS('成交明细'!$A$5:$A$804,A96,'成交明细'!$D$5:$D$804,IF(F96="空","卖","买")))),"")</f>
        <v/>
      </c>
      <c r="S96" s="37" t="str">
        <f>IF(AND(N(U96)&gt;0,N(W96)&gt;=N(U96)),SUMPRODUCT(MAX(('成交明细'!$A$5:$A$804=A96)*('成交明细'!$D$5:$D$804=IF(F96="空","买","卖"))*'成交明细'!$B$5:$B$804)),"")</f>
        <v/>
      </c>
      <c r="T96" s="38" t="str">
        <f>IF(N(U96)=0,"",IF(SUMPRODUCT(('成交明细'!$A$5:$A$804=A96)*('成交明细'!$D$5:$D$804=IF(F96="空","卖","买"))*ISNUMBER('成交明细'!$C$5:$C$804))=0,"没填时间",IFERROR(VLOOKUP(MOD(SUMPRODUCT(LARGE(('成交明细'!$A$5:$A$804=A96)*('成交明细'!$D$5:$D$804=IF(F96="空","卖","买"))*('成交明细'!$B$5:$B$804+'成交明细'!$C$5:$C$804),COUNTIFS('成交明细'!$A$5:$A$804,A96,'成交明细'!$D$5:$D$804,IF(F96="空","卖","买")))),1),'参数'!$B$39:$C$48,2,TRUE),"")))</f>
        <v/>
      </c>
      <c r="U96" s="35" t="str">
        <f>IF(A96="","",SUMIFS('成交明细'!$F$5:$F$804,'成交明细'!$A$5:$A$804,A96,'成交明细'!$D$5:$D$804,IF(F96="空","卖","买")))</f>
        <v/>
      </c>
      <c r="V96" s="39" t="str">
        <f>IF(N(U96)&gt;0,SUMIFS('成交明细'!$H$5:$H$804,'成交明细'!$A$5:$A$804,A96,'成交明细'!$D$5:$D$804,IF(F96="空","卖","买"))/U96,"")</f>
        <v/>
      </c>
      <c r="W96" s="35" t="str">
        <f>IF(A96="","",SUMIFS('成交明细'!$F$5:$F$804,'成交明细'!$A$5:$A$804,A96,'成交明细'!$D$5:$D$804,IF(F96="空","买","卖")))</f>
        <v/>
      </c>
      <c r="X96" s="39" t="str">
        <f>IF(N(W96)&gt;0,SUMIFS('成交明细'!$H$5:$H$804,'成交明细'!$A$5:$A$804,A96,'成交明细'!$D$5:$D$804,IF(F96="空","买","卖"))/W96,"")</f>
        <v/>
      </c>
      <c r="Y96" s="40" t="str">
        <f>IF(A96="","",IF(Q96&lt;&gt;"已执行",IF(Q96="","未填执行情况",Q96),IF(N(U96)=0,"待录成交",IF(N(W96)&gt;N(U96),"平仓多于开仓",IF(N(W96)&lt;N(U96),"持仓中","已平仓")))))</f>
        <v/>
      </c>
      <c r="Z96" s="41" t="str">
        <f>IF(N(U96)=0,"",SUMIFS('成交明细'!$L$5:$L$804,'成交明细'!$A$5:$A$804,A96))</f>
        <v/>
      </c>
      <c r="AA96" s="42" t="str">
        <f>IF(Y96&lt;&gt;"已平仓","",(SUMIFS('成交明细'!$H$5:$H$804,'成交明细'!$A$5:$A$804,A96,'成交明细'!$D$5:$D$804,"卖")-SUMIFS('成交明细'!$H$5:$H$804,'成交明细'!$A$5:$A$804,A96,'成交明细'!$D$5:$D$804,"买"))*IF(N(G96)&gt;0,G96,1)-Z96)</f>
        <v/>
      </c>
      <c r="AB96" s="43" t="str">
        <f>IF(AND(Y96="已平仓",ISNUMBER(O96)),(SUMIFS('成交明细'!$H$5:$H$804,'成交明细'!$A$5:$A$804,A96,'成交明细'!$D$5:$D$804,"卖")-SUMIFS('成交明细'!$H$5:$H$804,'成交明细'!$A$5:$A$804,A96,'成交明细'!$D$5:$D$804,"买"))*IF(N(G96)&gt;0,G96,1)/O96,"")</f>
        <v/>
      </c>
      <c r="AC96" s="43" t="str">
        <f>IF(AND(Y96="已平仓",ISNUMBER(O96)),AA96/O96,"")</f>
        <v/>
      </c>
      <c r="AD96" s="44" t="str">
        <f>IF(AND(ISNUMBER(V96),ISNUMBER(I96)),IF(F96="空",I96-V96,V96-I96),"")</f>
        <v/>
      </c>
      <c r="AE96" s="44" t="str">
        <f>IF(OR(NOT(ISNUMBER(AA96)),NOT(ISNUMBER(X96))),"",IF(AA96&lt;0,IF(F96="空",X96-J96,J96-X96),IF(NOT(ISNUMBER(K96)),"",IF(F96="空",X96-K96,K96-X96))))</f>
        <v/>
      </c>
      <c r="AF96" s="32" t="n"/>
      <c r="AG96" s="32" t="n"/>
      <c r="AH96" s="31" t="n"/>
      <c r="AI96" s="43" t="str">
        <f>IF(A96="","",SUM(AC$5:AC96))</f>
        <v/>
      </c>
      <c r="AJ96" s="45" t="str">
        <f>IF(A96="","",MAX(0,MAX(AI$5:AI96))-AI96)</f>
        <v/>
      </c>
    </row>
    <row r="97">
      <c r="A97" s="29" t="n"/>
      <c r="B97" s="30" t="n"/>
      <c r="C97" s="31" t="n"/>
      <c r="D97" s="32" t="n"/>
      <c r="E97" s="32" t="n"/>
      <c r="F97" s="32" t="n"/>
      <c r="G97" s="32" t="n"/>
      <c r="H97" s="32" t="n"/>
      <c r="I97" s="33" t="n"/>
      <c r="J97" s="33" t="n"/>
      <c r="K97" s="33" t="n"/>
      <c r="L97" s="34" t="str">
        <f>IF(AND(ISNUMBER(I97),ISNUMBER(J97),ISNUMBER(K97)),IF(OR(AND(F97="多",I97&gt;J97),AND(F97="空",I97&lt;J97)),ABS(K97-I97)/ABS(I97-J97),"止损方向不对"),"")</f>
        <v/>
      </c>
      <c r="M97" s="35" t="str">
        <f>IF(AND(ISNUMBER(I97),ISNUMBER(J97)),IF(I97=J97,"",IF(INT(ROUND('参数'!$C$7/(ABS(I97-J97)*IF(N(G97)&gt;0,G97,1)+2*(I97*IF(N(G97)&gt;0,G97,1)*'参数'!$C$12+'参数'!$C$13+'参数'!$C$14*IF(N(G97)&gt;0,G97,1)))/IF(N(H97)&gt;0,H97,1),6))*IF(N(H97)&gt;0,H97,1)&gt;0,INT(ROUND('参数'!$C$7/(ABS(I97-J97)*IF(N(G97)&gt;0,G97,1)+2*(I97*IF(N(G97)&gt;0,G97,1)*'参数'!$C$12+'参数'!$C$13+'参数'!$C$14*IF(N(G97)&gt;0,G97,1)))/IF(N(H97)&gt;0,H97,1),6))*IF(N(H97)&gt;0,H97,1),"预算不足，这笔不做")),"")</f>
        <v/>
      </c>
      <c r="N97" s="36" t="n"/>
      <c r="O97" s="20" t="str">
        <f>IF(AND(ISNUMBER(I97),ISNUMBER(J97),ISNUMBER(N97)),IF(AND(I97&lt;&gt;J97,N97&gt;0),ABS(I97-J97)*N97*IF(N(G97)&gt;0,G97,1),""),"")</f>
        <v/>
      </c>
      <c r="P97" s="31" t="n"/>
      <c r="Q97" s="32" t="n"/>
      <c r="R97" s="37" t="str">
        <f>IF(N(U97)&gt;0,SUMPRODUCT(LARGE(('成交明细'!$A$5:$A$804=A97)*('成交明细'!$D$5:$D$804=IF(F97="空","卖","买"))*'成交明细'!$B$5:$B$804,COUNTIFS('成交明细'!$A$5:$A$804,A97,'成交明细'!$D$5:$D$804,IF(F97="空","卖","买")))),"")</f>
        <v/>
      </c>
      <c r="S97" s="37" t="str">
        <f>IF(AND(N(U97)&gt;0,N(W97)&gt;=N(U97)),SUMPRODUCT(MAX(('成交明细'!$A$5:$A$804=A97)*('成交明细'!$D$5:$D$804=IF(F97="空","买","卖"))*'成交明细'!$B$5:$B$804)),"")</f>
        <v/>
      </c>
      <c r="T97" s="38" t="str">
        <f>IF(N(U97)=0,"",IF(SUMPRODUCT(('成交明细'!$A$5:$A$804=A97)*('成交明细'!$D$5:$D$804=IF(F97="空","卖","买"))*ISNUMBER('成交明细'!$C$5:$C$804))=0,"没填时间",IFERROR(VLOOKUP(MOD(SUMPRODUCT(LARGE(('成交明细'!$A$5:$A$804=A97)*('成交明细'!$D$5:$D$804=IF(F97="空","卖","买"))*('成交明细'!$B$5:$B$804+'成交明细'!$C$5:$C$804),COUNTIFS('成交明细'!$A$5:$A$804,A97,'成交明细'!$D$5:$D$804,IF(F97="空","卖","买")))),1),'参数'!$B$39:$C$48,2,TRUE),"")))</f>
        <v/>
      </c>
      <c r="U97" s="35" t="str">
        <f>IF(A97="","",SUMIFS('成交明细'!$F$5:$F$804,'成交明细'!$A$5:$A$804,A97,'成交明细'!$D$5:$D$804,IF(F97="空","卖","买")))</f>
        <v/>
      </c>
      <c r="V97" s="39" t="str">
        <f>IF(N(U97)&gt;0,SUMIFS('成交明细'!$H$5:$H$804,'成交明细'!$A$5:$A$804,A97,'成交明细'!$D$5:$D$804,IF(F97="空","卖","买"))/U97,"")</f>
        <v/>
      </c>
      <c r="W97" s="35" t="str">
        <f>IF(A97="","",SUMIFS('成交明细'!$F$5:$F$804,'成交明细'!$A$5:$A$804,A97,'成交明细'!$D$5:$D$804,IF(F97="空","买","卖")))</f>
        <v/>
      </c>
      <c r="X97" s="39" t="str">
        <f>IF(N(W97)&gt;0,SUMIFS('成交明细'!$H$5:$H$804,'成交明细'!$A$5:$A$804,A97,'成交明细'!$D$5:$D$804,IF(F97="空","买","卖"))/W97,"")</f>
        <v/>
      </c>
      <c r="Y97" s="40" t="str">
        <f>IF(A97="","",IF(Q97&lt;&gt;"已执行",IF(Q97="","未填执行情况",Q97),IF(N(U97)=0,"待录成交",IF(N(W97)&gt;N(U97),"平仓多于开仓",IF(N(W97)&lt;N(U97),"持仓中","已平仓")))))</f>
        <v/>
      </c>
      <c r="Z97" s="41" t="str">
        <f>IF(N(U97)=0,"",SUMIFS('成交明细'!$L$5:$L$804,'成交明细'!$A$5:$A$804,A97))</f>
        <v/>
      </c>
      <c r="AA97" s="42" t="str">
        <f>IF(Y97&lt;&gt;"已平仓","",(SUMIFS('成交明细'!$H$5:$H$804,'成交明细'!$A$5:$A$804,A97,'成交明细'!$D$5:$D$804,"卖")-SUMIFS('成交明细'!$H$5:$H$804,'成交明细'!$A$5:$A$804,A97,'成交明细'!$D$5:$D$804,"买"))*IF(N(G97)&gt;0,G97,1)-Z97)</f>
        <v/>
      </c>
      <c r="AB97" s="43" t="str">
        <f>IF(AND(Y97="已平仓",ISNUMBER(O97)),(SUMIFS('成交明细'!$H$5:$H$804,'成交明细'!$A$5:$A$804,A97,'成交明细'!$D$5:$D$804,"卖")-SUMIFS('成交明细'!$H$5:$H$804,'成交明细'!$A$5:$A$804,A97,'成交明细'!$D$5:$D$804,"买"))*IF(N(G97)&gt;0,G97,1)/O97,"")</f>
        <v/>
      </c>
      <c r="AC97" s="43" t="str">
        <f>IF(AND(Y97="已平仓",ISNUMBER(O97)),AA97/O97,"")</f>
        <v/>
      </c>
      <c r="AD97" s="44" t="str">
        <f>IF(AND(ISNUMBER(V97),ISNUMBER(I97)),IF(F97="空",I97-V97,V97-I97),"")</f>
        <v/>
      </c>
      <c r="AE97" s="44" t="str">
        <f>IF(OR(NOT(ISNUMBER(AA97)),NOT(ISNUMBER(X97))),"",IF(AA97&lt;0,IF(F97="空",X97-J97,J97-X97),IF(NOT(ISNUMBER(K97)),"",IF(F97="空",X97-K97,K97-X97))))</f>
        <v/>
      </c>
      <c r="AF97" s="32" t="n"/>
      <c r="AG97" s="32" t="n"/>
      <c r="AH97" s="31" t="n"/>
      <c r="AI97" s="43" t="str">
        <f>IF(A97="","",SUM(AC$5:AC97))</f>
        <v/>
      </c>
      <c r="AJ97" s="45" t="str">
        <f>IF(A97="","",MAX(0,MAX(AI$5:AI97))-AI97)</f>
        <v/>
      </c>
    </row>
    <row r="98">
      <c r="A98" s="29" t="n"/>
      <c r="B98" s="30" t="n"/>
      <c r="C98" s="31" t="n"/>
      <c r="D98" s="32" t="n"/>
      <c r="E98" s="32" t="n"/>
      <c r="F98" s="32" t="n"/>
      <c r="G98" s="32" t="n"/>
      <c r="H98" s="32" t="n"/>
      <c r="I98" s="33" t="n"/>
      <c r="J98" s="33" t="n"/>
      <c r="K98" s="33" t="n"/>
      <c r="L98" s="34" t="str">
        <f>IF(AND(ISNUMBER(I98),ISNUMBER(J98),ISNUMBER(K98)),IF(OR(AND(F98="多",I98&gt;J98),AND(F98="空",I98&lt;J98)),ABS(K98-I98)/ABS(I98-J98),"止损方向不对"),"")</f>
        <v/>
      </c>
      <c r="M98" s="35" t="str">
        <f>IF(AND(ISNUMBER(I98),ISNUMBER(J98)),IF(I98=J98,"",IF(INT(ROUND('参数'!$C$7/(ABS(I98-J98)*IF(N(G98)&gt;0,G98,1)+2*(I98*IF(N(G98)&gt;0,G98,1)*'参数'!$C$12+'参数'!$C$13+'参数'!$C$14*IF(N(G98)&gt;0,G98,1)))/IF(N(H98)&gt;0,H98,1),6))*IF(N(H98)&gt;0,H98,1)&gt;0,INT(ROUND('参数'!$C$7/(ABS(I98-J98)*IF(N(G98)&gt;0,G98,1)+2*(I98*IF(N(G98)&gt;0,G98,1)*'参数'!$C$12+'参数'!$C$13+'参数'!$C$14*IF(N(G98)&gt;0,G98,1)))/IF(N(H98)&gt;0,H98,1),6))*IF(N(H98)&gt;0,H98,1),"预算不足，这笔不做")),"")</f>
        <v/>
      </c>
      <c r="N98" s="36" t="n"/>
      <c r="O98" s="20" t="str">
        <f>IF(AND(ISNUMBER(I98),ISNUMBER(J98),ISNUMBER(N98)),IF(AND(I98&lt;&gt;J98,N98&gt;0),ABS(I98-J98)*N98*IF(N(G98)&gt;0,G98,1),""),"")</f>
        <v/>
      </c>
      <c r="P98" s="31" t="n"/>
      <c r="Q98" s="32" t="n"/>
      <c r="R98" s="37" t="str">
        <f>IF(N(U98)&gt;0,SUMPRODUCT(LARGE(('成交明细'!$A$5:$A$804=A98)*('成交明细'!$D$5:$D$804=IF(F98="空","卖","买"))*'成交明细'!$B$5:$B$804,COUNTIFS('成交明细'!$A$5:$A$804,A98,'成交明细'!$D$5:$D$804,IF(F98="空","卖","买")))),"")</f>
        <v/>
      </c>
      <c r="S98" s="37" t="str">
        <f>IF(AND(N(U98)&gt;0,N(W98)&gt;=N(U98)),SUMPRODUCT(MAX(('成交明细'!$A$5:$A$804=A98)*('成交明细'!$D$5:$D$804=IF(F98="空","买","卖"))*'成交明细'!$B$5:$B$804)),"")</f>
        <v/>
      </c>
      <c r="T98" s="38" t="str">
        <f>IF(N(U98)=0,"",IF(SUMPRODUCT(('成交明细'!$A$5:$A$804=A98)*('成交明细'!$D$5:$D$804=IF(F98="空","卖","买"))*ISNUMBER('成交明细'!$C$5:$C$804))=0,"没填时间",IFERROR(VLOOKUP(MOD(SUMPRODUCT(LARGE(('成交明细'!$A$5:$A$804=A98)*('成交明细'!$D$5:$D$804=IF(F98="空","卖","买"))*('成交明细'!$B$5:$B$804+'成交明细'!$C$5:$C$804),COUNTIFS('成交明细'!$A$5:$A$804,A98,'成交明细'!$D$5:$D$804,IF(F98="空","卖","买")))),1),'参数'!$B$39:$C$48,2,TRUE),"")))</f>
        <v/>
      </c>
      <c r="U98" s="35" t="str">
        <f>IF(A98="","",SUMIFS('成交明细'!$F$5:$F$804,'成交明细'!$A$5:$A$804,A98,'成交明细'!$D$5:$D$804,IF(F98="空","卖","买")))</f>
        <v/>
      </c>
      <c r="V98" s="39" t="str">
        <f>IF(N(U98)&gt;0,SUMIFS('成交明细'!$H$5:$H$804,'成交明细'!$A$5:$A$804,A98,'成交明细'!$D$5:$D$804,IF(F98="空","卖","买"))/U98,"")</f>
        <v/>
      </c>
      <c r="W98" s="35" t="str">
        <f>IF(A98="","",SUMIFS('成交明细'!$F$5:$F$804,'成交明细'!$A$5:$A$804,A98,'成交明细'!$D$5:$D$804,IF(F98="空","买","卖")))</f>
        <v/>
      </c>
      <c r="X98" s="39" t="str">
        <f>IF(N(W98)&gt;0,SUMIFS('成交明细'!$H$5:$H$804,'成交明细'!$A$5:$A$804,A98,'成交明细'!$D$5:$D$804,IF(F98="空","买","卖"))/W98,"")</f>
        <v/>
      </c>
      <c r="Y98" s="40" t="str">
        <f>IF(A98="","",IF(Q98&lt;&gt;"已执行",IF(Q98="","未填执行情况",Q98),IF(N(U98)=0,"待录成交",IF(N(W98)&gt;N(U98),"平仓多于开仓",IF(N(W98)&lt;N(U98),"持仓中","已平仓")))))</f>
        <v/>
      </c>
      <c r="Z98" s="41" t="str">
        <f>IF(N(U98)=0,"",SUMIFS('成交明细'!$L$5:$L$804,'成交明细'!$A$5:$A$804,A98))</f>
        <v/>
      </c>
      <c r="AA98" s="42" t="str">
        <f>IF(Y98&lt;&gt;"已平仓","",(SUMIFS('成交明细'!$H$5:$H$804,'成交明细'!$A$5:$A$804,A98,'成交明细'!$D$5:$D$804,"卖")-SUMIFS('成交明细'!$H$5:$H$804,'成交明细'!$A$5:$A$804,A98,'成交明细'!$D$5:$D$804,"买"))*IF(N(G98)&gt;0,G98,1)-Z98)</f>
        <v/>
      </c>
      <c r="AB98" s="43" t="str">
        <f>IF(AND(Y98="已平仓",ISNUMBER(O98)),(SUMIFS('成交明细'!$H$5:$H$804,'成交明细'!$A$5:$A$804,A98,'成交明细'!$D$5:$D$804,"卖")-SUMIFS('成交明细'!$H$5:$H$804,'成交明细'!$A$5:$A$804,A98,'成交明细'!$D$5:$D$804,"买"))*IF(N(G98)&gt;0,G98,1)/O98,"")</f>
        <v/>
      </c>
      <c r="AC98" s="43" t="str">
        <f>IF(AND(Y98="已平仓",ISNUMBER(O98)),AA98/O98,"")</f>
        <v/>
      </c>
      <c r="AD98" s="44" t="str">
        <f>IF(AND(ISNUMBER(V98),ISNUMBER(I98)),IF(F98="空",I98-V98,V98-I98),"")</f>
        <v/>
      </c>
      <c r="AE98" s="44" t="str">
        <f>IF(OR(NOT(ISNUMBER(AA98)),NOT(ISNUMBER(X98))),"",IF(AA98&lt;0,IF(F98="空",X98-J98,J98-X98),IF(NOT(ISNUMBER(K98)),"",IF(F98="空",X98-K98,K98-X98))))</f>
        <v/>
      </c>
      <c r="AF98" s="32" t="n"/>
      <c r="AG98" s="32" t="n"/>
      <c r="AH98" s="31" t="n"/>
      <c r="AI98" s="43" t="str">
        <f>IF(A98="","",SUM(AC$5:AC98))</f>
        <v/>
      </c>
      <c r="AJ98" s="45" t="str">
        <f>IF(A98="","",MAX(0,MAX(AI$5:AI98))-AI98)</f>
        <v/>
      </c>
    </row>
    <row r="99">
      <c r="A99" s="29" t="n"/>
      <c r="B99" s="30" t="n"/>
      <c r="C99" s="31" t="n"/>
      <c r="D99" s="32" t="n"/>
      <c r="E99" s="32" t="n"/>
      <c r="F99" s="32" t="n"/>
      <c r="G99" s="32" t="n"/>
      <c r="H99" s="32" t="n"/>
      <c r="I99" s="33" t="n"/>
      <c r="J99" s="33" t="n"/>
      <c r="K99" s="33" t="n"/>
      <c r="L99" s="34" t="str">
        <f>IF(AND(ISNUMBER(I99),ISNUMBER(J99),ISNUMBER(K99)),IF(OR(AND(F99="多",I99&gt;J99),AND(F99="空",I99&lt;J99)),ABS(K99-I99)/ABS(I99-J99),"止损方向不对"),"")</f>
        <v/>
      </c>
      <c r="M99" s="35" t="str">
        <f>IF(AND(ISNUMBER(I99),ISNUMBER(J99)),IF(I99=J99,"",IF(INT(ROUND('参数'!$C$7/(ABS(I99-J99)*IF(N(G99)&gt;0,G99,1)+2*(I99*IF(N(G99)&gt;0,G99,1)*'参数'!$C$12+'参数'!$C$13+'参数'!$C$14*IF(N(G99)&gt;0,G99,1)))/IF(N(H99)&gt;0,H99,1),6))*IF(N(H99)&gt;0,H99,1)&gt;0,INT(ROUND('参数'!$C$7/(ABS(I99-J99)*IF(N(G99)&gt;0,G99,1)+2*(I99*IF(N(G99)&gt;0,G99,1)*'参数'!$C$12+'参数'!$C$13+'参数'!$C$14*IF(N(G99)&gt;0,G99,1)))/IF(N(H99)&gt;0,H99,1),6))*IF(N(H99)&gt;0,H99,1),"预算不足，这笔不做")),"")</f>
        <v/>
      </c>
      <c r="N99" s="36" t="n"/>
      <c r="O99" s="20" t="str">
        <f>IF(AND(ISNUMBER(I99),ISNUMBER(J99),ISNUMBER(N99)),IF(AND(I99&lt;&gt;J99,N99&gt;0),ABS(I99-J99)*N99*IF(N(G99)&gt;0,G99,1),""),"")</f>
        <v/>
      </c>
      <c r="P99" s="31" t="n"/>
      <c r="Q99" s="32" t="n"/>
      <c r="R99" s="37" t="str">
        <f>IF(N(U99)&gt;0,SUMPRODUCT(LARGE(('成交明细'!$A$5:$A$804=A99)*('成交明细'!$D$5:$D$804=IF(F99="空","卖","买"))*'成交明细'!$B$5:$B$804,COUNTIFS('成交明细'!$A$5:$A$804,A99,'成交明细'!$D$5:$D$804,IF(F99="空","卖","买")))),"")</f>
        <v/>
      </c>
      <c r="S99" s="37" t="str">
        <f>IF(AND(N(U99)&gt;0,N(W99)&gt;=N(U99)),SUMPRODUCT(MAX(('成交明细'!$A$5:$A$804=A99)*('成交明细'!$D$5:$D$804=IF(F99="空","买","卖"))*'成交明细'!$B$5:$B$804)),"")</f>
        <v/>
      </c>
      <c r="T99" s="38" t="str">
        <f>IF(N(U99)=0,"",IF(SUMPRODUCT(('成交明细'!$A$5:$A$804=A99)*('成交明细'!$D$5:$D$804=IF(F99="空","卖","买"))*ISNUMBER('成交明细'!$C$5:$C$804))=0,"没填时间",IFERROR(VLOOKUP(MOD(SUMPRODUCT(LARGE(('成交明细'!$A$5:$A$804=A99)*('成交明细'!$D$5:$D$804=IF(F99="空","卖","买"))*('成交明细'!$B$5:$B$804+'成交明细'!$C$5:$C$804),COUNTIFS('成交明细'!$A$5:$A$804,A99,'成交明细'!$D$5:$D$804,IF(F99="空","卖","买")))),1),'参数'!$B$39:$C$48,2,TRUE),"")))</f>
        <v/>
      </c>
      <c r="U99" s="35" t="str">
        <f>IF(A99="","",SUMIFS('成交明细'!$F$5:$F$804,'成交明细'!$A$5:$A$804,A99,'成交明细'!$D$5:$D$804,IF(F99="空","卖","买")))</f>
        <v/>
      </c>
      <c r="V99" s="39" t="str">
        <f>IF(N(U99)&gt;0,SUMIFS('成交明细'!$H$5:$H$804,'成交明细'!$A$5:$A$804,A99,'成交明细'!$D$5:$D$804,IF(F99="空","卖","买"))/U99,"")</f>
        <v/>
      </c>
      <c r="W99" s="35" t="str">
        <f>IF(A99="","",SUMIFS('成交明细'!$F$5:$F$804,'成交明细'!$A$5:$A$804,A99,'成交明细'!$D$5:$D$804,IF(F99="空","买","卖")))</f>
        <v/>
      </c>
      <c r="X99" s="39" t="str">
        <f>IF(N(W99)&gt;0,SUMIFS('成交明细'!$H$5:$H$804,'成交明细'!$A$5:$A$804,A99,'成交明细'!$D$5:$D$804,IF(F99="空","买","卖"))/W99,"")</f>
        <v/>
      </c>
      <c r="Y99" s="40" t="str">
        <f>IF(A99="","",IF(Q99&lt;&gt;"已执行",IF(Q99="","未填执行情况",Q99),IF(N(U99)=0,"待录成交",IF(N(W99)&gt;N(U99),"平仓多于开仓",IF(N(W99)&lt;N(U99),"持仓中","已平仓")))))</f>
        <v/>
      </c>
      <c r="Z99" s="41" t="str">
        <f>IF(N(U99)=0,"",SUMIFS('成交明细'!$L$5:$L$804,'成交明细'!$A$5:$A$804,A99))</f>
        <v/>
      </c>
      <c r="AA99" s="42" t="str">
        <f>IF(Y99&lt;&gt;"已平仓","",(SUMIFS('成交明细'!$H$5:$H$804,'成交明细'!$A$5:$A$804,A99,'成交明细'!$D$5:$D$804,"卖")-SUMIFS('成交明细'!$H$5:$H$804,'成交明细'!$A$5:$A$804,A99,'成交明细'!$D$5:$D$804,"买"))*IF(N(G99)&gt;0,G99,1)-Z99)</f>
        <v/>
      </c>
      <c r="AB99" s="43" t="str">
        <f>IF(AND(Y99="已平仓",ISNUMBER(O99)),(SUMIFS('成交明细'!$H$5:$H$804,'成交明细'!$A$5:$A$804,A99,'成交明细'!$D$5:$D$804,"卖")-SUMIFS('成交明细'!$H$5:$H$804,'成交明细'!$A$5:$A$804,A99,'成交明细'!$D$5:$D$804,"买"))*IF(N(G99)&gt;0,G99,1)/O99,"")</f>
        <v/>
      </c>
      <c r="AC99" s="43" t="str">
        <f>IF(AND(Y99="已平仓",ISNUMBER(O99)),AA99/O99,"")</f>
        <v/>
      </c>
      <c r="AD99" s="44" t="str">
        <f>IF(AND(ISNUMBER(V99),ISNUMBER(I99)),IF(F99="空",I99-V99,V99-I99),"")</f>
        <v/>
      </c>
      <c r="AE99" s="44" t="str">
        <f>IF(OR(NOT(ISNUMBER(AA99)),NOT(ISNUMBER(X99))),"",IF(AA99&lt;0,IF(F99="空",X99-J99,J99-X99),IF(NOT(ISNUMBER(K99)),"",IF(F99="空",X99-K99,K99-X99))))</f>
        <v/>
      </c>
      <c r="AF99" s="32" t="n"/>
      <c r="AG99" s="32" t="n"/>
      <c r="AH99" s="31" t="n"/>
      <c r="AI99" s="43" t="str">
        <f>IF(A99="","",SUM(AC$5:AC99))</f>
        <v/>
      </c>
      <c r="AJ99" s="45" t="str">
        <f>IF(A99="","",MAX(0,MAX(AI$5:AI99))-AI99)</f>
        <v/>
      </c>
    </row>
    <row r="100">
      <c r="A100" s="29" t="n"/>
      <c r="B100" s="30" t="n"/>
      <c r="C100" s="31" t="n"/>
      <c r="D100" s="32" t="n"/>
      <c r="E100" s="32" t="n"/>
      <c r="F100" s="32" t="n"/>
      <c r="G100" s="32" t="n"/>
      <c r="H100" s="32" t="n"/>
      <c r="I100" s="33" t="n"/>
      <c r="J100" s="33" t="n"/>
      <c r="K100" s="33" t="n"/>
      <c r="L100" s="34" t="str">
        <f>IF(AND(ISNUMBER(I100),ISNUMBER(J100),ISNUMBER(K100)),IF(OR(AND(F100="多",I100&gt;J100),AND(F100="空",I100&lt;J100)),ABS(K100-I100)/ABS(I100-J100),"止损方向不对"),"")</f>
        <v/>
      </c>
      <c r="M100" s="35" t="str">
        <f>IF(AND(ISNUMBER(I100),ISNUMBER(J100)),IF(I100=J100,"",IF(INT(ROUND('参数'!$C$7/(ABS(I100-J100)*IF(N(G100)&gt;0,G100,1)+2*(I100*IF(N(G100)&gt;0,G100,1)*'参数'!$C$12+'参数'!$C$13+'参数'!$C$14*IF(N(G100)&gt;0,G100,1)))/IF(N(H100)&gt;0,H100,1),6))*IF(N(H100)&gt;0,H100,1)&gt;0,INT(ROUND('参数'!$C$7/(ABS(I100-J100)*IF(N(G100)&gt;0,G100,1)+2*(I100*IF(N(G100)&gt;0,G100,1)*'参数'!$C$12+'参数'!$C$13+'参数'!$C$14*IF(N(G100)&gt;0,G100,1)))/IF(N(H100)&gt;0,H100,1),6))*IF(N(H100)&gt;0,H100,1),"预算不足，这笔不做")),"")</f>
        <v/>
      </c>
      <c r="N100" s="36" t="n"/>
      <c r="O100" s="20" t="str">
        <f>IF(AND(ISNUMBER(I100),ISNUMBER(J100),ISNUMBER(N100)),IF(AND(I100&lt;&gt;J100,N100&gt;0),ABS(I100-J100)*N100*IF(N(G100)&gt;0,G100,1),""),"")</f>
        <v/>
      </c>
      <c r="P100" s="31" t="n"/>
      <c r="Q100" s="32" t="n"/>
      <c r="R100" s="37" t="str">
        <f>IF(N(U100)&gt;0,SUMPRODUCT(LARGE(('成交明细'!$A$5:$A$804=A100)*('成交明细'!$D$5:$D$804=IF(F100="空","卖","买"))*'成交明细'!$B$5:$B$804,COUNTIFS('成交明细'!$A$5:$A$804,A100,'成交明细'!$D$5:$D$804,IF(F100="空","卖","买")))),"")</f>
        <v/>
      </c>
      <c r="S100" s="37" t="str">
        <f>IF(AND(N(U100)&gt;0,N(W100)&gt;=N(U100)),SUMPRODUCT(MAX(('成交明细'!$A$5:$A$804=A100)*('成交明细'!$D$5:$D$804=IF(F100="空","买","卖"))*'成交明细'!$B$5:$B$804)),"")</f>
        <v/>
      </c>
      <c r="T100" s="38" t="str">
        <f>IF(N(U100)=0,"",IF(SUMPRODUCT(('成交明细'!$A$5:$A$804=A100)*('成交明细'!$D$5:$D$804=IF(F100="空","卖","买"))*ISNUMBER('成交明细'!$C$5:$C$804))=0,"没填时间",IFERROR(VLOOKUP(MOD(SUMPRODUCT(LARGE(('成交明细'!$A$5:$A$804=A100)*('成交明细'!$D$5:$D$804=IF(F100="空","卖","买"))*('成交明细'!$B$5:$B$804+'成交明细'!$C$5:$C$804),COUNTIFS('成交明细'!$A$5:$A$804,A100,'成交明细'!$D$5:$D$804,IF(F100="空","卖","买")))),1),'参数'!$B$39:$C$48,2,TRUE),"")))</f>
        <v/>
      </c>
      <c r="U100" s="35" t="str">
        <f>IF(A100="","",SUMIFS('成交明细'!$F$5:$F$804,'成交明细'!$A$5:$A$804,A100,'成交明细'!$D$5:$D$804,IF(F100="空","卖","买")))</f>
        <v/>
      </c>
      <c r="V100" s="39" t="str">
        <f>IF(N(U100)&gt;0,SUMIFS('成交明细'!$H$5:$H$804,'成交明细'!$A$5:$A$804,A100,'成交明细'!$D$5:$D$804,IF(F100="空","卖","买"))/U100,"")</f>
        <v/>
      </c>
      <c r="W100" s="35" t="str">
        <f>IF(A100="","",SUMIFS('成交明细'!$F$5:$F$804,'成交明细'!$A$5:$A$804,A100,'成交明细'!$D$5:$D$804,IF(F100="空","买","卖")))</f>
        <v/>
      </c>
      <c r="X100" s="39" t="str">
        <f>IF(N(W100)&gt;0,SUMIFS('成交明细'!$H$5:$H$804,'成交明细'!$A$5:$A$804,A100,'成交明细'!$D$5:$D$804,IF(F100="空","买","卖"))/W100,"")</f>
        <v/>
      </c>
      <c r="Y100" s="40" t="str">
        <f>IF(A100="","",IF(Q100&lt;&gt;"已执行",IF(Q100="","未填执行情况",Q100),IF(N(U100)=0,"待录成交",IF(N(W100)&gt;N(U100),"平仓多于开仓",IF(N(W100)&lt;N(U100),"持仓中","已平仓")))))</f>
        <v/>
      </c>
      <c r="Z100" s="41" t="str">
        <f>IF(N(U100)=0,"",SUMIFS('成交明细'!$L$5:$L$804,'成交明细'!$A$5:$A$804,A100))</f>
        <v/>
      </c>
      <c r="AA100" s="42" t="str">
        <f>IF(Y100&lt;&gt;"已平仓","",(SUMIFS('成交明细'!$H$5:$H$804,'成交明细'!$A$5:$A$804,A100,'成交明细'!$D$5:$D$804,"卖")-SUMIFS('成交明细'!$H$5:$H$804,'成交明细'!$A$5:$A$804,A100,'成交明细'!$D$5:$D$804,"买"))*IF(N(G100)&gt;0,G100,1)-Z100)</f>
        <v/>
      </c>
      <c r="AB100" s="43" t="str">
        <f>IF(AND(Y100="已平仓",ISNUMBER(O100)),(SUMIFS('成交明细'!$H$5:$H$804,'成交明细'!$A$5:$A$804,A100,'成交明细'!$D$5:$D$804,"卖")-SUMIFS('成交明细'!$H$5:$H$804,'成交明细'!$A$5:$A$804,A100,'成交明细'!$D$5:$D$804,"买"))*IF(N(G100)&gt;0,G100,1)/O100,"")</f>
        <v/>
      </c>
      <c r="AC100" s="43" t="str">
        <f>IF(AND(Y100="已平仓",ISNUMBER(O100)),AA100/O100,"")</f>
        <v/>
      </c>
      <c r="AD100" s="44" t="str">
        <f>IF(AND(ISNUMBER(V100),ISNUMBER(I100)),IF(F100="空",I100-V100,V100-I100),"")</f>
        <v/>
      </c>
      <c r="AE100" s="44" t="str">
        <f>IF(OR(NOT(ISNUMBER(AA100)),NOT(ISNUMBER(X100))),"",IF(AA100&lt;0,IF(F100="空",X100-J100,J100-X100),IF(NOT(ISNUMBER(K100)),"",IF(F100="空",X100-K100,K100-X100))))</f>
        <v/>
      </c>
      <c r="AF100" s="32" t="n"/>
      <c r="AG100" s="32" t="n"/>
      <c r="AH100" s="31" t="n"/>
      <c r="AI100" s="43" t="str">
        <f>IF(A100="","",SUM(AC$5:AC100))</f>
        <v/>
      </c>
      <c r="AJ100" s="45" t="str">
        <f>IF(A100="","",MAX(0,MAX(AI$5:AI100))-AI100)</f>
        <v/>
      </c>
    </row>
    <row r="101">
      <c r="A101" s="29" t="n"/>
      <c r="B101" s="30" t="n"/>
      <c r="C101" s="31" t="n"/>
      <c r="D101" s="32" t="n"/>
      <c r="E101" s="32" t="n"/>
      <c r="F101" s="32" t="n"/>
      <c r="G101" s="32" t="n"/>
      <c r="H101" s="32" t="n"/>
      <c r="I101" s="33" t="n"/>
      <c r="J101" s="33" t="n"/>
      <c r="K101" s="33" t="n"/>
      <c r="L101" s="34" t="str">
        <f>IF(AND(ISNUMBER(I101),ISNUMBER(J101),ISNUMBER(K101)),IF(OR(AND(F101="多",I101&gt;J101),AND(F101="空",I101&lt;J101)),ABS(K101-I101)/ABS(I101-J101),"止损方向不对"),"")</f>
        <v/>
      </c>
      <c r="M101" s="35" t="str">
        <f>IF(AND(ISNUMBER(I101),ISNUMBER(J101)),IF(I101=J101,"",IF(INT(ROUND('参数'!$C$7/(ABS(I101-J101)*IF(N(G101)&gt;0,G101,1)+2*(I101*IF(N(G101)&gt;0,G101,1)*'参数'!$C$12+'参数'!$C$13+'参数'!$C$14*IF(N(G101)&gt;0,G101,1)))/IF(N(H101)&gt;0,H101,1),6))*IF(N(H101)&gt;0,H101,1)&gt;0,INT(ROUND('参数'!$C$7/(ABS(I101-J101)*IF(N(G101)&gt;0,G101,1)+2*(I101*IF(N(G101)&gt;0,G101,1)*'参数'!$C$12+'参数'!$C$13+'参数'!$C$14*IF(N(G101)&gt;0,G101,1)))/IF(N(H101)&gt;0,H101,1),6))*IF(N(H101)&gt;0,H101,1),"预算不足，这笔不做")),"")</f>
        <v/>
      </c>
      <c r="N101" s="36" t="n"/>
      <c r="O101" s="20" t="str">
        <f>IF(AND(ISNUMBER(I101),ISNUMBER(J101),ISNUMBER(N101)),IF(AND(I101&lt;&gt;J101,N101&gt;0),ABS(I101-J101)*N101*IF(N(G101)&gt;0,G101,1),""),"")</f>
        <v/>
      </c>
      <c r="P101" s="31" t="n"/>
      <c r="Q101" s="32" t="n"/>
      <c r="R101" s="37" t="str">
        <f>IF(N(U101)&gt;0,SUMPRODUCT(LARGE(('成交明细'!$A$5:$A$804=A101)*('成交明细'!$D$5:$D$804=IF(F101="空","卖","买"))*'成交明细'!$B$5:$B$804,COUNTIFS('成交明细'!$A$5:$A$804,A101,'成交明细'!$D$5:$D$804,IF(F101="空","卖","买")))),"")</f>
        <v/>
      </c>
      <c r="S101" s="37" t="str">
        <f>IF(AND(N(U101)&gt;0,N(W101)&gt;=N(U101)),SUMPRODUCT(MAX(('成交明细'!$A$5:$A$804=A101)*('成交明细'!$D$5:$D$804=IF(F101="空","买","卖"))*'成交明细'!$B$5:$B$804)),"")</f>
        <v/>
      </c>
      <c r="T101" s="38" t="str">
        <f>IF(N(U101)=0,"",IF(SUMPRODUCT(('成交明细'!$A$5:$A$804=A101)*('成交明细'!$D$5:$D$804=IF(F101="空","卖","买"))*ISNUMBER('成交明细'!$C$5:$C$804))=0,"没填时间",IFERROR(VLOOKUP(MOD(SUMPRODUCT(LARGE(('成交明细'!$A$5:$A$804=A101)*('成交明细'!$D$5:$D$804=IF(F101="空","卖","买"))*('成交明细'!$B$5:$B$804+'成交明细'!$C$5:$C$804),COUNTIFS('成交明细'!$A$5:$A$804,A101,'成交明细'!$D$5:$D$804,IF(F101="空","卖","买")))),1),'参数'!$B$39:$C$48,2,TRUE),"")))</f>
        <v/>
      </c>
      <c r="U101" s="35" t="str">
        <f>IF(A101="","",SUMIFS('成交明细'!$F$5:$F$804,'成交明细'!$A$5:$A$804,A101,'成交明细'!$D$5:$D$804,IF(F101="空","卖","买")))</f>
        <v/>
      </c>
      <c r="V101" s="39" t="str">
        <f>IF(N(U101)&gt;0,SUMIFS('成交明细'!$H$5:$H$804,'成交明细'!$A$5:$A$804,A101,'成交明细'!$D$5:$D$804,IF(F101="空","卖","买"))/U101,"")</f>
        <v/>
      </c>
      <c r="W101" s="35" t="str">
        <f>IF(A101="","",SUMIFS('成交明细'!$F$5:$F$804,'成交明细'!$A$5:$A$804,A101,'成交明细'!$D$5:$D$804,IF(F101="空","买","卖")))</f>
        <v/>
      </c>
      <c r="X101" s="39" t="str">
        <f>IF(N(W101)&gt;0,SUMIFS('成交明细'!$H$5:$H$804,'成交明细'!$A$5:$A$804,A101,'成交明细'!$D$5:$D$804,IF(F101="空","买","卖"))/W101,"")</f>
        <v/>
      </c>
      <c r="Y101" s="40" t="str">
        <f>IF(A101="","",IF(Q101&lt;&gt;"已执行",IF(Q101="","未填执行情况",Q101),IF(N(U101)=0,"待录成交",IF(N(W101)&gt;N(U101),"平仓多于开仓",IF(N(W101)&lt;N(U101),"持仓中","已平仓")))))</f>
        <v/>
      </c>
      <c r="Z101" s="41" t="str">
        <f>IF(N(U101)=0,"",SUMIFS('成交明细'!$L$5:$L$804,'成交明细'!$A$5:$A$804,A101))</f>
        <v/>
      </c>
      <c r="AA101" s="42" t="str">
        <f>IF(Y101&lt;&gt;"已平仓","",(SUMIFS('成交明细'!$H$5:$H$804,'成交明细'!$A$5:$A$804,A101,'成交明细'!$D$5:$D$804,"卖")-SUMIFS('成交明细'!$H$5:$H$804,'成交明细'!$A$5:$A$804,A101,'成交明细'!$D$5:$D$804,"买"))*IF(N(G101)&gt;0,G101,1)-Z101)</f>
        <v/>
      </c>
      <c r="AB101" s="43" t="str">
        <f>IF(AND(Y101="已平仓",ISNUMBER(O101)),(SUMIFS('成交明细'!$H$5:$H$804,'成交明细'!$A$5:$A$804,A101,'成交明细'!$D$5:$D$804,"卖")-SUMIFS('成交明细'!$H$5:$H$804,'成交明细'!$A$5:$A$804,A101,'成交明细'!$D$5:$D$804,"买"))*IF(N(G101)&gt;0,G101,1)/O101,"")</f>
        <v/>
      </c>
      <c r="AC101" s="43" t="str">
        <f>IF(AND(Y101="已平仓",ISNUMBER(O101)),AA101/O101,"")</f>
        <v/>
      </c>
      <c r="AD101" s="44" t="str">
        <f>IF(AND(ISNUMBER(V101),ISNUMBER(I101)),IF(F101="空",I101-V101,V101-I101),"")</f>
        <v/>
      </c>
      <c r="AE101" s="44" t="str">
        <f>IF(OR(NOT(ISNUMBER(AA101)),NOT(ISNUMBER(X101))),"",IF(AA101&lt;0,IF(F101="空",X101-J101,J101-X101),IF(NOT(ISNUMBER(K101)),"",IF(F101="空",X101-K101,K101-X101))))</f>
        <v/>
      </c>
      <c r="AF101" s="32" t="n"/>
      <c r="AG101" s="32" t="n"/>
      <c r="AH101" s="31" t="n"/>
      <c r="AI101" s="43" t="str">
        <f>IF(A101="","",SUM(AC$5:AC101))</f>
        <v/>
      </c>
      <c r="AJ101" s="45" t="str">
        <f>IF(A101="","",MAX(0,MAX(AI$5:AI101))-AI101)</f>
        <v/>
      </c>
    </row>
    <row r="102">
      <c r="A102" s="29" t="n"/>
      <c r="B102" s="30" t="n"/>
      <c r="C102" s="31" t="n"/>
      <c r="D102" s="32" t="n"/>
      <c r="E102" s="32" t="n"/>
      <c r="F102" s="32" t="n"/>
      <c r="G102" s="32" t="n"/>
      <c r="H102" s="32" t="n"/>
      <c r="I102" s="33" t="n"/>
      <c r="J102" s="33" t="n"/>
      <c r="K102" s="33" t="n"/>
      <c r="L102" s="34" t="str">
        <f>IF(AND(ISNUMBER(I102),ISNUMBER(J102),ISNUMBER(K102)),IF(OR(AND(F102="多",I102&gt;J102),AND(F102="空",I102&lt;J102)),ABS(K102-I102)/ABS(I102-J102),"止损方向不对"),"")</f>
        <v/>
      </c>
      <c r="M102" s="35" t="str">
        <f>IF(AND(ISNUMBER(I102),ISNUMBER(J102)),IF(I102=J102,"",IF(INT(ROUND('参数'!$C$7/(ABS(I102-J102)*IF(N(G102)&gt;0,G102,1)+2*(I102*IF(N(G102)&gt;0,G102,1)*'参数'!$C$12+'参数'!$C$13+'参数'!$C$14*IF(N(G102)&gt;0,G102,1)))/IF(N(H102)&gt;0,H102,1),6))*IF(N(H102)&gt;0,H102,1)&gt;0,INT(ROUND('参数'!$C$7/(ABS(I102-J102)*IF(N(G102)&gt;0,G102,1)+2*(I102*IF(N(G102)&gt;0,G102,1)*'参数'!$C$12+'参数'!$C$13+'参数'!$C$14*IF(N(G102)&gt;0,G102,1)))/IF(N(H102)&gt;0,H102,1),6))*IF(N(H102)&gt;0,H102,1),"预算不足，这笔不做")),"")</f>
        <v/>
      </c>
      <c r="N102" s="36" t="n"/>
      <c r="O102" s="20" t="str">
        <f>IF(AND(ISNUMBER(I102),ISNUMBER(J102),ISNUMBER(N102)),IF(AND(I102&lt;&gt;J102,N102&gt;0),ABS(I102-J102)*N102*IF(N(G102)&gt;0,G102,1),""),"")</f>
        <v/>
      </c>
      <c r="P102" s="31" t="n"/>
      <c r="Q102" s="32" t="n"/>
      <c r="R102" s="37" t="str">
        <f>IF(N(U102)&gt;0,SUMPRODUCT(LARGE(('成交明细'!$A$5:$A$804=A102)*('成交明细'!$D$5:$D$804=IF(F102="空","卖","买"))*'成交明细'!$B$5:$B$804,COUNTIFS('成交明细'!$A$5:$A$804,A102,'成交明细'!$D$5:$D$804,IF(F102="空","卖","买")))),"")</f>
        <v/>
      </c>
      <c r="S102" s="37" t="str">
        <f>IF(AND(N(U102)&gt;0,N(W102)&gt;=N(U102)),SUMPRODUCT(MAX(('成交明细'!$A$5:$A$804=A102)*('成交明细'!$D$5:$D$804=IF(F102="空","买","卖"))*'成交明细'!$B$5:$B$804)),"")</f>
        <v/>
      </c>
      <c r="T102" s="38" t="str">
        <f>IF(N(U102)=0,"",IF(SUMPRODUCT(('成交明细'!$A$5:$A$804=A102)*('成交明细'!$D$5:$D$804=IF(F102="空","卖","买"))*ISNUMBER('成交明细'!$C$5:$C$804))=0,"没填时间",IFERROR(VLOOKUP(MOD(SUMPRODUCT(LARGE(('成交明细'!$A$5:$A$804=A102)*('成交明细'!$D$5:$D$804=IF(F102="空","卖","买"))*('成交明细'!$B$5:$B$804+'成交明细'!$C$5:$C$804),COUNTIFS('成交明细'!$A$5:$A$804,A102,'成交明细'!$D$5:$D$804,IF(F102="空","卖","买")))),1),'参数'!$B$39:$C$48,2,TRUE),"")))</f>
        <v/>
      </c>
      <c r="U102" s="35" t="str">
        <f>IF(A102="","",SUMIFS('成交明细'!$F$5:$F$804,'成交明细'!$A$5:$A$804,A102,'成交明细'!$D$5:$D$804,IF(F102="空","卖","买")))</f>
        <v/>
      </c>
      <c r="V102" s="39" t="str">
        <f>IF(N(U102)&gt;0,SUMIFS('成交明细'!$H$5:$H$804,'成交明细'!$A$5:$A$804,A102,'成交明细'!$D$5:$D$804,IF(F102="空","卖","买"))/U102,"")</f>
        <v/>
      </c>
      <c r="W102" s="35" t="str">
        <f>IF(A102="","",SUMIFS('成交明细'!$F$5:$F$804,'成交明细'!$A$5:$A$804,A102,'成交明细'!$D$5:$D$804,IF(F102="空","买","卖")))</f>
        <v/>
      </c>
      <c r="X102" s="39" t="str">
        <f>IF(N(W102)&gt;0,SUMIFS('成交明细'!$H$5:$H$804,'成交明细'!$A$5:$A$804,A102,'成交明细'!$D$5:$D$804,IF(F102="空","买","卖"))/W102,"")</f>
        <v/>
      </c>
      <c r="Y102" s="40" t="str">
        <f>IF(A102="","",IF(Q102&lt;&gt;"已执行",IF(Q102="","未填执行情况",Q102),IF(N(U102)=0,"待录成交",IF(N(W102)&gt;N(U102),"平仓多于开仓",IF(N(W102)&lt;N(U102),"持仓中","已平仓")))))</f>
        <v/>
      </c>
      <c r="Z102" s="41" t="str">
        <f>IF(N(U102)=0,"",SUMIFS('成交明细'!$L$5:$L$804,'成交明细'!$A$5:$A$804,A102))</f>
        <v/>
      </c>
      <c r="AA102" s="42" t="str">
        <f>IF(Y102&lt;&gt;"已平仓","",(SUMIFS('成交明细'!$H$5:$H$804,'成交明细'!$A$5:$A$804,A102,'成交明细'!$D$5:$D$804,"卖")-SUMIFS('成交明细'!$H$5:$H$804,'成交明细'!$A$5:$A$804,A102,'成交明细'!$D$5:$D$804,"买"))*IF(N(G102)&gt;0,G102,1)-Z102)</f>
        <v/>
      </c>
      <c r="AB102" s="43" t="str">
        <f>IF(AND(Y102="已平仓",ISNUMBER(O102)),(SUMIFS('成交明细'!$H$5:$H$804,'成交明细'!$A$5:$A$804,A102,'成交明细'!$D$5:$D$804,"卖")-SUMIFS('成交明细'!$H$5:$H$804,'成交明细'!$A$5:$A$804,A102,'成交明细'!$D$5:$D$804,"买"))*IF(N(G102)&gt;0,G102,1)/O102,"")</f>
        <v/>
      </c>
      <c r="AC102" s="43" t="str">
        <f>IF(AND(Y102="已平仓",ISNUMBER(O102)),AA102/O102,"")</f>
        <v/>
      </c>
      <c r="AD102" s="44" t="str">
        <f>IF(AND(ISNUMBER(V102),ISNUMBER(I102)),IF(F102="空",I102-V102,V102-I102),"")</f>
        <v/>
      </c>
      <c r="AE102" s="44" t="str">
        <f>IF(OR(NOT(ISNUMBER(AA102)),NOT(ISNUMBER(X102))),"",IF(AA102&lt;0,IF(F102="空",X102-J102,J102-X102),IF(NOT(ISNUMBER(K102)),"",IF(F102="空",X102-K102,K102-X102))))</f>
        <v/>
      </c>
      <c r="AF102" s="32" t="n"/>
      <c r="AG102" s="32" t="n"/>
      <c r="AH102" s="31" t="n"/>
      <c r="AI102" s="43" t="str">
        <f>IF(A102="","",SUM(AC$5:AC102))</f>
        <v/>
      </c>
      <c r="AJ102" s="45" t="str">
        <f>IF(A102="","",MAX(0,MAX(AI$5:AI102))-AI102)</f>
        <v/>
      </c>
    </row>
    <row r="103">
      <c r="A103" s="29" t="n"/>
      <c r="B103" s="30" t="n"/>
      <c r="C103" s="31" t="n"/>
      <c r="D103" s="32" t="n"/>
      <c r="E103" s="32" t="n"/>
      <c r="F103" s="32" t="n"/>
      <c r="G103" s="32" t="n"/>
      <c r="H103" s="32" t="n"/>
      <c r="I103" s="33" t="n"/>
      <c r="J103" s="33" t="n"/>
      <c r="K103" s="33" t="n"/>
      <c r="L103" s="34" t="str">
        <f>IF(AND(ISNUMBER(I103),ISNUMBER(J103),ISNUMBER(K103)),IF(OR(AND(F103="多",I103&gt;J103),AND(F103="空",I103&lt;J103)),ABS(K103-I103)/ABS(I103-J103),"止损方向不对"),"")</f>
        <v/>
      </c>
      <c r="M103" s="35" t="str">
        <f>IF(AND(ISNUMBER(I103),ISNUMBER(J103)),IF(I103=J103,"",IF(INT(ROUND('参数'!$C$7/(ABS(I103-J103)*IF(N(G103)&gt;0,G103,1)+2*(I103*IF(N(G103)&gt;0,G103,1)*'参数'!$C$12+'参数'!$C$13+'参数'!$C$14*IF(N(G103)&gt;0,G103,1)))/IF(N(H103)&gt;0,H103,1),6))*IF(N(H103)&gt;0,H103,1)&gt;0,INT(ROUND('参数'!$C$7/(ABS(I103-J103)*IF(N(G103)&gt;0,G103,1)+2*(I103*IF(N(G103)&gt;0,G103,1)*'参数'!$C$12+'参数'!$C$13+'参数'!$C$14*IF(N(G103)&gt;0,G103,1)))/IF(N(H103)&gt;0,H103,1),6))*IF(N(H103)&gt;0,H103,1),"预算不足，这笔不做")),"")</f>
        <v/>
      </c>
      <c r="N103" s="36" t="n"/>
      <c r="O103" s="20" t="str">
        <f>IF(AND(ISNUMBER(I103),ISNUMBER(J103),ISNUMBER(N103)),IF(AND(I103&lt;&gt;J103,N103&gt;0),ABS(I103-J103)*N103*IF(N(G103)&gt;0,G103,1),""),"")</f>
        <v/>
      </c>
      <c r="P103" s="31" t="n"/>
      <c r="Q103" s="32" t="n"/>
      <c r="R103" s="37" t="str">
        <f>IF(N(U103)&gt;0,SUMPRODUCT(LARGE(('成交明细'!$A$5:$A$804=A103)*('成交明细'!$D$5:$D$804=IF(F103="空","卖","买"))*'成交明细'!$B$5:$B$804,COUNTIFS('成交明细'!$A$5:$A$804,A103,'成交明细'!$D$5:$D$804,IF(F103="空","卖","买")))),"")</f>
        <v/>
      </c>
      <c r="S103" s="37" t="str">
        <f>IF(AND(N(U103)&gt;0,N(W103)&gt;=N(U103)),SUMPRODUCT(MAX(('成交明细'!$A$5:$A$804=A103)*('成交明细'!$D$5:$D$804=IF(F103="空","买","卖"))*'成交明细'!$B$5:$B$804)),"")</f>
        <v/>
      </c>
      <c r="T103" s="38" t="str">
        <f>IF(N(U103)=0,"",IF(SUMPRODUCT(('成交明细'!$A$5:$A$804=A103)*('成交明细'!$D$5:$D$804=IF(F103="空","卖","买"))*ISNUMBER('成交明细'!$C$5:$C$804))=0,"没填时间",IFERROR(VLOOKUP(MOD(SUMPRODUCT(LARGE(('成交明细'!$A$5:$A$804=A103)*('成交明细'!$D$5:$D$804=IF(F103="空","卖","买"))*('成交明细'!$B$5:$B$804+'成交明细'!$C$5:$C$804),COUNTIFS('成交明细'!$A$5:$A$804,A103,'成交明细'!$D$5:$D$804,IF(F103="空","卖","买")))),1),'参数'!$B$39:$C$48,2,TRUE),"")))</f>
        <v/>
      </c>
      <c r="U103" s="35" t="str">
        <f>IF(A103="","",SUMIFS('成交明细'!$F$5:$F$804,'成交明细'!$A$5:$A$804,A103,'成交明细'!$D$5:$D$804,IF(F103="空","卖","买")))</f>
        <v/>
      </c>
      <c r="V103" s="39" t="str">
        <f>IF(N(U103)&gt;0,SUMIFS('成交明细'!$H$5:$H$804,'成交明细'!$A$5:$A$804,A103,'成交明细'!$D$5:$D$804,IF(F103="空","卖","买"))/U103,"")</f>
        <v/>
      </c>
      <c r="W103" s="35" t="str">
        <f>IF(A103="","",SUMIFS('成交明细'!$F$5:$F$804,'成交明细'!$A$5:$A$804,A103,'成交明细'!$D$5:$D$804,IF(F103="空","买","卖")))</f>
        <v/>
      </c>
      <c r="X103" s="39" t="str">
        <f>IF(N(W103)&gt;0,SUMIFS('成交明细'!$H$5:$H$804,'成交明细'!$A$5:$A$804,A103,'成交明细'!$D$5:$D$804,IF(F103="空","买","卖"))/W103,"")</f>
        <v/>
      </c>
      <c r="Y103" s="40" t="str">
        <f>IF(A103="","",IF(Q103&lt;&gt;"已执行",IF(Q103="","未填执行情况",Q103),IF(N(U103)=0,"待录成交",IF(N(W103)&gt;N(U103),"平仓多于开仓",IF(N(W103)&lt;N(U103),"持仓中","已平仓")))))</f>
        <v/>
      </c>
      <c r="Z103" s="41" t="str">
        <f>IF(N(U103)=0,"",SUMIFS('成交明细'!$L$5:$L$804,'成交明细'!$A$5:$A$804,A103))</f>
        <v/>
      </c>
      <c r="AA103" s="42" t="str">
        <f>IF(Y103&lt;&gt;"已平仓","",(SUMIFS('成交明细'!$H$5:$H$804,'成交明细'!$A$5:$A$804,A103,'成交明细'!$D$5:$D$804,"卖")-SUMIFS('成交明细'!$H$5:$H$804,'成交明细'!$A$5:$A$804,A103,'成交明细'!$D$5:$D$804,"买"))*IF(N(G103)&gt;0,G103,1)-Z103)</f>
        <v/>
      </c>
      <c r="AB103" s="43" t="str">
        <f>IF(AND(Y103="已平仓",ISNUMBER(O103)),(SUMIFS('成交明细'!$H$5:$H$804,'成交明细'!$A$5:$A$804,A103,'成交明细'!$D$5:$D$804,"卖")-SUMIFS('成交明细'!$H$5:$H$804,'成交明细'!$A$5:$A$804,A103,'成交明细'!$D$5:$D$804,"买"))*IF(N(G103)&gt;0,G103,1)/O103,"")</f>
        <v/>
      </c>
      <c r="AC103" s="43" t="str">
        <f>IF(AND(Y103="已平仓",ISNUMBER(O103)),AA103/O103,"")</f>
        <v/>
      </c>
      <c r="AD103" s="44" t="str">
        <f>IF(AND(ISNUMBER(V103),ISNUMBER(I103)),IF(F103="空",I103-V103,V103-I103),"")</f>
        <v/>
      </c>
      <c r="AE103" s="44" t="str">
        <f>IF(OR(NOT(ISNUMBER(AA103)),NOT(ISNUMBER(X103))),"",IF(AA103&lt;0,IF(F103="空",X103-J103,J103-X103),IF(NOT(ISNUMBER(K103)),"",IF(F103="空",X103-K103,K103-X103))))</f>
        <v/>
      </c>
      <c r="AF103" s="32" t="n"/>
      <c r="AG103" s="32" t="n"/>
      <c r="AH103" s="31" t="n"/>
      <c r="AI103" s="43" t="str">
        <f>IF(A103="","",SUM(AC$5:AC103))</f>
        <v/>
      </c>
      <c r="AJ103" s="45" t="str">
        <f>IF(A103="","",MAX(0,MAX(AI$5:AI103))-AI103)</f>
        <v/>
      </c>
    </row>
    <row r="104">
      <c r="A104" s="29" t="n"/>
      <c r="B104" s="30" t="n"/>
      <c r="C104" s="31" t="n"/>
      <c r="D104" s="32" t="n"/>
      <c r="E104" s="32" t="n"/>
      <c r="F104" s="32" t="n"/>
      <c r="G104" s="32" t="n"/>
      <c r="H104" s="32" t="n"/>
      <c r="I104" s="33" t="n"/>
      <c r="J104" s="33" t="n"/>
      <c r="K104" s="33" t="n"/>
      <c r="L104" s="34" t="str">
        <f>IF(AND(ISNUMBER(I104),ISNUMBER(J104),ISNUMBER(K104)),IF(OR(AND(F104="多",I104&gt;J104),AND(F104="空",I104&lt;J104)),ABS(K104-I104)/ABS(I104-J104),"止损方向不对"),"")</f>
        <v/>
      </c>
      <c r="M104" s="35" t="str">
        <f>IF(AND(ISNUMBER(I104),ISNUMBER(J104)),IF(I104=J104,"",IF(INT(ROUND('参数'!$C$7/(ABS(I104-J104)*IF(N(G104)&gt;0,G104,1)+2*(I104*IF(N(G104)&gt;0,G104,1)*'参数'!$C$12+'参数'!$C$13+'参数'!$C$14*IF(N(G104)&gt;0,G104,1)))/IF(N(H104)&gt;0,H104,1),6))*IF(N(H104)&gt;0,H104,1)&gt;0,INT(ROUND('参数'!$C$7/(ABS(I104-J104)*IF(N(G104)&gt;0,G104,1)+2*(I104*IF(N(G104)&gt;0,G104,1)*'参数'!$C$12+'参数'!$C$13+'参数'!$C$14*IF(N(G104)&gt;0,G104,1)))/IF(N(H104)&gt;0,H104,1),6))*IF(N(H104)&gt;0,H104,1),"预算不足，这笔不做")),"")</f>
        <v/>
      </c>
      <c r="N104" s="36" t="n"/>
      <c r="O104" s="20" t="str">
        <f>IF(AND(ISNUMBER(I104),ISNUMBER(J104),ISNUMBER(N104)),IF(AND(I104&lt;&gt;J104,N104&gt;0),ABS(I104-J104)*N104*IF(N(G104)&gt;0,G104,1),""),"")</f>
        <v/>
      </c>
      <c r="P104" s="31" t="n"/>
      <c r="Q104" s="32" t="n"/>
      <c r="R104" s="37" t="str">
        <f>IF(N(U104)&gt;0,SUMPRODUCT(LARGE(('成交明细'!$A$5:$A$804=A104)*('成交明细'!$D$5:$D$804=IF(F104="空","卖","买"))*'成交明细'!$B$5:$B$804,COUNTIFS('成交明细'!$A$5:$A$804,A104,'成交明细'!$D$5:$D$804,IF(F104="空","卖","买")))),"")</f>
        <v/>
      </c>
      <c r="S104" s="37" t="str">
        <f>IF(AND(N(U104)&gt;0,N(W104)&gt;=N(U104)),SUMPRODUCT(MAX(('成交明细'!$A$5:$A$804=A104)*('成交明细'!$D$5:$D$804=IF(F104="空","买","卖"))*'成交明细'!$B$5:$B$804)),"")</f>
        <v/>
      </c>
      <c r="T104" s="38" t="str">
        <f>IF(N(U104)=0,"",IF(SUMPRODUCT(('成交明细'!$A$5:$A$804=A104)*('成交明细'!$D$5:$D$804=IF(F104="空","卖","买"))*ISNUMBER('成交明细'!$C$5:$C$804))=0,"没填时间",IFERROR(VLOOKUP(MOD(SUMPRODUCT(LARGE(('成交明细'!$A$5:$A$804=A104)*('成交明细'!$D$5:$D$804=IF(F104="空","卖","买"))*('成交明细'!$B$5:$B$804+'成交明细'!$C$5:$C$804),COUNTIFS('成交明细'!$A$5:$A$804,A104,'成交明细'!$D$5:$D$804,IF(F104="空","卖","买")))),1),'参数'!$B$39:$C$48,2,TRUE),"")))</f>
        <v/>
      </c>
      <c r="U104" s="35" t="str">
        <f>IF(A104="","",SUMIFS('成交明细'!$F$5:$F$804,'成交明细'!$A$5:$A$804,A104,'成交明细'!$D$5:$D$804,IF(F104="空","卖","买")))</f>
        <v/>
      </c>
      <c r="V104" s="39" t="str">
        <f>IF(N(U104)&gt;0,SUMIFS('成交明细'!$H$5:$H$804,'成交明细'!$A$5:$A$804,A104,'成交明细'!$D$5:$D$804,IF(F104="空","卖","买"))/U104,"")</f>
        <v/>
      </c>
      <c r="W104" s="35" t="str">
        <f>IF(A104="","",SUMIFS('成交明细'!$F$5:$F$804,'成交明细'!$A$5:$A$804,A104,'成交明细'!$D$5:$D$804,IF(F104="空","买","卖")))</f>
        <v/>
      </c>
      <c r="X104" s="39" t="str">
        <f>IF(N(W104)&gt;0,SUMIFS('成交明细'!$H$5:$H$804,'成交明细'!$A$5:$A$804,A104,'成交明细'!$D$5:$D$804,IF(F104="空","买","卖"))/W104,"")</f>
        <v/>
      </c>
      <c r="Y104" s="40" t="str">
        <f>IF(A104="","",IF(Q104&lt;&gt;"已执行",IF(Q104="","未填执行情况",Q104),IF(N(U104)=0,"待录成交",IF(N(W104)&gt;N(U104),"平仓多于开仓",IF(N(W104)&lt;N(U104),"持仓中","已平仓")))))</f>
        <v/>
      </c>
      <c r="Z104" s="41" t="str">
        <f>IF(N(U104)=0,"",SUMIFS('成交明细'!$L$5:$L$804,'成交明细'!$A$5:$A$804,A104))</f>
        <v/>
      </c>
      <c r="AA104" s="42" t="str">
        <f>IF(Y104&lt;&gt;"已平仓","",(SUMIFS('成交明细'!$H$5:$H$804,'成交明细'!$A$5:$A$804,A104,'成交明细'!$D$5:$D$804,"卖")-SUMIFS('成交明细'!$H$5:$H$804,'成交明细'!$A$5:$A$804,A104,'成交明细'!$D$5:$D$804,"买"))*IF(N(G104)&gt;0,G104,1)-Z104)</f>
        <v/>
      </c>
      <c r="AB104" s="43" t="str">
        <f>IF(AND(Y104="已平仓",ISNUMBER(O104)),(SUMIFS('成交明细'!$H$5:$H$804,'成交明细'!$A$5:$A$804,A104,'成交明细'!$D$5:$D$804,"卖")-SUMIFS('成交明细'!$H$5:$H$804,'成交明细'!$A$5:$A$804,A104,'成交明细'!$D$5:$D$804,"买"))*IF(N(G104)&gt;0,G104,1)/O104,"")</f>
        <v/>
      </c>
      <c r="AC104" s="43" t="str">
        <f>IF(AND(Y104="已平仓",ISNUMBER(O104)),AA104/O104,"")</f>
        <v/>
      </c>
      <c r="AD104" s="44" t="str">
        <f>IF(AND(ISNUMBER(V104),ISNUMBER(I104)),IF(F104="空",I104-V104,V104-I104),"")</f>
        <v/>
      </c>
      <c r="AE104" s="44" t="str">
        <f>IF(OR(NOT(ISNUMBER(AA104)),NOT(ISNUMBER(X104))),"",IF(AA104&lt;0,IF(F104="空",X104-J104,J104-X104),IF(NOT(ISNUMBER(K104)),"",IF(F104="空",X104-K104,K104-X104))))</f>
        <v/>
      </c>
      <c r="AF104" s="32" t="n"/>
      <c r="AG104" s="32" t="n"/>
      <c r="AH104" s="31" t="n"/>
      <c r="AI104" s="43" t="str">
        <f>IF(A104="","",SUM(AC$5:AC104))</f>
        <v/>
      </c>
      <c r="AJ104" s="45" t="str">
        <f>IF(A104="","",MAX(0,MAX(AI$5:AI104))-AI104)</f>
        <v/>
      </c>
    </row>
    <row r="105">
      <c r="A105" s="29" t="n"/>
      <c r="B105" s="30" t="n"/>
      <c r="C105" s="31" t="n"/>
      <c r="D105" s="32" t="n"/>
      <c r="E105" s="32" t="n"/>
      <c r="F105" s="32" t="n"/>
      <c r="G105" s="32" t="n"/>
      <c r="H105" s="32" t="n"/>
      <c r="I105" s="33" t="n"/>
      <c r="J105" s="33" t="n"/>
      <c r="K105" s="33" t="n"/>
      <c r="L105" s="34" t="str">
        <f>IF(AND(ISNUMBER(I105),ISNUMBER(J105),ISNUMBER(K105)),IF(OR(AND(F105="多",I105&gt;J105),AND(F105="空",I105&lt;J105)),ABS(K105-I105)/ABS(I105-J105),"止损方向不对"),"")</f>
        <v/>
      </c>
      <c r="M105" s="35" t="str">
        <f>IF(AND(ISNUMBER(I105),ISNUMBER(J105)),IF(I105=J105,"",IF(INT(ROUND('参数'!$C$7/(ABS(I105-J105)*IF(N(G105)&gt;0,G105,1)+2*(I105*IF(N(G105)&gt;0,G105,1)*'参数'!$C$12+'参数'!$C$13+'参数'!$C$14*IF(N(G105)&gt;0,G105,1)))/IF(N(H105)&gt;0,H105,1),6))*IF(N(H105)&gt;0,H105,1)&gt;0,INT(ROUND('参数'!$C$7/(ABS(I105-J105)*IF(N(G105)&gt;0,G105,1)+2*(I105*IF(N(G105)&gt;0,G105,1)*'参数'!$C$12+'参数'!$C$13+'参数'!$C$14*IF(N(G105)&gt;0,G105,1)))/IF(N(H105)&gt;0,H105,1),6))*IF(N(H105)&gt;0,H105,1),"预算不足，这笔不做")),"")</f>
        <v/>
      </c>
      <c r="N105" s="36" t="n"/>
      <c r="O105" s="20" t="str">
        <f>IF(AND(ISNUMBER(I105),ISNUMBER(J105),ISNUMBER(N105)),IF(AND(I105&lt;&gt;J105,N105&gt;0),ABS(I105-J105)*N105*IF(N(G105)&gt;0,G105,1),""),"")</f>
        <v/>
      </c>
      <c r="P105" s="31" t="n"/>
      <c r="Q105" s="32" t="n"/>
      <c r="R105" s="37" t="str">
        <f>IF(N(U105)&gt;0,SUMPRODUCT(LARGE(('成交明细'!$A$5:$A$804=A105)*('成交明细'!$D$5:$D$804=IF(F105="空","卖","买"))*'成交明细'!$B$5:$B$804,COUNTIFS('成交明细'!$A$5:$A$804,A105,'成交明细'!$D$5:$D$804,IF(F105="空","卖","买")))),"")</f>
        <v/>
      </c>
      <c r="S105" s="37" t="str">
        <f>IF(AND(N(U105)&gt;0,N(W105)&gt;=N(U105)),SUMPRODUCT(MAX(('成交明细'!$A$5:$A$804=A105)*('成交明细'!$D$5:$D$804=IF(F105="空","买","卖"))*'成交明细'!$B$5:$B$804)),"")</f>
        <v/>
      </c>
      <c r="T105" s="38" t="str">
        <f>IF(N(U105)=0,"",IF(SUMPRODUCT(('成交明细'!$A$5:$A$804=A105)*('成交明细'!$D$5:$D$804=IF(F105="空","卖","买"))*ISNUMBER('成交明细'!$C$5:$C$804))=0,"没填时间",IFERROR(VLOOKUP(MOD(SUMPRODUCT(LARGE(('成交明细'!$A$5:$A$804=A105)*('成交明细'!$D$5:$D$804=IF(F105="空","卖","买"))*('成交明细'!$B$5:$B$804+'成交明细'!$C$5:$C$804),COUNTIFS('成交明细'!$A$5:$A$804,A105,'成交明细'!$D$5:$D$804,IF(F105="空","卖","买")))),1),'参数'!$B$39:$C$48,2,TRUE),"")))</f>
        <v/>
      </c>
      <c r="U105" s="35" t="str">
        <f>IF(A105="","",SUMIFS('成交明细'!$F$5:$F$804,'成交明细'!$A$5:$A$804,A105,'成交明细'!$D$5:$D$804,IF(F105="空","卖","买")))</f>
        <v/>
      </c>
      <c r="V105" s="39" t="str">
        <f>IF(N(U105)&gt;0,SUMIFS('成交明细'!$H$5:$H$804,'成交明细'!$A$5:$A$804,A105,'成交明细'!$D$5:$D$804,IF(F105="空","卖","买"))/U105,"")</f>
        <v/>
      </c>
      <c r="W105" s="35" t="str">
        <f>IF(A105="","",SUMIFS('成交明细'!$F$5:$F$804,'成交明细'!$A$5:$A$804,A105,'成交明细'!$D$5:$D$804,IF(F105="空","买","卖")))</f>
        <v/>
      </c>
      <c r="X105" s="39" t="str">
        <f>IF(N(W105)&gt;0,SUMIFS('成交明细'!$H$5:$H$804,'成交明细'!$A$5:$A$804,A105,'成交明细'!$D$5:$D$804,IF(F105="空","买","卖"))/W105,"")</f>
        <v/>
      </c>
      <c r="Y105" s="40" t="str">
        <f>IF(A105="","",IF(Q105&lt;&gt;"已执行",IF(Q105="","未填执行情况",Q105),IF(N(U105)=0,"待录成交",IF(N(W105)&gt;N(U105),"平仓多于开仓",IF(N(W105)&lt;N(U105),"持仓中","已平仓")))))</f>
        <v/>
      </c>
      <c r="Z105" s="41" t="str">
        <f>IF(N(U105)=0,"",SUMIFS('成交明细'!$L$5:$L$804,'成交明细'!$A$5:$A$804,A105))</f>
        <v/>
      </c>
      <c r="AA105" s="42" t="str">
        <f>IF(Y105&lt;&gt;"已平仓","",(SUMIFS('成交明细'!$H$5:$H$804,'成交明细'!$A$5:$A$804,A105,'成交明细'!$D$5:$D$804,"卖")-SUMIFS('成交明细'!$H$5:$H$804,'成交明细'!$A$5:$A$804,A105,'成交明细'!$D$5:$D$804,"买"))*IF(N(G105)&gt;0,G105,1)-Z105)</f>
        <v/>
      </c>
      <c r="AB105" s="43" t="str">
        <f>IF(AND(Y105="已平仓",ISNUMBER(O105)),(SUMIFS('成交明细'!$H$5:$H$804,'成交明细'!$A$5:$A$804,A105,'成交明细'!$D$5:$D$804,"卖")-SUMIFS('成交明细'!$H$5:$H$804,'成交明细'!$A$5:$A$804,A105,'成交明细'!$D$5:$D$804,"买"))*IF(N(G105)&gt;0,G105,1)/O105,"")</f>
        <v/>
      </c>
      <c r="AC105" s="43" t="str">
        <f>IF(AND(Y105="已平仓",ISNUMBER(O105)),AA105/O105,"")</f>
        <v/>
      </c>
      <c r="AD105" s="44" t="str">
        <f>IF(AND(ISNUMBER(V105),ISNUMBER(I105)),IF(F105="空",I105-V105,V105-I105),"")</f>
        <v/>
      </c>
      <c r="AE105" s="44" t="str">
        <f>IF(OR(NOT(ISNUMBER(AA105)),NOT(ISNUMBER(X105))),"",IF(AA105&lt;0,IF(F105="空",X105-J105,J105-X105),IF(NOT(ISNUMBER(K105)),"",IF(F105="空",X105-K105,K105-X105))))</f>
        <v/>
      </c>
      <c r="AF105" s="32" t="n"/>
      <c r="AG105" s="32" t="n"/>
      <c r="AH105" s="31" t="n"/>
      <c r="AI105" s="43" t="str">
        <f>IF(A105="","",SUM(AC$5:AC105))</f>
        <v/>
      </c>
      <c r="AJ105" s="45" t="str">
        <f>IF(A105="","",MAX(0,MAX(AI$5:AI105))-AI105)</f>
        <v/>
      </c>
    </row>
    <row r="106">
      <c r="A106" s="29" t="n"/>
      <c r="B106" s="30" t="n"/>
      <c r="C106" s="31" t="n"/>
      <c r="D106" s="32" t="n"/>
      <c r="E106" s="32" t="n"/>
      <c r="F106" s="32" t="n"/>
      <c r="G106" s="32" t="n"/>
      <c r="H106" s="32" t="n"/>
      <c r="I106" s="33" t="n"/>
      <c r="J106" s="33" t="n"/>
      <c r="K106" s="33" t="n"/>
      <c r="L106" s="34" t="str">
        <f>IF(AND(ISNUMBER(I106),ISNUMBER(J106),ISNUMBER(K106)),IF(OR(AND(F106="多",I106&gt;J106),AND(F106="空",I106&lt;J106)),ABS(K106-I106)/ABS(I106-J106),"止损方向不对"),"")</f>
        <v/>
      </c>
      <c r="M106" s="35" t="str">
        <f>IF(AND(ISNUMBER(I106),ISNUMBER(J106)),IF(I106=J106,"",IF(INT(ROUND('参数'!$C$7/(ABS(I106-J106)*IF(N(G106)&gt;0,G106,1)+2*(I106*IF(N(G106)&gt;0,G106,1)*'参数'!$C$12+'参数'!$C$13+'参数'!$C$14*IF(N(G106)&gt;0,G106,1)))/IF(N(H106)&gt;0,H106,1),6))*IF(N(H106)&gt;0,H106,1)&gt;0,INT(ROUND('参数'!$C$7/(ABS(I106-J106)*IF(N(G106)&gt;0,G106,1)+2*(I106*IF(N(G106)&gt;0,G106,1)*'参数'!$C$12+'参数'!$C$13+'参数'!$C$14*IF(N(G106)&gt;0,G106,1)))/IF(N(H106)&gt;0,H106,1),6))*IF(N(H106)&gt;0,H106,1),"预算不足，这笔不做")),"")</f>
        <v/>
      </c>
      <c r="N106" s="36" t="n"/>
      <c r="O106" s="20" t="str">
        <f>IF(AND(ISNUMBER(I106),ISNUMBER(J106),ISNUMBER(N106)),IF(AND(I106&lt;&gt;J106,N106&gt;0),ABS(I106-J106)*N106*IF(N(G106)&gt;0,G106,1),""),"")</f>
        <v/>
      </c>
      <c r="P106" s="31" t="n"/>
      <c r="Q106" s="32" t="n"/>
      <c r="R106" s="37" t="str">
        <f>IF(N(U106)&gt;0,SUMPRODUCT(LARGE(('成交明细'!$A$5:$A$804=A106)*('成交明细'!$D$5:$D$804=IF(F106="空","卖","买"))*'成交明细'!$B$5:$B$804,COUNTIFS('成交明细'!$A$5:$A$804,A106,'成交明细'!$D$5:$D$804,IF(F106="空","卖","买")))),"")</f>
        <v/>
      </c>
      <c r="S106" s="37" t="str">
        <f>IF(AND(N(U106)&gt;0,N(W106)&gt;=N(U106)),SUMPRODUCT(MAX(('成交明细'!$A$5:$A$804=A106)*('成交明细'!$D$5:$D$804=IF(F106="空","买","卖"))*'成交明细'!$B$5:$B$804)),"")</f>
        <v/>
      </c>
      <c r="T106" s="38" t="str">
        <f>IF(N(U106)=0,"",IF(SUMPRODUCT(('成交明细'!$A$5:$A$804=A106)*('成交明细'!$D$5:$D$804=IF(F106="空","卖","买"))*ISNUMBER('成交明细'!$C$5:$C$804))=0,"没填时间",IFERROR(VLOOKUP(MOD(SUMPRODUCT(LARGE(('成交明细'!$A$5:$A$804=A106)*('成交明细'!$D$5:$D$804=IF(F106="空","卖","买"))*('成交明细'!$B$5:$B$804+'成交明细'!$C$5:$C$804),COUNTIFS('成交明细'!$A$5:$A$804,A106,'成交明细'!$D$5:$D$804,IF(F106="空","卖","买")))),1),'参数'!$B$39:$C$48,2,TRUE),"")))</f>
        <v/>
      </c>
      <c r="U106" s="35" t="str">
        <f>IF(A106="","",SUMIFS('成交明细'!$F$5:$F$804,'成交明细'!$A$5:$A$804,A106,'成交明细'!$D$5:$D$804,IF(F106="空","卖","买")))</f>
        <v/>
      </c>
      <c r="V106" s="39" t="str">
        <f>IF(N(U106)&gt;0,SUMIFS('成交明细'!$H$5:$H$804,'成交明细'!$A$5:$A$804,A106,'成交明细'!$D$5:$D$804,IF(F106="空","卖","买"))/U106,"")</f>
        <v/>
      </c>
      <c r="W106" s="35" t="str">
        <f>IF(A106="","",SUMIFS('成交明细'!$F$5:$F$804,'成交明细'!$A$5:$A$804,A106,'成交明细'!$D$5:$D$804,IF(F106="空","买","卖")))</f>
        <v/>
      </c>
      <c r="X106" s="39" t="str">
        <f>IF(N(W106)&gt;0,SUMIFS('成交明细'!$H$5:$H$804,'成交明细'!$A$5:$A$804,A106,'成交明细'!$D$5:$D$804,IF(F106="空","买","卖"))/W106,"")</f>
        <v/>
      </c>
      <c r="Y106" s="40" t="str">
        <f>IF(A106="","",IF(Q106&lt;&gt;"已执行",IF(Q106="","未填执行情况",Q106),IF(N(U106)=0,"待录成交",IF(N(W106)&gt;N(U106),"平仓多于开仓",IF(N(W106)&lt;N(U106),"持仓中","已平仓")))))</f>
        <v/>
      </c>
      <c r="Z106" s="41" t="str">
        <f>IF(N(U106)=0,"",SUMIFS('成交明细'!$L$5:$L$804,'成交明细'!$A$5:$A$804,A106))</f>
        <v/>
      </c>
      <c r="AA106" s="42" t="str">
        <f>IF(Y106&lt;&gt;"已平仓","",(SUMIFS('成交明细'!$H$5:$H$804,'成交明细'!$A$5:$A$804,A106,'成交明细'!$D$5:$D$804,"卖")-SUMIFS('成交明细'!$H$5:$H$804,'成交明细'!$A$5:$A$804,A106,'成交明细'!$D$5:$D$804,"买"))*IF(N(G106)&gt;0,G106,1)-Z106)</f>
        <v/>
      </c>
      <c r="AB106" s="43" t="str">
        <f>IF(AND(Y106="已平仓",ISNUMBER(O106)),(SUMIFS('成交明细'!$H$5:$H$804,'成交明细'!$A$5:$A$804,A106,'成交明细'!$D$5:$D$804,"卖")-SUMIFS('成交明细'!$H$5:$H$804,'成交明细'!$A$5:$A$804,A106,'成交明细'!$D$5:$D$804,"买"))*IF(N(G106)&gt;0,G106,1)/O106,"")</f>
        <v/>
      </c>
      <c r="AC106" s="43" t="str">
        <f>IF(AND(Y106="已平仓",ISNUMBER(O106)),AA106/O106,"")</f>
        <v/>
      </c>
      <c r="AD106" s="44" t="str">
        <f>IF(AND(ISNUMBER(V106),ISNUMBER(I106)),IF(F106="空",I106-V106,V106-I106),"")</f>
        <v/>
      </c>
      <c r="AE106" s="44" t="str">
        <f>IF(OR(NOT(ISNUMBER(AA106)),NOT(ISNUMBER(X106))),"",IF(AA106&lt;0,IF(F106="空",X106-J106,J106-X106),IF(NOT(ISNUMBER(K106)),"",IF(F106="空",X106-K106,K106-X106))))</f>
        <v/>
      </c>
      <c r="AF106" s="32" t="n"/>
      <c r="AG106" s="32" t="n"/>
      <c r="AH106" s="31" t="n"/>
      <c r="AI106" s="43" t="str">
        <f>IF(A106="","",SUM(AC$5:AC106))</f>
        <v/>
      </c>
      <c r="AJ106" s="45" t="str">
        <f>IF(A106="","",MAX(0,MAX(AI$5:AI106))-AI106)</f>
        <v/>
      </c>
    </row>
    <row r="107">
      <c r="A107" s="29" t="n"/>
      <c r="B107" s="30" t="n"/>
      <c r="C107" s="31" t="n"/>
      <c r="D107" s="32" t="n"/>
      <c r="E107" s="32" t="n"/>
      <c r="F107" s="32" t="n"/>
      <c r="G107" s="32" t="n"/>
      <c r="H107" s="32" t="n"/>
      <c r="I107" s="33" t="n"/>
      <c r="J107" s="33" t="n"/>
      <c r="K107" s="33" t="n"/>
      <c r="L107" s="34" t="str">
        <f>IF(AND(ISNUMBER(I107),ISNUMBER(J107),ISNUMBER(K107)),IF(OR(AND(F107="多",I107&gt;J107),AND(F107="空",I107&lt;J107)),ABS(K107-I107)/ABS(I107-J107),"止损方向不对"),"")</f>
        <v/>
      </c>
      <c r="M107" s="35" t="str">
        <f>IF(AND(ISNUMBER(I107),ISNUMBER(J107)),IF(I107=J107,"",IF(INT(ROUND('参数'!$C$7/(ABS(I107-J107)*IF(N(G107)&gt;0,G107,1)+2*(I107*IF(N(G107)&gt;0,G107,1)*'参数'!$C$12+'参数'!$C$13+'参数'!$C$14*IF(N(G107)&gt;0,G107,1)))/IF(N(H107)&gt;0,H107,1),6))*IF(N(H107)&gt;0,H107,1)&gt;0,INT(ROUND('参数'!$C$7/(ABS(I107-J107)*IF(N(G107)&gt;0,G107,1)+2*(I107*IF(N(G107)&gt;0,G107,1)*'参数'!$C$12+'参数'!$C$13+'参数'!$C$14*IF(N(G107)&gt;0,G107,1)))/IF(N(H107)&gt;0,H107,1),6))*IF(N(H107)&gt;0,H107,1),"预算不足，这笔不做")),"")</f>
        <v/>
      </c>
      <c r="N107" s="36" t="n"/>
      <c r="O107" s="20" t="str">
        <f>IF(AND(ISNUMBER(I107),ISNUMBER(J107),ISNUMBER(N107)),IF(AND(I107&lt;&gt;J107,N107&gt;0),ABS(I107-J107)*N107*IF(N(G107)&gt;0,G107,1),""),"")</f>
        <v/>
      </c>
      <c r="P107" s="31" t="n"/>
      <c r="Q107" s="32" t="n"/>
      <c r="R107" s="37" t="str">
        <f>IF(N(U107)&gt;0,SUMPRODUCT(LARGE(('成交明细'!$A$5:$A$804=A107)*('成交明细'!$D$5:$D$804=IF(F107="空","卖","买"))*'成交明细'!$B$5:$B$804,COUNTIFS('成交明细'!$A$5:$A$804,A107,'成交明细'!$D$5:$D$804,IF(F107="空","卖","买")))),"")</f>
        <v/>
      </c>
      <c r="S107" s="37" t="str">
        <f>IF(AND(N(U107)&gt;0,N(W107)&gt;=N(U107)),SUMPRODUCT(MAX(('成交明细'!$A$5:$A$804=A107)*('成交明细'!$D$5:$D$804=IF(F107="空","买","卖"))*'成交明细'!$B$5:$B$804)),"")</f>
        <v/>
      </c>
      <c r="T107" s="38" t="str">
        <f>IF(N(U107)=0,"",IF(SUMPRODUCT(('成交明细'!$A$5:$A$804=A107)*('成交明细'!$D$5:$D$804=IF(F107="空","卖","买"))*ISNUMBER('成交明细'!$C$5:$C$804))=0,"没填时间",IFERROR(VLOOKUP(MOD(SUMPRODUCT(LARGE(('成交明细'!$A$5:$A$804=A107)*('成交明细'!$D$5:$D$804=IF(F107="空","卖","买"))*('成交明细'!$B$5:$B$804+'成交明细'!$C$5:$C$804),COUNTIFS('成交明细'!$A$5:$A$804,A107,'成交明细'!$D$5:$D$804,IF(F107="空","卖","买")))),1),'参数'!$B$39:$C$48,2,TRUE),"")))</f>
        <v/>
      </c>
      <c r="U107" s="35" t="str">
        <f>IF(A107="","",SUMIFS('成交明细'!$F$5:$F$804,'成交明细'!$A$5:$A$804,A107,'成交明细'!$D$5:$D$804,IF(F107="空","卖","买")))</f>
        <v/>
      </c>
      <c r="V107" s="39" t="str">
        <f>IF(N(U107)&gt;0,SUMIFS('成交明细'!$H$5:$H$804,'成交明细'!$A$5:$A$804,A107,'成交明细'!$D$5:$D$804,IF(F107="空","卖","买"))/U107,"")</f>
        <v/>
      </c>
      <c r="W107" s="35" t="str">
        <f>IF(A107="","",SUMIFS('成交明细'!$F$5:$F$804,'成交明细'!$A$5:$A$804,A107,'成交明细'!$D$5:$D$804,IF(F107="空","买","卖")))</f>
        <v/>
      </c>
      <c r="X107" s="39" t="str">
        <f>IF(N(W107)&gt;0,SUMIFS('成交明细'!$H$5:$H$804,'成交明细'!$A$5:$A$804,A107,'成交明细'!$D$5:$D$804,IF(F107="空","买","卖"))/W107,"")</f>
        <v/>
      </c>
      <c r="Y107" s="40" t="str">
        <f>IF(A107="","",IF(Q107&lt;&gt;"已执行",IF(Q107="","未填执行情况",Q107),IF(N(U107)=0,"待录成交",IF(N(W107)&gt;N(U107),"平仓多于开仓",IF(N(W107)&lt;N(U107),"持仓中","已平仓")))))</f>
        <v/>
      </c>
      <c r="Z107" s="41" t="str">
        <f>IF(N(U107)=0,"",SUMIFS('成交明细'!$L$5:$L$804,'成交明细'!$A$5:$A$804,A107))</f>
        <v/>
      </c>
      <c r="AA107" s="42" t="str">
        <f>IF(Y107&lt;&gt;"已平仓","",(SUMIFS('成交明细'!$H$5:$H$804,'成交明细'!$A$5:$A$804,A107,'成交明细'!$D$5:$D$804,"卖")-SUMIFS('成交明细'!$H$5:$H$804,'成交明细'!$A$5:$A$804,A107,'成交明细'!$D$5:$D$804,"买"))*IF(N(G107)&gt;0,G107,1)-Z107)</f>
        <v/>
      </c>
      <c r="AB107" s="43" t="str">
        <f>IF(AND(Y107="已平仓",ISNUMBER(O107)),(SUMIFS('成交明细'!$H$5:$H$804,'成交明细'!$A$5:$A$804,A107,'成交明细'!$D$5:$D$804,"卖")-SUMIFS('成交明细'!$H$5:$H$804,'成交明细'!$A$5:$A$804,A107,'成交明细'!$D$5:$D$804,"买"))*IF(N(G107)&gt;0,G107,1)/O107,"")</f>
        <v/>
      </c>
      <c r="AC107" s="43" t="str">
        <f>IF(AND(Y107="已平仓",ISNUMBER(O107)),AA107/O107,"")</f>
        <v/>
      </c>
      <c r="AD107" s="44" t="str">
        <f>IF(AND(ISNUMBER(V107),ISNUMBER(I107)),IF(F107="空",I107-V107,V107-I107),"")</f>
        <v/>
      </c>
      <c r="AE107" s="44" t="str">
        <f>IF(OR(NOT(ISNUMBER(AA107)),NOT(ISNUMBER(X107))),"",IF(AA107&lt;0,IF(F107="空",X107-J107,J107-X107),IF(NOT(ISNUMBER(K107)),"",IF(F107="空",X107-K107,K107-X107))))</f>
        <v/>
      </c>
      <c r="AF107" s="32" t="n"/>
      <c r="AG107" s="32" t="n"/>
      <c r="AH107" s="31" t="n"/>
      <c r="AI107" s="43" t="str">
        <f>IF(A107="","",SUM(AC$5:AC107))</f>
        <v/>
      </c>
      <c r="AJ107" s="45" t="str">
        <f>IF(A107="","",MAX(0,MAX(AI$5:AI107))-AI107)</f>
        <v/>
      </c>
    </row>
    <row r="108">
      <c r="A108" s="29" t="n"/>
      <c r="B108" s="30" t="n"/>
      <c r="C108" s="31" t="n"/>
      <c r="D108" s="32" t="n"/>
      <c r="E108" s="32" t="n"/>
      <c r="F108" s="32" t="n"/>
      <c r="G108" s="32" t="n"/>
      <c r="H108" s="32" t="n"/>
      <c r="I108" s="33" t="n"/>
      <c r="J108" s="33" t="n"/>
      <c r="K108" s="33" t="n"/>
      <c r="L108" s="34" t="str">
        <f>IF(AND(ISNUMBER(I108),ISNUMBER(J108),ISNUMBER(K108)),IF(OR(AND(F108="多",I108&gt;J108),AND(F108="空",I108&lt;J108)),ABS(K108-I108)/ABS(I108-J108),"止损方向不对"),"")</f>
        <v/>
      </c>
      <c r="M108" s="35" t="str">
        <f>IF(AND(ISNUMBER(I108),ISNUMBER(J108)),IF(I108=J108,"",IF(INT(ROUND('参数'!$C$7/(ABS(I108-J108)*IF(N(G108)&gt;0,G108,1)+2*(I108*IF(N(G108)&gt;0,G108,1)*'参数'!$C$12+'参数'!$C$13+'参数'!$C$14*IF(N(G108)&gt;0,G108,1)))/IF(N(H108)&gt;0,H108,1),6))*IF(N(H108)&gt;0,H108,1)&gt;0,INT(ROUND('参数'!$C$7/(ABS(I108-J108)*IF(N(G108)&gt;0,G108,1)+2*(I108*IF(N(G108)&gt;0,G108,1)*'参数'!$C$12+'参数'!$C$13+'参数'!$C$14*IF(N(G108)&gt;0,G108,1)))/IF(N(H108)&gt;0,H108,1),6))*IF(N(H108)&gt;0,H108,1),"预算不足，这笔不做")),"")</f>
        <v/>
      </c>
      <c r="N108" s="36" t="n"/>
      <c r="O108" s="20" t="str">
        <f>IF(AND(ISNUMBER(I108),ISNUMBER(J108),ISNUMBER(N108)),IF(AND(I108&lt;&gt;J108,N108&gt;0),ABS(I108-J108)*N108*IF(N(G108)&gt;0,G108,1),""),"")</f>
        <v/>
      </c>
      <c r="P108" s="31" t="n"/>
      <c r="Q108" s="32" t="n"/>
      <c r="R108" s="37" t="str">
        <f>IF(N(U108)&gt;0,SUMPRODUCT(LARGE(('成交明细'!$A$5:$A$804=A108)*('成交明细'!$D$5:$D$804=IF(F108="空","卖","买"))*'成交明细'!$B$5:$B$804,COUNTIFS('成交明细'!$A$5:$A$804,A108,'成交明细'!$D$5:$D$804,IF(F108="空","卖","买")))),"")</f>
        <v/>
      </c>
      <c r="S108" s="37" t="str">
        <f>IF(AND(N(U108)&gt;0,N(W108)&gt;=N(U108)),SUMPRODUCT(MAX(('成交明细'!$A$5:$A$804=A108)*('成交明细'!$D$5:$D$804=IF(F108="空","买","卖"))*'成交明细'!$B$5:$B$804)),"")</f>
        <v/>
      </c>
      <c r="T108" s="38" t="str">
        <f>IF(N(U108)=0,"",IF(SUMPRODUCT(('成交明细'!$A$5:$A$804=A108)*('成交明细'!$D$5:$D$804=IF(F108="空","卖","买"))*ISNUMBER('成交明细'!$C$5:$C$804))=0,"没填时间",IFERROR(VLOOKUP(MOD(SUMPRODUCT(LARGE(('成交明细'!$A$5:$A$804=A108)*('成交明细'!$D$5:$D$804=IF(F108="空","卖","买"))*('成交明细'!$B$5:$B$804+'成交明细'!$C$5:$C$804),COUNTIFS('成交明细'!$A$5:$A$804,A108,'成交明细'!$D$5:$D$804,IF(F108="空","卖","买")))),1),'参数'!$B$39:$C$48,2,TRUE),"")))</f>
        <v/>
      </c>
      <c r="U108" s="35" t="str">
        <f>IF(A108="","",SUMIFS('成交明细'!$F$5:$F$804,'成交明细'!$A$5:$A$804,A108,'成交明细'!$D$5:$D$804,IF(F108="空","卖","买")))</f>
        <v/>
      </c>
      <c r="V108" s="39" t="str">
        <f>IF(N(U108)&gt;0,SUMIFS('成交明细'!$H$5:$H$804,'成交明细'!$A$5:$A$804,A108,'成交明细'!$D$5:$D$804,IF(F108="空","卖","买"))/U108,"")</f>
        <v/>
      </c>
      <c r="W108" s="35" t="str">
        <f>IF(A108="","",SUMIFS('成交明细'!$F$5:$F$804,'成交明细'!$A$5:$A$804,A108,'成交明细'!$D$5:$D$804,IF(F108="空","买","卖")))</f>
        <v/>
      </c>
      <c r="X108" s="39" t="str">
        <f>IF(N(W108)&gt;0,SUMIFS('成交明细'!$H$5:$H$804,'成交明细'!$A$5:$A$804,A108,'成交明细'!$D$5:$D$804,IF(F108="空","买","卖"))/W108,"")</f>
        <v/>
      </c>
      <c r="Y108" s="40" t="str">
        <f>IF(A108="","",IF(Q108&lt;&gt;"已执行",IF(Q108="","未填执行情况",Q108),IF(N(U108)=0,"待录成交",IF(N(W108)&gt;N(U108),"平仓多于开仓",IF(N(W108)&lt;N(U108),"持仓中","已平仓")))))</f>
        <v/>
      </c>
      <c r="Z108" s="41" t="str">
        <f>IF(N(U108)=0,"",SUMIFS('成交明细'!$L$5:$L$804,'成交明细'!$A$5:$A$804,A108))</f>
        <v/>
      </c>
      <c r="AA108" s="42" t="str">
        <f>IF(Y108&lt;&gt;"已平仓","",(SUMIFS('成交明细'!$H$5:$H$804,'成交明细'!$A$5:$A$804,A108,'成交明细'!$D$5:$D$804,"卖")-SUMIFS('成交明细'!$H$5:$H$804,'成交明细'!$A$5:$A$804,A108,'成交明细'!$D$5:$D$804,"买"))*IF(N(G108)&gt;0,G108,1)-Z108)</f>
        <v/>
      </c>
      <c r="AB108" s="43" t="str">
        <f>IF(AND(Y108="已平仓",ISNUMBER(O108)),(SUMIFS('成交明细'!$H$5:$H$804,'成交明细'!$A$5:$A$804,A108,'成交明细'!$D$5:$D$804,"卖")-SUMIFS('成交明细'!$H$5:$H$804,'成交明细'!$A$5:$A$804,A108,'成交明细'!$D$5:$D$804,"买"))*IF(N(G108)&gt;0,G108,1)/O108,"")</f>
        <v/>
      </c>
      <c r="AC108" s="43" t="str">
        <f>IF(AND(Y108="已平仓",ISNUMBER(O108)),AA108/O108,"")</f>
        <v/>
      </c>
      <c r="AD108" s="44" t="str">
        <f>IF(AND(ISNUMBER(V108),ISNUMBER(I108)),IF(F108="空",I108-V108,V108-I108),"")</f>
        <v/>
      </c>
      <c r="AE108" s="44" t="str">
        <f>IF(OR(NOT(ISNUMBER(AA108)),NOT(ISNUMBER(X108))),"",IF(AA108&lt;0,IF(F108="空",X108-J108,J108-X108),IF(NOT(ISNUMBER(K108)),"",IF(F108="空",X108-K108,K108-X108))))</f>
        <v/>
      </c>
      <c r="AF108" s="32" t="n"/>
      <c r="AG108" s="32" t="n"/>
      <c r="AH108" s="31" t="n"/>
      <c r="AI108" s="43" t="str">
        <f>IF(A108="","",SUM(AC$5:AC108))</f>
        <v/>
      </c>
      <c r="AJ108" s="45" t="str">
        <f>IF(A108="","",MAX(0,MAX(AI$5:AI108))-AI108)</f>
        <v/>
      </c>
    </row>
    <row r="109">
      <c r="A109" s="29" t="n"/>
      <c r="B109" s="30" t="n"/>
      <c r="C109" s="31" t="n"/>
      <c r="D109" s="32" t="n"/>
      <c r="E109" s="32" t="n"/>
      <c r="F109" s="32" t="n"/>
      <c r="G109" s="32" t="n"/>
      <c r="H109" s="32" t="n"/>
      <c r="I109" s="33" t="n"/>
      <c r="J109" s="33" t="n"/>
      <c r="K109" s="33" t="n"/>
      <c r="L109" s="34" t="str">
        <f>IF(AND(ISNUMBER(I109),ISNUMBER(J109),ISNUMBER(K109)),IF(OR(AND(F109="多",I109&gt;J109),AND(F109="空",I109&lt;J109)),ABS(K109-I109)/ABS(I109-J109),"止损方向不对"),"")</f>
        <v/>
      </c>
      <c r="M109" s="35" t="str">
        <f>IF(AND(ISNUMBER(I109),ISNUMBER(J109)),IF(I109=J109,"",IF(INT(ROUND('参数'!$C$7/(ABS(I109-J109)*IF(N(G109)&gt;0,G109,1)+2*(I109*IF(N(G109)&gt;0,G109,1)*'参数'!$C$12+'参数'!$C$13+'参数'!$C$14*IF(N(G109)&gt;0,G109,1)))/IF(N(H109)&gt;0,H109,1),6))*IF(N(H109)&gt;0,H109,1)&gt;0,INT(ROUND('参数'!$C$7/(ABS(I109-J109)*IF(N(G109)&gt;0,G109,1)+2*(I109*IF(N(G109)&gt;0,G109,1)*'参数'!$C$12+'参数'!$C$13+'参数'!$C$14*IF(N(G109)&gt;0,G109,1)))/IF(N(H109)&gt;0,H109,1),6))*IF(N(H109)&gt;0,H109,1),"预算不足，这笔不做")),"")</f>
        <v/>
      </c>
      <c r="N109" s="36" t="n"/>
      <c r="O109" s="20" t="str">
        <f>IF(AND(ISNUMBER(I109),ISNUMBER(J109),ISNUMBER(N109)),IF(AND(I109&lt;&gt;J109,N109&gt;0),ABS(I109-J109)*N109*IF(N(G109)&gt;0,G109,1),""),"")</f>
        <v/>
      </c>
      <c r="P109" s="31" t="n"/>
      <c r="Q109" s="32" t="n"/>
      <c r="R109" s="37" t="str">
        <f>IF(N(U109)&gt;0,SUMPRODUCT(LARGE(('成交明细'!$A$5:$A$804=A109)*('成交明细'!$D$5:$D$804=IF(F109="空","卖","买"))*'成交明细'!$B$5:$B$804,COUNTIFS('成交明细'!$A$5:$A$804,A109,'成交明细'!$D$5:$D$804,IF(F109="空","卖","买")))),"")</f>
        <v/>
      </c>
      <c r="S109" s="37" t="str">
        <f>IF(AND(N(U109)&gt;0,N(W109)&gt;=N(U109)),SUMPRODUCT(MAX(('成交明细'!$A$5:$A$804=A109)*('成交明细'!$D$5:$D$804=IF(F109="空","买","卖"))*'成交明细'!$B$5:$B$804)),"")</f>
        <v/>
      </c>
      <c r="T109" s="38" t="str">
        <f>IF(N(U109)=0,"",IF(SUMPRODUCT(('成交明细'!$A$5:$A$804=A109)*('成交明细'!$D$5:$D$804=IF(F109="空","卖","买"))*ISNUMBER('成交明细'!$C$5:$C$804))=0,"没填时间",IFERROR(VLOOKUP(MOD(SUMPRODUCT(LARGE(('成交明细'!$A$5:$A$804=A109)*('成交明细'!$D$5:$D$804=IF(F109="空","卖","买"))*('成交明细'!$B$5:$B$804+'成交明细'!$C$5:$C$804),COUNTIFS('成交明细'!$A$5:$A$804,A109,'成交明细'!$D$5:$D$804,IF(F109="空","卖","买")))),1),'参数'!$B$39:$C$48,2,TRUE),"")))</f>
        <v/>
      </c>
      <c r="U109" s="35" t="str">
        <f>IF(A109="","",SUMIFS('成交明细'!$F$5:$F$804,'成交明细'!$A$5:$A$804,A109,'成交明细'!$D$5:$D$804,IF(F109="空","卖","买")))</f>
        <v/>
      </c>
      <c r="V109" s="39" t="str">
        <f>IF(N(U109)&gt;0,SUMIFS('成交明细'!$H$5:$H$804,'成交明细'!$A$5:$A$804,A109,'成交明细'!$D$5:$D$804,IF(F109="空","卖","买"))/U109,"")</f>
        <v/>
      </c>
      <c r="W109" s="35" t="str">
        <f>IF(A109="","",SUMIFS('成交明细'!$F$5:$F$804,'成交明细'!$A$5:$A$804,A109,'成交明细'!$D$5:$D$804,IF(F109="空","买","卖")))</f>
        <v/>
      </c>
      <c r="X109" s="39" t="str">
        <f>IF(N(W109)&gt;0,SUMIFS('成交明细'!$H$5:$H$804,'成交明细'!$A$5:$A$804,A109,'成交明细'!$D$5:$D$804,IF(F109="空","买","卖"))/W109,"")</f>
        <v/>
      </c>
      <c r="Y109" s="40" t="str">
        <f>IF(A109="","",IF(Q109&lt;&gt;"已执行",IF(Q109="","未填执行情况",Q109),IF(N(U109)=0,"待录成交",IF(N(W109)&gt;N(U109),"平仓多于开仓",IF(N(W109)&lt;N(U109),"持仓中","已平仓")))))</f>
        <v/>
      </c>
      <c r="Z109" s="41" t="str">
        <f>IF(N(U109)=0,"",SUMIFS('成交明细'!$L$5:$L$804,'成交明细'!$A$5:$A$804,A109))</f>
        <v/>
      </c>
      <c r="AA109" s="42" t="str">
        <f>IF(Y109&lt;&gt;"已平仓","",(SUMIFS('成交明细'!$H$5:$H$804,'成交明细'!$A$5:$A$804,A109,'成交明细'!$D$5:$D$804,"卖")-SUMIFS('成交明细'!$H$5:$H$804,'成交明细'!$A$5:$A$804,A109,'成交明细'!$D$5:$D$804,"买"))*IF(N(G109)&gt;0,G109,1)-Z109)</f>
        <v/>
      </c>
      <c r="AB109" s="43" t="str">
        <f>IF(AND(Y109="已平仓",ISNUMBER(O109)),(SUMIFS('成交明细'!$H$5:$H$804,'成交明细'!$A$5:$A$804,A109,'成交明细'!$D$5:$D$804,"卖")-SUMIFS('成交明细'!$H$5:$H$804,'成交明细'!$A$5:$A$804,A109,'成交明细'!$D$5:$D$804,"买"))*IF(N(G109)&gt;0,G109,1)/O109,"")</f>
        <v/>
      </c>
      <c r="AC109" s="43" t="str">
        <f>IF(AND(Y109="已平仓",ISNUMBER(O109)),AA109/O109,"")</f>
        <v/>
      </c>
      <c r="AD109" s="44" t="str">
        <f>IF(AND(ISNUMBER(V109),ISNUMBER(I109)),IF(F109="空",I109-V109,V109-I109),"")</f>
        <v/>
      </c>
      <c r="AE109" s="44" t="str">
        <f>IF(OR(NOT(ISNUMBER(AA109)),NOT(ISNUMBER(X109))),"",IF(AA109&lt;0,IF(F109="空",X109-J109,J109-X109),IF(NOT(ISNUMBER(K109)),"",IF(F109="空",X109-K109,K109-X109))))</f>
        <v/>
      </c>
      <c r="AF109" s="32" t="n"/>
      <c r="AG109" s="32" t="n"/>
      <c r="AH109" s="31" t="n"/>
      <c r="AI109" s="43" t="str">
        <f>IF(A109="","",SUM(AC$5:AC109))</f>
        <v/>
      </c>
      <c r="AJ109" s="45" t="str">
        <f>IF(A109="","",MAX(0,MAX(AI$5:AI109))-AI109)</f>
        <v/>
      </c>
    </row>
    <row r="110">
      <c r="A110" s="29" t="n"/>
      <c r="B110" s="30" t="n"/>
      <c r="C110" s="31" t="n"/>
      <c r="D110" s="32" t="n"/>
      <c r="E110" s="32" t="n"/>
      <c r="F110" s="32" t="n"/>
      <c r="G110" s="32" t="n"/>
      <c r="H110" s="32" t="n"/>
      <c r="I110" s="33" t="n"/>
      <c r="J110" s="33" t="n"/>
      <c r="K110" s="33" t="n"/>
      <c r="L110" s="34" t="str">
        <f>IF(AND(ISNUMBER(I110),ISNUMBER(J110),ISNUMBER(K110)),IF(OR(AND(F110="多",I110&gt;J110),AND(F110="空",I110&lt;J110)),ABS(K110-I110)/ABS(I110-J110),"止损方向不对"),"")</f>
        <v/>
      </c>
      <c r="M110" s="35" t="str">
        <f>IF(AND(ISNUMBER(I110),ISNUMBER(J110)),IF(I110=J110,"",IF(INT(ROUND('参数'!$C$7/(ABS(I110-J110)*IF(N(G110)&gt;0,G110,1)+2*(I110*IF(N(G110)&gt;0,G110,1)*'参数'!$C$12+'参数'!$C$13+'参数'!$C$14*IF(N(G110)&gt;0,G110,1)))/IF(N(H110)&gt;0,H110,1),6))*IF(N(H110)&gt;0,H110,1)&gt;0,INT(ROUND('参数'!$C$7/(ABS(I110-J110)*IF(N(G110)&gt;0,G110,1)+2*(I110*IF(N(G110)&gt;0,G110,1)*'参数'!$C$12+'参数'!$C$13+'参数'!$C$14*IF(N(G110)&gt;0,G110,1)))/IF(N(H110)&gt;0,H110,1),6))*IF(N(H110)&gt;0,H110,1),"预算不足，这笔不做")),"")</f>
        <v/>
      </c>
      <c r="N110" s="36" t="n"/>
      <c r="O110" s="20" t="str">
        <f>IF(AND(ISNUMBER(I110),ISNUMBER(J110),ISNUMBER(N110)),IF(AND(I110&lt;&gt;J110,N110&gt;0),ABS(I110-J110)*N110*IF(N(G110)&gt;0,G110,1),""),"")</f>
        <v/>
      </c>
      <c r="P110" s="31" t="n"/>
      <c r="Q110" s="32" t="n"/>
      <c r="R110" s="37" t="str">
        <f>IF(N(U110)&gt;0,SUMPRODUCT(LARGE(('成交明细'!$A$5:$A$804=A110)*('成交明细'!$D$5:$D$804=IF(F110="空","卖","买"))*'成交明细'!$B$5:$B$804,COUNTIFS('成交明细'!$A$5:$A$804,A110,'成交明细'!$D$5:$D$804,IF(F110="空","卖","买")))),"")</f>
        <v/>
      </c>
      <c r="S110" s="37" t="str">
        <f>IF(AND(N(U110)&gt;0,N(W110)&gt;=N(U110)),SUMPRODUCT(MAX(('成交明细'!$A$5:$A$804=A110)*('成交明细'!$D$5:$D$804=IF(F110="空","买","卖"))*'成交明细'!$B$5:$B$804)),"")</f>
        <v/>
      </c>
      <c r="T110" s="38" t="str">
        <f>IF(N(U110)=0,"",IF(SUMPRODUCT(('成交明细'!$A$5:$A$804=A110)*('成交明细'!$D$5:$D$804=IF(F110="空","卖","买"))*ISNUMBER('成交明细'!$C$5:$C$804))=0,"没填时间",IFERROR(VLOOKUP(MOD(SUMPRODUCT(LARGE(('成交明细'!$A$5:$A$804=A110)*('成交明细'!$D$5:$D$804=IF(F110="空","卖","买"))*('成交明细'!$B$5:$B$804+'成交明细'!$C$5:$C$804),COUNTIFS('成交明细'!$A$5:$A$804,A110,'成交明细'!$D$5:$D$804,IF(F110="空","卖","买")))),1),'参数'!$B$39:$C$48,2,TRUE),"")))</f>
        <v/>
      </c>
      <c r="U110" s="35" t="str">
        <f>IF(A110="","",SUMIFS('成交明细'!$F$5:$F$804,'成交明细'!$A$5:$A$804,A110,'成交明细'!$D$5:$D$804,IF(F110="空","卖","买")))</f>
        <v/>
      </c>
      <c r="V110" s="39" t="str">
        <f>IF(N(U110)&gt;0,SUMIFS('成交明细'!$H$5:$H$804,'成交明细'!$A$5:$A$804,A110,'成交明细'!$D$5:$D$804,IF(F110="空","卖","买"))/U110,"")</f>
        <v/>
      </c>
      <c r="W110" s="35" t="str">
        <f>IF(A110="","",SUMIFS('成交明细'!$F$5:$F$804,'成交明细'!$A$5:$A$804,A110,'成交明细'!$D$5:$D$804,IF(F110="空","买","卖")))</f>
        <v/>
      </c>
      <c r="X110" s="39" t="str">
        <f>IF(N(W110)&gt;0,SUMIFS('成交明细'!$H$5:$H$804,'成交明细'!$A$5:$A$804,A110,'成交明细'!$D$5:$D$804,IF(F110="空","买","卖"))/W110,"")</f>
        <v/>
      </c>
      <c r="Y110" s="40" t="str">
        <f>IF(A110="","",IF(Q110&lt;&gt;"已执行",IF(Q110="","未填执行情况",Q110),IF(N(U110)=0,"待录成交",IF(N(W110)&gt;N(U110),"平仓多于开仓",IF(N(W110)&lt;N(U110),"持仓中","已平仓")))))</f>
        <v/>
      </c>
      <c r="Z110" s="41" t="str">
        <f>IF(N(U110)=0,"",SUMIFS('成交明细'!$L$5:$L$804,'成交明细'!$A$5:$A$804,A110))</f>
        <v/>
      </c>
      <c r="AA110" s="42" t="str">
        <f>IF(Y110&lt;&gt;"已平仓","",(SUMIFS('成交明细'!$H$5:$H$804,'成交明细'!$A$5:$A$804,A110,'成交明细'!$D$5:$D$804,"卖")-SUMIFS('成交明细'!$H$5:$H$804,'成交明细'!$A$5:$A$804,A110,'成交明细'!$D$5:$D$804,"买"))*IF(N(G110)&gt;0,G110,1)-Z110)</f>
        <v/>
      </c>
      <c r="AB110" s="43" t="str">
        <f>IF(AND(Y110="已平仓",ISNUMBER(O110)),(SUMIFS('成交明细'!$H$5:$H$804,'成交明细'!$A$5:$A$804,A110,'成交明细'!$D$5:$D$804,"卖")-SUMIFS('成交明细'!$H$5:$H$804,'成交明细'!$A$5:$A$804,A110,'成交明细'!$D$5:$D$804,"买"))*IF(N(G110)&gt;0,G110,1)/O110,"")</f>
        <v/>
      </c>
      <c r="AC110" s="43" t="str">
        <f>IF(AND(Y110="已平仓",ISNUMBER(O110)),AA110/O110,"")</f>
        <v/>
      </c>
      <c r="AD110" s="44" t="str">
        <f>IF(AND(ISNUMBER(V110),ISNUMBER(I110)),IF(F110="空",I110-V110,V110-I110),"")</f>
        <v/>
      </c>
      <c r="AE110" s="44" t="str">
        <f>IF(OR(NOT(ISNUMBER(AA110)),NOT(ISNUMBER(X110))),"",IF(AA110&lt;0,IF(F110="空",X110-J110,J110-X110),IF(NOT(ISNUMBER(K110)),"",IF(F110="空",X110-K110,K110-X110))))</f>
        <v/>
      </c>
      <c r="AF110" s="32" t="n"/>
      <c r="AG110" s="32" t="n"/>
      <c r="AH110" s="31" t="n"/>
      <c r="AI110" s="43" t="str">
        <f>IF(A110="","",SUM(AC$5:AC110))</f>
        <v/>
      </c>
      <c r="AJ110" s="45" t="str">
        <f>IF(A110="","",MAX(0,MAX(AI$5:AI110))-AI110)</f>
        <v/>
      </c>
    </row>
    <row r="111">
      <c r="A111" s="29" t="n"/>
      <c r="B111" s="30" t="n"/>
      <c r="C111" s="31" t="n"/>
      <c r="D111" s="32" t="n"/>
      <c r="E111" s="32" t="n"/>
      <c r="F111" s="32" t="n"/>
      <c r="G111" s="32" t="n"/>
      <c r="H111" s="32" t="n"/>
      <c r="I111" s="33" t="n"/>
      <c r="J111" s="33" t="n"/>
      <c r="K111" s="33" t="n"/>
      <c r="L111" s="34" t="str">
        <f>IF(AND(ISNUMBER(I111),ISNUMBER(J111),ISNUMBER(K111)),IF(OR(AND(F111="多",I111&gt;J111),AND(F111="空",I111&lt;J111)),ABS(K111-I111)/ABS(I111-J111),"止损方向不对"),"")</f>
        <v/>
      </c>
      <c r="M111" s="35" t="str">
        <f>IF(AND(ISNUMBER(I111),ISNUMBER(J111)),IF(I111=J111,"",IF(INT(ROUND('参数'!$C$7/(ABS(I111-J111)*IF(N(G111)&gt;0,G111,1)+2*(I111*IF(N(G111)&gt;0,G111,1)*'参数'!$C$12+'参数'!$C$13+'参数'!$C$14*IF(N(G111)&gt;0,G111,1)))/IF(N(H111)&gt;0,H111,1),6))*IF(N(H111)&gt;0,H111,1)&gt;0,INT(ROUND('参数'!$C$7/(ABS(I111-J111)*IF(N(G111)&gt;0,G111,1)+2*(I111*IF(N(G111)&gt;0,G111,1)*'参数'!$C$12+'参数'!$C$13+'参数'!$C$14*IF(N(G111)&gt;0,G111,1)))/IF(N(H111)&gt;0,H111,1),6))*IF(N(H111)&gt;0,H111,1),"预算不足，这笔不做")),"")</f>
        <v/>
      </c>
      <c r="N111" s="36" t="n"/>
      <c r="O111" s="20" t="str">
        <f>IF(AND(ISNUMBER(I111),ISNUMBER(J111),ISNUMBER(N111)),IF(AND(I111&lt;&gt;J111,N111&gt;0),ABS(I111-J111)*N111*IF(N(G111)&gt;0,G111,1),""),"")</f>
        <v/>
      </c>
      <c r="P111" s="31" t="n"/>
      <c r="Q111" s="32" t="n"/>
      <c r="R111" s="37" t="str">
        <f>IF(N(U111)&gt;0,SUMPRODUCT(LARGE(('成交明细'!$A$5:$A$804=A111)*('成交明细'!$D$5:$D$804=IF(F111="空","卖","买"))*'成交明细'!$B$5:$B$804,COUNTIFS('成交明细'!$A$5:$A$804,A111,'成交明细'!$D$5:$D$804,IF(F111="空","卖","买")))),"")</f>
        <v/>
      </c>
      <c r="S111" s="37" t="str">
        <f>IF(AND(N(U111)&gt;0,N(W111)&gt;=N(U111)),SUMPRODUCT(MAX(('成交明细'!$A$5:$A$804=A111)*('成交明细'!$D$5:$D$804=IF(F111="空","买","卖"))*'成交明细'!$B$5:$B$804)),"")</f>
        <v/>
      </c>
      <c r="T111" s="38" t="str">
        <f>IF(N(U111)=0,"",IF(SUMPRODUCT(('成交明细'!$A$5:$A$804=A111)*('成交明细'!$D$5:$D$804=IF(F111="空","卖","买"))*ISNUMBER('成交明细'!$C$5:$C$804))=0,"没填时间",IFERROR(VLOOKUP(MOD(SUMPRODUCT(LARGE(('成交明细'!$A$5:$A$804=A111)*('成交明细'!$D$5:$D$804=IF(F111="空","卖","买"))*('成交明细'!$B$5:$B$804+'成交明细'!$C$5:$C$804),COUNTIFS('成交明细'!$A$5:$A$804,A111,'成交明细'!$D$5:$D$804,IF(F111="空","卖","买")))),1),'参数'!$B$39:$C$48,2,TRUE),"")))</f>
        <v/>
      </c>
      <c r="U111" s="35" t="str">
        <f>IF(A111="","",SUMIFS('成交明细'!$F$5:$F$804,'成交明细'!$A$5:$A$804,A111,'成交明细'!$D$5:$D$804,IF(F111="空","卖","买")))</f>
        <v/>
      </c>
      <c r="V111" s="39" t="str">
        <f>IF(N(U111)&gt;0,SUMIFS('成交明细'!$H$5:$H$804,'成交明细'!$A$5:$A$804,A111,'成交明细'!$D$5:$D$804,IF(F111="空","卖","买"))/U111,"")</f>
        <v/>
      </c>
      <c r="W111" s="35" t="str">
        <f>IF(A111="","",SUMIFS('成交明细'!$F$5:$F$804,'成交明细'!$A$5:$A$804,A111,'成交明细'!$D$5:$D$804,IF(F111="空","买","卖")))</f>
        <v/>
      </c>
      <c r="X111" s="39" t="str">
        <f>IF(N(W111)&gt;0,SUMIFS('成交明细'!$H$5:$H$804,'成交明细'!$A$5:$A$804,A111,'成交明细'!$D$5:$D$804,IF(F111="空","买","卖"))/W111,"")</f>
        <v/>
      </c>
      <c r="Y111" s="40" t="str">
        <f>IF(A111="","",IF(Q111&lt;&gt;"已执行",IF(Q111="","未填执行情况",Q111),IF(N(U111)=0,"待录成交",IF(N(W111)&gt;N(U111),"平仓多于开仓",IF(N(W111)&lt;N(U111),"持仓中","已平仓")))))</f>
        <v/>
      </c>
      <c r="Z111" s="41" t="str">
        <f>IF(N(U111)=0,"",SUMIFS('成交明细'!$L$5:$L$804,'成交明细'!$A$5:$A$804,A111))</f>
        <v/>
      </c>
      <c r="AA111" s="42" t="str">
        <f>IF(Y111&lt;&gt;"已平仓","",(SUMIFS('成交明细'!$H$5:$H$804,'成交明细'!$A$5:$A$804,A111,'成交明细'!$D$5:$D$804,"卖")-SUMIFS('成交明细'!$H$5:$H$804,'成交明细'!$A$5:$A$804,A111,'成交明细'!$D$5:$D$804,"买"))*IF(N(G111)&gt;0,G111,1)-Z111)</f>
        <v/>
      </c>
      <c r="AB111" s="43" t="str">
        <f>IF(AND(Y111="已平仓",ISNUMBER(O111)),(SUMIFS('成交明细'!$H$5:$H$804,'成交明细'!$A$5:$A$804,A111,'成交明细'!$D$5:$D$804,"卖")-SUMIFS('成交明细'!$H$5:$H$804,'成交明细'!$A$5:$A$804,A111,'成交明细'!$D$5:$D$804,"买"))*IF(N(G111)&gt;0,G111,1)/O111,"")</f>
        <v/>
      </c>
      <c r="AC111" s="43" t="str">
        <f>IF(AND(Y111="已平仓",ISNUMBER(O111)),AA111/O111,"")</f>
        <v/>
      </c>
      <c r="AD111" s="44" t="str">
        <f>IF(AND(ISNUMBER(V111),ISNUMBER(I111)),IF(F111="空",I111-V111,V111-I111),"")</f>
        <v/>
      </c>
      <c r="AE111" s="44" t="str">
        <f>IF(OR(NOT(ISNUMBER(AA111)),NOT(ISNUMBER(X111))),"",IF(AA111&lt;0,IF(F111="空",X111-J111,J111-X111),IF(NOT(ISNUMBER(K111)),"",IF(F111="空",X111-K111,K111-X111))))</f>
        <v/>
      </c>
      <c r="AF111" s="32" t="n"/>
      <c r="AG111" s="32" t="n"/>
      <c r="AH111" s="31" t="n"/>
      <c r="AI111" s="43" t="str">
        <f>IF(A111="","",SUM(AC$5:AC111))</f>
        <v/>
      </c>
      <c r="AJ111" s="45" t="str">
        <f>IF(A111="","",MAX(0,MAX(AI$5:AI111))-AI111)</f>
        <v/>
      </c>
    </row>
    <row r="112">
      <c r="A112" s="29" t="n"/>
      <c r="B112" s="30" t="n"/>
      <c r="C112" s="31" t="n"/>
      <c r="D112" s="32" t="n"/>
      <c r="E112" s="32" t="n"/>
      <c r="F112" s="32" t="n"/>
      <c r="G112" s="32" t="n"/>
      <c r="H112" s="32" t="n"/>
      <c r="I112" s="33" t="n"/>
      <c r="J112" s="33" t="n"/>
      <c r="K112" s="33" t="n"/>
      <c r="L112" s="34" t="str">
        <f>IF(AND(ISNUMBER(I112),ISNUMBER(J112),ISNUMBER(K112)),IF(OR(AND(F112="多",I112&gt;J112),AND(F112="空",I112&lt;J112)),ABS(K112-I112)/ABS(I112-J112),"止损方向不对"),"")</f>
        <v/>
      </c>
      <c r="M112" s="35" t="str">
        <f>IF(AND(ISNUMBER(I112),ISNUMBER(J112)),IF(I112=J112,"",IF(INT(ROUND('参数'!$C$7/(ABS(I112-J112)*IF(N(G112)&gt;0,G112,1)+2*(I112*IF(N(G112)&gt;0,G112,1)*'参数'!$C$12+'参数'!$C$13+'参数'!$C$14*IF(N(G112)&gt;0,G112,1)))/IF(N(H112)&gt;0,H112,1),6))*IF(N(H112)&gt;0,H112,1)&gt;0,INT(ROUND('参数'!$C$7/(ABS(I112-J112)*IF(N(G112)&gt;0,G112,1)+2*(I112*IF(N(G112)&gt;0,G112,1)*'参数'!$C$12+'参数'!$C$13+'参数'!$C$14*IF(N(G112)&gt;0,G112,1)))/IF(N(H112)&gt;0,H112,1),6))*IF(N(H112)&gt;0,H112,1),"预算不足，这笔不做")),"")</f>
        <v/>
      </c>
      <c r="N112" s="36" t="n"/>
      <c r="O112" s="20" t="str">
        <f>IF(AND(ISNUMBER(I112),ISNUMBER(J112),ISNUMBER(N112)),IF(AND(I112&lt;&gt;J112,N112&gt;0),ABS(I112-J112)*N112*IF(N(G112)&gt;0,G112,1),""),"")</f>
        <v/>
      </c>
      <c r="P112" s="31" t="n"/>
      <c r="Q112" s="32" t="n"/>
      <c r="R112" s="37" t="str">
        <f>IF(N(U112)&gt;0,SUMPRODUCT(LARGE(('成交明细'!$A$5:$A$804=A112)*('成交明细'!$D$5:$D$804=IF(F112="空","卖","买"))*'成交明细'!$B$5:$B$804,COUNTIFS('成交明细'!$A$5:$A$804,A112,'成交明细'!$D$5:$D$804,IF(F112="空","卖","买")))),"")</f>
        <v/>
      </c>
      <c r="S112" s="37" t="str">
        <f>IF(AND(N(U112)&gt;0,N(W112)&gt;=N(U112)),SUMPRODUCT(MAX(('成交明细'!$A$5:$A$804=A112)*('成交明细'!$D$5:$D$804=IF(F112="空","买","卖"))*'成交明细'!$B$5:$B$804)),"")</f>
        <v/>
      </c>
      <c r="T112" s="38" t="str">
        <f>IF(N(U112)=0,"",IF(SUMPRODUCT(('成交明细'!$A$5:$A$804=A112)*('成交明细'!$D$5:$D$804=IF(F112="空","卖","买"))*ISNUMBER('成交明细'!$C$5:$C$804))=0,"没填时间",IFERROR(VLOOKUP(MOD(SUMPRODUCT(LARGE(('成交明细'!$A$5:$A$804=A112)*('成交明细'!$D$5:$D$804=IF(F112="空","卖","买"))*('成交明细'!$B$5:$B$804+'成交明细'!$C$5:$C$804),COUNTIFS('成交明细'!$A$5:$A$804,A112,'成交明细'!$D$5:$D$804,IF(F112="空","卖","买")))),1),'参数'!$B$39:$C$48,2,TRUE),"")))</f>
        <v/>
      </c>
      <c r="U112" s="35" t="str">
        <f>IF(A112="","",SUMIFS('成交明细'!$F$5:$F$804,'成交明细'!$A$5:$A$804,A112,'成交明细'!$D$5:$D$804,IF(F112="空","卖","买")))</f>
        <v/>
      </c>
      <c r="V112" s="39" t="str">
        <f>IF(N(U112)&gt;0,SUMIFS('成交明细'!$H$5:$H$804,'成交明细'!$A$5:$A$804,A112,'成交明细'!$D$5:$D$804,IF(F112="空","卖","买"))/U112,"")</f>
        <v/>
      </c>
      <c r="W112" s="35" t="str">
        <f>IF(A112="","",SUMIFS('成交明细'!$F$5:$F$804,'成交明细'!$A$5:$A$804,A112,'成交明细'!$D$5:$D$804,IF(F112="空","买","卖")))</f>
        <v/>
      </c>
      <c r="X112" s="39" t="str">
        <f>IF(N(W112)&gt;0,SUMIFS('成交明细'!$H$5:$H$804,'成交明细'!$A$5:$A$804,A112,'成交明细'!$D$5:$D$804,IF(F112="空","买","卖"))/W112,"")</f>
        <v/>
      </c>
      <c r="Y112" s="40" t="str">
        <f>IF(A112="","",IF(Q112&lt;&gt;"已执行",IF(Q112="","未填执行情况",Q112),IF(N(U112)=0,"待录成交",IF(N(W112)&gt;N(U112),"平仓多于开仓",IF(N(W112)&lt;N(U112),"持仓中","已平仓")))))</f>
        <v/>
      </c>
      <c r="Z112" s="41" t="str">
        <f>IF(N(U112)=0,"",SUMIFS('成交明细'!$L$5:$L$804,'成交明细'!$A$5:$A$804,A112))</f>
        <v/>
      </c>
      <c r="AA112" s="42" t="str">
        <f>IF(Y112&lt;&gt;"已平仓","",(SUMIFS('成交明细'!$H$5:$H$804,'成交明细'!$A$5:$A$804,A112,'成交明细'!$D$5:$D$804,"卖")-SUMIFS('成交明细'!$H$5:$H$804,'成交明细'!$A$5:$A$804,A112,'成交明细'!$D$5:$D$804,"买"))*IF(N(G112)&gt;0,G112,1)-Z112)</f>
        <v/>
      </c>
      <c r="AB112" s="43" t="str">
        <f>IF(AND(Y112="已平仓",ISNUMBER(O112)),(SUMIFS('成交明细'!$H$5:$H$804,'成交明细'!$A$5:$A$804,A112,'成交明细'!$D$5:$D$804,"卖")-SUMIFS('成交明细'!$H$5:$H$804,'成交明细'!$A$5:$A$804,A112,'成交明细'!$D$5:$D$804,"买"))*IF(N(G112)&gt;0,G112,1)/O112,"")</f>
        <v/>
      </c>
      <c r="AC112" s="43" t="str">
        <f>IF(AND(Y112="已平仓",ISNUMBER(O112)),AA112/O112,"")</f>
        <v/>
      </c>
      <c r="AD112" s="44" t="str">
        <f>IF(AND(ISNUMBER(V112),ISNUMBER(I112)),IF(F112="空",I112-V112,V112-I112),"")</f>
        <v/>
      </c>
      <c r="AE112" s="44" t="str">
        <f>IF(OR(NOT(ISNUMBER(AA112)),NOT(ISNUMBER(X112))),"",IF(AA112&lt;0,IF(F112="空",X112-J112,J112-X112),IF(NOT(ISNUMBER(K112)),"",IF(F112="空",X112-K112,K112-X112))))</f>
        <v/>
      </c>
      <c r="AF112" s="32" t="n"/>
      <c r="AG112" s="32" t="n"/>
      <c r="AH112" s="31" t="n"/>
      <c r="AI112" s="43" t="str">
        <f>IF(A112="","",SUM(AC$5:AC112))</f>
        <v/>
      </c>
      <c r="AJ112" s="45" t="str">
        <f>IF(A112="","",MAX(0,MAX(AI$5:AI112))-AI112)</f>
        <v/>
      </c>
    </row>
    <row r="113">
      <c r="A113" s="29" t="n"/>
      <c r="B113" s="30" t="n"/>
      <c r="C113" s="31" t="n"/>
      <c r="D113" s="32" t="n"/>
      <c r="E113" s="32" t="n"/>
      <c r="F113" s="32" t="n"/>
      <c r="G113" s="32" t="n"/>
      <c r="H113" s="32" t="n"/>
      <c r="I113" s="33" t="n"/>
      <c r="J113" s="33" t="n"/>
      <c r="K113" s="33" t="n"/>
      <c r="L113" s="34" t="str">
        <f>IF(AND(ISNUMBER(I113),ISNUMBER(J113),ISNUMBER(K113)),IF(OR(AND(F113="多",I113&gt;J113),AND(F113="空",I113&lt;J113)),ABS(K113-I113)/ABS(I113-J113),"止损方向不对"),"")</f>
        <v/>
      </c>
      <c r="M113" s="35" t="str">
        <f>IF(AND(ISNUMBER(I113),ISNUMBER(J113)),IF(I113=J113,"",IF(INT(ROUND('参数'!$C$7/(ABS(I113-J113)*IF(N(G113)&gt;0,G113,1)+2*(I113*IF(N(G113)&gt;0,G113,1)*'参数'!$C$12+'参数'!$C$13+'参数'!$C$14*IF(N(G113)&gt;0,G113,1)))/IF(N(H113)&gt;0,H113,1),6))*IF(N(H113)&gt;0,H113,1)&gt;0,INT(ROUND('参数'!$C$7/(ABS(I113-J113)*IF(N(G113)&gt;0,G113,1)+2*(I113*IF(N(G113)&gt;0,G113,1)*'参数'!$C$12+'参数'!$C$13+'参数'!$C$14*IF(N(G113)&gt;0,G113,1)))/IF(N(H113)&gt;0,H113,1),6))*IF(N(H113)&gt;0,H113,1),"预算不足，这笔不做")),"")</f>
        <v/>
      </c>
      <c r="N113" s="36" t="n"/>
      <c r="O113" s="20" t="str">
        <f>IF(AND(ISNUMBER(I113),ISNUMBER(J113),ISNUMBER(N113)),IF(AND(I113&lt;&gt;J113,N113&gt;0),ABS(I113-J113)*N113*IF(N(G113)&gt;0,G113,1),""),"")</f>
        <v/>
      </c>
      <c r="P113" s="31" t="n"/>
      <c r="Q113" s="32" t="n"/>
      <c r="R113" s="37" t="str">
        <f>IF(N(U113)&gt;0,SUMPRODUCT(LARGE(('成交明细'!$A$5:$A$804=A113)*('成交明细'!$D$5:$D$804=IF(F113="空","卖","买"))*'成交明细'!$B$5:$B$804,COUNTIFS('成交明细'!$A$5:$A$804,A113,'成交明细'!$D$5:$D$804,IF(F113="空","卖","买")))),"")</f>
        <v/>
      </c>
      <c r="S113" s="37" t="str">
        <f>IF(AND(N(U113)&gt;0,N(W113)&gt;=N(U113)),SUMPRODUCT(MAX(('成交明细'!$A$5:$A$804=A113)*('成交明细'!$D$5:$D$804=IF(F113="空","买","卖"))*'成交明细'!$B$5:$B$804)),"")</f>
        <v/>
      </c>
      <c r="T113" s="38" t="str">
        <f>IF(N(U113)=0,"",IF(SUMPRODUCT(('成交明细'!$A$5:$A$804=A113)*('成交明细'!$D$5:$D$804=IF(F113="空","卖","买"))*ISNUMBER('成交明细'!$C$5:$C$804))=0,"没填时间",IFERROR(VLOOKUP(MOD(SUMPRODUCT(LARGE(('成交明细'!$A$5:$A$804=A113)*('成交明细'!$D$5:$D$804=IF(F113="空","卖","买"))*('成交明细'!$B$5:$B$804+'成交明细'!$C$5:$C$804),COUNTIFS('成交明细'!$A$5:$A$804,A113,'成交明细'!$D$5:$D$804,IF(F113="空","卖","买")))),1),'参数'!$B$39:$C$48,2,TRUE),"")))</f>
        <v/>
      </c>
      <c r="U113" s="35" t="str">
        <f>IF(A113="","",SUMIFS('成交明细'!$F$5:$F$804,'成交明细'!$A$5:$A$804,A113,'成交明细'!$D$5:$D$804,IF(F113="空","卖","买")))</f>
        <v/>
      </c>
      <c r="V113" s="39" t="str">
        <f>IF(N(U113)&gt;0,SUMIFS('成交明细'!$H$5:$H$804,'成交明细'!$A$5:$A$804,A113,'成交明细'!$D$5:$D$804,IF(F113="空","卖","买"))/U113,"")</f>
        <v/>
      </c>
      <c r="W113" s="35" t="str">
        <f>IF(A113="","",SUMIFS('成交明细'!$F$5:$F$804,'成交明细'!$A$5:$A$804,A113,'成交明细'!$D$5:$D$804,IF(F113="空","买","卖")))</f>
        <v/>
      </c>
      <c r="X113" s="39" t="str">
        <f>IF(N(W113)&gt;0,SUMIFS('成交明细'!$H$5:$H$804,'成交明细'!$A$5:$A$804,A113,'成交明细'!$D$5:$D$804,IF(F113="空","买","卖"))/W113,"")</f>
        <v/>
      </c>
      <c r="Y113" s="40" t="str">
        <f>IF(A113="","",IF(Q113&lt;&gt;"已执行",IF(Q113="","未填执行情况",Q113),IF(N(U113)=0,"待录成交",IF(N(W113)&gt;N(U113),"平仓多于开仓",IF(N(W113)&lt;N(U113),"持仓中","已平仓")))))</f>
        <v/>
      </c>
      <c r="Z113" s="41" t="str">
        <f>IF(N(U113)=0,"",SUMIFS('成交明细'!$L$5:$L$804,'成交明细'!$A$5:$A$804,A113))</f>
        <v/>
      </c>
      <c r="AA113" s="42" t="str">
        <f>IF(Y113&lt;&gt;"已平仓","",(SUMIFS('成交明细'!$H$5:$H$804,'成交明细'!$A$5:$A$804,A113,'成交明细'!$D$5:$D$804,"卖")-SUMIFS('成交明细'!$H$5:$H$804,'成交明细'!$A$5:$A$804,A113,'成交明细'!$D$5:$D$804,"买"))*IF(N(G113)&gt;0,G113,1)-Z113)</f>
        <v/>
      </c>
      <c r="AB113" s="43" t="str">
        <f>IF(AND(Y113="已平仓",ISNUMBER(O113)),(SUMIFS('成交明细'!$H$5:$H$804,'成交明细'!$A$5:$A$804,A113,'成交明细'!$D$5:$D$804,"卖")-SUMIFS('成交明细'!$H$5:$H$804,'成交明细'!$A$5:$A$804,A113,'成交明细'!$D$5:$D$804,"买"))*IF(N(G113)&gt;0,G113,1)/O113,"")</f>
        <v/>
      </c>
      <c r="AC113" s="43" t="str">
        <f>IF(AND(Y113="已平仓",ISNUMBER(O113)),AA113/O113,"")</f>
        <v/>
      </c>
      <c r="AD113" s="44" t="str">
        <f>IF(AND(ISNUMBER(V113),ISNUMBER(I113)),IF(F113="空",I113-V113,V113-I113),"")</f>
        <v/>
      </c>
      <c r="AE113" s="44" t="str">
        <f>IF(OR(NOT(ISNUMBER(AA113)),NOT(ISNUMBER(X113))),"",IF(AA113&lt;0,IF(F113="空",X113-J113,J113-X113),IF(NOT(ISNUMBER(K113)),"",IF(F113="空",X113-K113,K113-X113))))</f>
        <v/>
      </c>
      <c r="AF113" s="32" t="n"/>
      <c r="AG113" s="32" t="n"/>
      <c r="AH113" s="31" t="n"/>
      <c r="AI113" s="43" t="str">
        <f>IF(A113="","",SUM(AC$5:AC113))</f>
        <v/>
      </c>
      <c r="AJ113" s="45" t="str">
        <f>IF(A113="","",MAX(0,MAX(AI$5:AI113))-AI113)</f>
        <v/>
      </c>
    </row>
    <row r="114">
      <c r="A114" s="29" t="n"/>
      <c r="B114" s="30" t="n"/>
      <c r="C114" s="31" t="n"/>
      <c r="D114" s="32" t="n"/>
      <c r="E114" s="32" t="n"/>
      <c r="F114" s="32" t="n"/>
      <c r="G114" s="32" t="n"/>
      <c r="H114" s="32" t="n"/>
      <c r="I114" s="33" t="n"/>
      <c r="J114" s="33" t="n"/>
      <c r="K114" s="33" t="n"/>
      <c r="L114" s="34" t="str">
        <f>IF(AND(ISNUMBER(I114),ISNUMBER(J114),ISNUMBER(K114)),IF(OR(AND(F114="多",I114&gt;J114),AND(F114="空",I114&lt;J114)),ABS(K114-I114)/ABS(I114-J114),"止损方向不对"),"")</f>
        <v/>
      </c>
      <c r="M114" s="35" t="str">
        <f>IF(AND(ISNUMBER(I114),ISNUMBER(J114)),IF(I114=J114,"",IF(INT(ROUND('参数'!$C$7/(ABS(I114-J114)*IF(N(G114)&gt;0,G114,1)+2*(I114*IF(N(G114)&gt;0,G114,1)*'参数'!$C$12+'参数'!$C$13+'参数'!$C$14*IF(N(G114)&gt;0,G114,1)))/IF(N(H114)&gt;0,H114,1),6))*IF(N(H114)&gt;0,H114,1)&gt;0,INT(ROUND('参数'!$C$7/(ABS(I114-J114)*IF(N(G114)&gt;0,G114,1)+2*(I114*IF(N(G114)&gt;0,G114,1)*'参数'!$C$12+'参数'!$C$13+'参数'!$C$14*IF(N(G114)&gt;0,G114,1)))/IF(N(H114)&gt;0,H114,1),6))*IF(N(H114)&gt;0,H114,1),"预算不足，这笔不做")),"")</f>
        <v/>
      </c>
      <c r="N114" s="36" t="n"/>
      <c r="O114" s="20" t="str">
        <f>IF(AND(ISNUMBER(I114),ISNUMBER(J114),ISNUMBER(N114)),IF(AND(I114&lt;&gt;J114,N114&gt;0),ABS(I114-J114)*N114*IF(N(G114)&gt;0,G114,1),""),"")</f>
        <v/>
      </c>
      <c r="P114" s="31" t="n"/>
      <c r="Q114" s="32" t="n"/>
      <c r="R114" s="37" t="str">
        <f>IF(N(U114)&gt;0,SUMPRODUCT(LARGE(('成交明细'!$A$5:$A$804=A114)*('成交明细'!$D$5:$D$804=IF(F114="空","卖","买"))*'成交明细'!$B$5:$B$804,COUNTIFS('成交明细'!$A$5:$A$804,A114,'成交明细'!$D$5:$D$804,IF(F114="空","卖","买")))),"")</f>
        <v/>
      </c>
      <c r="S114" s="37" t="str">
        <f>IF(AND(N(U114)&gt;0,N(W114)&gt;=N(U114)),SUMPRODUCT(MAX(('成交明细'!$A$5:$A$804=A114)*('成交明细'!$D$5:$D$804=IF(F114="空","买","卖"))*'成交明细'!$B$5:$B$804)),"")</f>
        <v/>
      </c>
      <c r="T114" s="38" t="str">
        <f>IF(N(U114)=0,"",IF(SUMPRODUCT(('成交明细'!$A$5:$A$804=A114)*('成交明细'!$D$5:$D$804=IF(F114="空","卖","买"))*ISNUMBER('成交明细'!$C$5:$C$804))=0,"没填时间",IFERROR(VLOOKUP(MOD(SUMPRODUCT(LARGE(('成交明细'!$A$5:$A$804=A114)*('成交明细'!$D$5:$D$804=IF(F114="空","卖","买"))*('成交明细'!$B$5:$B$804+'成交明细'!$C$5:$C$804),COUNTIFS('成交明细'!$A$5:$A$804,A114,'成交明细'!$D$5:$D$804,IF(F114="空","卖","买")))),1),'参数'!$B$39:$C$48,2,TRUE),"")))</f>
        <v/>
      </c>
      <c r="U114" s="35" t="str">
        <f>IF(A114="","",SUMIFS('成交明细'!$F$5:$F$804,'成交明细'!$A$5:$A$804,A114,'成交明细'!$D$5:$D$804,IF(F114="空","卖","买")))</f>
        <v/>
      </c>
      <c r="V114" s="39" t="str">
        <f>IF(N(U114)&gt;0,SUMIFS('成交明细'!$H$5:$H$804,'成交明细'!$A$5:$A$804,A114,'成交明细'!$D$5:$D$804,IF(F114="空","卖","买"))/U114,"")</f>
        <v/>
      </c>
      <c r="W114" s="35" t="str">
        <f>IF(A114="","",SUMIFS('成交明细'!$F$5:$F$804,'成交明细'!$A$5:$A$804,A114,'成交明细'!$D$5:$D$804,IF(F114="空","买","卖")))</f>
        <v/>
      </c>
      <c r="X114" s="39" t="str">
        <f>IF(N(W114)&gt;0,SUMIFS('成交明细'!$H$5:$H$804,'成交明细'!$A$5:$A$804,A114,'成交明细'!$D$5:$D$804,IF(F114="空","买","卖"))/W114,"")</f>
        <v/>
      </c>
      <c r="Y114" s="40" t="str">
        <f>IF(A114="","",IF(Q114&lt;&gt;"已执行",IF(Q114="","未填执行情况",Q114),IF(N(U114)=0,"待录成交",IF(N(W114)&gt;N(U114),"平仓多于开仓",IF(N(W114)&lt;N(U114),"持仓中","已平仓")))))</f>
        <v/>
      </c>
      <c r="Z114" s="41" t="str">
        <f>IF(N(U114)=0,"",SUMIFS('成交明细'!$L$5:$L$804,'成交明细'!$A$5:$A$804,A114))</f>
        <v/>
      </c>
      <c r="AA114" s="42" t="str">
        <f>IF(Y114&lt;&gt;"已平仓","",(SUMIFS('成交明细'!$H$5:$H$804,'成交明细'!$A$5:$A$804,A114,'成交明细'!$D$5:$D$804,"卖")-SUMIFS('成交明细'!$H$5:$H$804,'成交明细'!$A$5:$A$804,A114,'成交明细'!$D$5:$D$804,"买"))*IF(N(G114)&gt;0,G114,1)-Z114)</f>
        <v/>
      </c>
      <c r="AB114" s="43" t="str">
        <f>IF(AND(Y114="已平仓",ISNUMBER(O114)),(SUMIFS('成交明细'!$H$5:$H$804,'成交明细'!$A$5:$A$804,A114,'成交明细'!$D$5:$D$804,"卖")-SUMIFS('成交明细'!$H$5:$H$804,'成交明细'!$A$5:$A$804,A114,'成交明细'!$D$5:$D$804,"买"))*IF(N(G114)&gt;0,G114,1)/O114,"")</f>
        <v/>
      </c>
      <c r="AC114" s="43" t="str">
        <f>IF(AND(Y114="已平仓",ISNUMBER(O114)),AA114/O114,"")</f>
        <v/>
      </c>
      <c r="AD114" s="44" t="str">
        <f>IF(AND(ISNUMBER(V114),ISNUMBER(I114)),IF(F114="空",I114-V114,V114-I114),"")</f>
        <v/>
      </c>
      <c r="AE114" s="44" t="str">
        <f>IF(OR(NOT(ISNUMBER(AA114)),NOT(ISNUMBER(X114))),"",IF(AA114&lt;0,IF(F114="空",X114-J114,J114-X114),IF(NOT(ISNUMBER(K114)),"",IF(F114="空",X114-K114,K114-X114))))</f>
        <v/>
      </c>
      <c r="AF114" s="32" t="n"/>
      <c r="AG114" s="32" t="n"/>
      <c r="AH114" s="31" t="n"/>
      <c r="AI114" s="43" t="str">
        <f>IF(A114="","",SUM(AC$5:AC114))</f>
        <v/>
      </c>
      <c r="AJ114" s="45" t="str">
        <f>IF(A114="","",MAX(0,MAX(AI$5:AI114))-AI114)</f>
        <v/>
      </c>
    </row>
    <row r="115">
      <c r="A115" s="29" t="n"/>
      <c r="B115" s="30" t="n"/>
      <c r="C115" s="31" t="n"/>
      <c r="D115" s="32" t="n"/>
      <c r="E115" s="32" t="n"/>
      <c r="F115" s="32" t="n"/>
      <c r="G115" s="32" t="n"/>
      <c r="H115" s="32" t="n"/>
      <c r="I115" s="33" t="n"/>
      <c r="J115" s="33" t="n"/>
      <c r="K115" s="33" t="n"/>
      <c r="L115" s="34" t="str">
        <f>IF(AND(ISNUMBER(I115),ISNUMBER(J115),ISNUMBER(K115)),IF(OR(AND(F115="多",I115&gt;J115),AND(F115="空",I115&lt;J115)),ABS(K115-I115)/ABS(I115-J115),"止损方向不对"),"")</f>
        <v/>
      </c>
      <c r="M115" s="35" t="str">
        <f>IF(AND(ISNUMBER(I115),ISNUMBER(J115)),IF(I115=J115,"",IF(INT(ROUND('参数'!$C$7/(ABS(I115-J115)*IF(N(G115)&gt;0,G115,1)+2*(I115*IF(N(G115)&gt;0,G115,1)*'参数'!$C$12+'参数'!$C$13+'参数'!$C$14*IF(N(G115)&gt;0,G115,1)))/IF(N(H115)&gt;0,H115,1),6))*IF(N(H115)&gt;0,H115,1)&gt;0,INT(ROUND('参数'!$C$7/(ABS(I115-J115)*IF(N(G115)&gt;0,G115,1)+2*(I115*IF(N(G115)&gt;0,G115,1)*'参数'!$C$12+'参数'!$C$13+'参数'!$C$14*IF(N(G115)&gt;0,G115,1)))/IF(N(H115)&gt;0,H115,1),6))*IF(N(H115)&gt;0,H115,1),"预算不足，这笔不做")),"")</f>
        <v/>
      </c>
      <c r="N115" s="36" t="n"/>
      <c r="O115" s="20" t="str">
        <f>IF(AND(ISNUMBER(I115),ISNUMBER(J115),ISNUMBER(N115)),IF(AND(I115&lt;&gt;J115,N115&gt;0),ABS(I115-J115)*N115*IF(N(G115)&gt;0,G115,1),""),"")</f>
        <v/>
      </c>
      <c r="P115" s="31" t="n"/>
      <c r="Q115" s="32" t="n"/>
      <c r="R115" s="37" t="str">
        <f>IF(N(U115)&gt;0,SUMPRODUCT(LARGE(('成交明细'!$A$5:$A$804=A115)*('成交明细'!$D$5:$D$804=IF(F115="空","卖","买"))*'成交明细'!$B$5:$B$804,COUNTIFS('成交明细'!$A$5:$A$804,A115,'成交明细'!$D$5:$D$804,IF(F115="空","卖","买")))),"")</f>
        <v/>
      </c>
      <c r="S115" s="37" t="str">
        <f>IF(AND(N(U115)&gt;0,N(W115)&gt;=N(U115)),SUMPRODUCT(MAX(('成交明细'!$A$5:$A$804=A115)*('成交明细'!$D$5:$D$804=IF(F115="空","买","卖"))*'成交明细'!$B$5:$B$804)),"")</f>
        <v/>
      </c>
      <c r="T115" s="38" t="str">
        <f>IF(N(U115)=0,"",IF(SUMPRODUCT(('成交明细'!$A$5:$A$804=A115)*('成交明细'!$D$5:$D$804=IF(F115="空","卖","买"))*ISNUMBER('成交明细'!$C$5:$C$804))=0,"没填时间",IFERROR(VLOOKUP(MOD(SUMPRODUCT(LARGE(('成交明细'!$A$5:$A$804=A115)*('成交明细'!$D$5:$D$804=IF(F115="空","卖","买"))*('成交明细'!$B$5:$B$804+'成交明细'!$C$5:$C$804),COUNTIFS('成交明细'!$A$5:$A$804,A115,'成交明细'!$D$5:$D$804,IF(F115="空","卖","买")))),1),'参数'!$B$39:$C$48,2,TRUE),"")))</f>
        <v/>
      </c>
      <c r="U115" s="35" t="str">
        <f>IF(A115="","",SUMIFS('成交明细'!$F$5:$F$804,'成交明细'!$A$5:$A$804,A115,'成交明细'!$D$5:$D$804,IF(F115="空","卖","买")))</f>
        <v/>
      </c>
      <c r="V115" s="39" t="str">
        <f>IF(N(U115)&gt;0,SUMIFS('成交明细'!$H$5:$H$804,'成交明细'!$A$5:$A$804,A115,'成交明细'!$D$5:$D$804,IF(F115="空","卖","买"))/U115,"")</f>
        <v/>
      </c>
      <c r="W115" s="35" t="str">
        <f>IF(A115="","",SUMIFS('成交明细'!$F$5:$F$804,'成交明细'!$A$5:$A$804,A115,'成交明细'!$D$5:$D$804,IF(F115="空","买","卖")))</f>
        <v/>
      </c>
      <c r="X115" s="39" t="str">
        <f>IF(N(W115)&gt;0,SUMIFS('成交明细'!$H$5:$H$804,'成交明细'!$A$5:$A$804,A115,'成交明细'!$D$5:$D$804,IF(F115="空","买","卖"))/W115,"")</f>
        <v/>
      </c>
      <c r="Y115" s="40" t="str">
        <f>IF(A115="","",IF(Q115&lt;&gt;"已执行",IF(Q115="","未填执行情况",Q115),IF(N(U115)=0,"待录成交",IF(N(W115)&gt;N(U115),"平仓多于开仓",IF(N(W115)&lt;N(U115),"持仓中","已平仓")))))</f>
        <v/>
      </c>
      <c r="Z115" s="41" t="str">
        <f>IF(N(U115)=0,"",SUMIFS('成交明细'!$L$5:$L$804,'成交明细'!$A$5:$A$804,A115))</f>
        <v/>
      </c>
      <c r="AA115" s="42" t="str">
        <f>IF(Y115&lt;&gt;"已平仓","",(SUMIFS('成交明细'!$H$5:$H$804,'成交明细'!$A$5:$A$804,A115,'成交明细'!$D$5:$D$804,"卖")-SUMIFS('成交明细'!$H$5:$H$804,'成交明细'!$A$5:$A$804,A115,'成交明细'!$D$5:$D$804,"买"))*IF(N(G115)&gt;0,G115,1)-Z115)</f>
        <v/>
      </c>
      <c r="AB115" s="43" t="str">
        <f>IF(AND(Y115="已平仓",ISNUMBER(O115)),(SUMIFS('成交明细'!$H$5:$H$804,'成交明细'!$A$5:$A$804,A115,'成交明细'!$D$5:$D$804,"卖")-SUMIFS('成交明细'!$H$5:$H$804,'成交明细'!$A$5:$A$804,A115,'成交明细'!$D$5:$D$804,"买"))*IF(N(G115)&gt;0,G115,1)/O115,"")</f>
        <v/>
      </c>
      <c r="AC115" s="43" t="str">
        <f>IF(AND(Y115="已平仓",ISNUMBER(O115)),AA115/O115,"")</f>
        <v/>
      </c>
      <c r="AD115" s="44" t="str">
        <f>IF(AND(ISNUMBER(V115),ISNUMBER(I115)),IF(F115="空",I115-V115,V115-I115),"")</f>
        <v/>
      </c>
      <c r="AE115" s="44" t="str">
        <f>IF(OR(NOT(ISNUMBER(AA115)),NOT(ISNUMBER(X115))),"",IF(AA115&lt;0,IF(F115="空",X115-J115,J115-X115),IF(NOT(ISNUMBER(K115)),"",IF(F115="空",X115-K115,K115-X115))))</f>
        <v/>
      </c>
      <c r="AF115" s="32" t="n"/>
      <c r="AG115" s="32" t="n"/>
      <c r="AH115" s="31" t="n"/>
      <c r="AI115" s="43" t="str">
        <f>IF(A115="","",SUM(AC$5:AC115))</f>
        <v/>
      </c>
      <c r="AJ115" s="45" t="str">
        <f>IF(A115="","",MAX(0,MAX(AI$5:AI115))-AI115)</f>
        <v/>
      </c>
    </row>
    <row r="116">
      <c r="A116" s="29" t="n"/>
      <c r="B116" s="30" t="n"/>
      <c r="C116" s="31" t="n"/>
      <c r="D116" s="32" t="n"/>
      <c r="E116" s="32" t="n"/>
      <c r="F116" s="32" t="n"/>
      <c r="G116" s="32" t="n"/>
      <c r="H116" s="32" t="n"/>
      <c r="I116" s="33" t="n"/>
      <c r="J116" s="33" t="n"/>
      <c r="K116" s="33" t="n"/>
      <c r="L116" s="34" t="str">
        <f>IF(AND(ISNUMBER(I116),ISNUMBER(J116),ISNUMBER(K116)),IF(OR(AND(F116="多",I116&gt;J116),AND(F116="空",I116&lt;J116)),ABS(K116-I116)/ABS(I116-J116),"止损方向不对"),"")</f>
        <v/>
      </c>
      <c r="M116" s="35" t="str">
        <f>IF(AND(ISNUMBER(I116),ISNUMBER(J116)),IF(I116=J116,"",IF(INT(ROUND('参数'!$C$7/(ABS(I116-J116)*IF(N(G116)&gt;0,G116,1)+2*(I116*IF(N(G116)&gt;0,G116,1)*'参数'!$C$12+'参数'!$C$13+'参数'!$C$14*IF(N(G116)&gt;0,G116,1)))/IF(N(H116)&gt;0,H116,1),6))*IF(N(H116)&gt;0,H116,1)&gt;0,INT(ROUND('参数'!$C$7/(ABS(I116-J116)*IF(N(G116)&gt;0,G116,1)+2*(I116*IF(N(G116)&gt;0,G116,1)*'参数'!$C$12+'参数'!$C$13+'参数'!$C$14*IF(N(G116)&gt;0,G116,1)))/IF(N(H116)&gt;0,H116,1),6))*IF(N(H116)&gt;0,H116,1),"预算不足，这笔不做")),"")</f>
        <v/>
      </c>
      <c r="N116" s="36" t="n"/>
      <c r="O116" s="20" t="str">
        <f>IF(AND(ISNUMBER(I116),ISNUMBER(J116),ISNUMBER(N116)),IF(AND(I116&lt;&gt;J116,N116&gt;0),ABS(I116-J116)*N116*IF(N(G116)&gt;0,G116,1),""),"")</f>
        <v/>
      </c>
      <c r="P116" s="31" t="n"/>
      <c r="Q116" s="32" t="n"/>
      <c r="R116" s="37" t="str">
        <f>IF(N(U116)&gt;0,SUMPRODUCT(LARGE(('成交明细'!$A$5:$A$804=A116)*('成交明细'!$D$5:$D$804=IF(F116="空","卖","买"))*'成交明细'!$B$5:$B$804,COUNTIFS('成交明细'!$A$5:$A$804,A116,'成交明细'!$D$5:$D$804,IF(F116="空","卖","买")))),"")</f>
        <v/>
      </c>
      <c r="S116" s="37" t="str">
        <f>IF(AND(N(U116)&gt;0,N(W116)&gt;=N(U116)),SUMPRODUCT(MAX(('成交明细'!$A$5:$A$804=A116)*('成交明细'!$D$5:$D$804=IF(F116="空","买","卖"))*'成交明细'!$B$5:$B$804)),"")</f>
        <v/>
      </c>
      <c r="T116" s="38" t="str">
        <f>IF(N(U116)=0,"",IF(SUMPRODUCT(('成交明细'!$A$5:$A$804=A116)*('成交明细'!$D$5:$D$804=IF(F116="空","卖","买"))*ISNUMBER('成交明细'!$C$5:$C$804))=0,"没填时间",IFERROR(VLOOKUP(MOD(SUMPRODUCT(LARGE(('成交明细'!$A$5:$A$804=A116)*('成交明细'!$D$5:$D$804=IF(F116="空","卖","买"))*('成交明细'!$B$5:$B$804+'成交明细'!$C$5:$C$804),COUNTIFS('成交明细'!$A$5:$A$804,A116,'成交明细'!$D$5:$D$804,IF(F116="空","卖","买")))),1),'参数'!$B$39:$C$48,2,TRUE),"")))</f>
        <v/>
      </c>
      <c r="U116" s="35" t="str">
        <f>IF(A116="","",SUMIFS('成交明细'!$F$5:$F$804,'成交明细'!$A$5:$A$804,A116,'成交明细'!$D$5:$D$804,IF(F116="空","卖","买")))</f>
        <v/>
      </c>
      <c r="V116" s="39" t="str">
        <f>IF(N(U116)&gt;0,SUMIFS('成交明细'!$H$5:$H$804,'成交明细'!$A$5:$A$804,A116,'成交明细'!$D$5:$D$804,IF(F116="空","卖","买"))/U116,"")</f>
        <v/>
      </c>
      <c r="W116" s="35" t="str">
        <f>IF(A116="","",SUMIFS('成交明细'!$F$5:$F$804,'成交明细'!$A$5:$A$804,A116,'成交明细'!$D$5:$D$804,IF(F116="空","买","卖")))</f>
        <v/>
      </c>
      <c r="X116" s="39" t="str">
        <f>IF(N(W116)&gt;0,SUMIFS('成交明细'!$H$5:$H$804,'成交明细'!$A$5:$A$804,A116,'成交明细'!$D$5:$D$804,IF(F116="空","买","卖"))/W116,"")</f>
        <v/>
      </c>
      <c r="Y116" s="40" t="str">
        <f>IF(A116="","",IF(Q116&lt;&gt;"已执行",IF(Q116="","未填执行情况",Q116),IF(N(U116)=0,"待录成交",IF(N(W116)&gt;N(U116),"平仓多于开仓",IF(N(W116)&lt;N(U116),"持仓中","已平仓")))))</f>
        <v/>
      </c>
      <c r="Z116" s="41" t="str">
        <f>IF(N(U116)=0,"",SUMIFS('成交明细'!$L$5:$L$804,'成交明细'!$A$5:$A$804,A116))</f>
        <v/>
      </c>
      <c r="AA116" s="42" t="str">
        <f>IF(Y116&lt;&gt;"已平仓","",(SUMIFS('成交明细'!$H$5:$H$804,'成交明细'!$A$5:$A$804,A116,'成交明细'!$D$5:$D$804,"卖")-SUMIFS('成交明细'!$H$5:$H$804,'成交明细'!$A$5:$A$804,A116,'成交明细'!$D$5:$D$804,"买"))*IF(N(G116)&gt;0,G116,1)-Z116)</f>
        <v/>
      </c>
      <c r="AB116" s="43" t="str">
        <f>IF(AND(Y116="已平仓",ISNUMBER(O116)),(SUMIFS('成交明细'!$H$5:$H$804,'成交明细'!$A$5:$A$804,A116,'成交明细'!$D$5:$D$804,"卖")-SUMIFS('成交明细'!$H$5:$H$804,'成交明细'!$A$5:$A$804,A116,'成交明细'!$D$5:$D$804,"买"))*IF(N(G116)&gt;0,G116,1)/O116,"")</f>
        <v/>
      </c>
      <c r="AC116" s="43" t="str">
        <f>IF(AND(Y116="已平仓",ISNUMBER(O116)),AA116/O116,"")</f>
        <v/>
      </c>
      <c r="AD116" s="44" t="str">
        <f>IF(AND(ISNUMBER(V116),ISNUMBER(I116)),IF(F116="空",I116-V116,V116-I116),"")</f>
        <v/>
      </c>
      <c r="AE116" s="44" t="str">
        <f>IF(OR(NOT(ISNUMBER(AA116)),NOT(ISNUMBER(X116))),"",IF(AA116&lt;0,IF(F116="空",X116-J116,J116-X116),IF(NOT(ISNUMBER(K116)),"",IF(F116="空",X116-K116,K116-X116))))</f>
        <v/>
      </c>
      <c r="AF116" s="32" t="n"/>
      <c r="AG116" s="32" t="n"/>
      <c r="AH116" s="31" t="n"/>
      <c r="AI116" s="43" t="str">
        <f>IF(A116="","",SUM(AC$5:AC116))</f>
        <v/>
      </c>
      <c r="AJ116" s="45" t="str">
        <f>IF(A116="","",MAX(0,MAX(AI$5:AI116))-AI116)</f>
        <v/>
      </c>
    </row>
    <row r="117">
      <c r="A117" s="29" t="n"/>
      <c r="B117" s="30" t="n"/>
      <c r="C117" s="31" t="n"/>
      <c r="D117" s="32" t="n"/>
      <c r="E117" s="32" t="n"/>
      <c r="F117" s="32" t="n"/>
      <c r="G117" s="32" t="n"/>
      <c r="H117" s="32" t="n"/>
      <c r="I117" s="33" t="n"/>
      <c r="J117" s="33" t="n"/>
      <c r="K117" s="33" t="n"/>
      <c r="L117" s="34" t="str">
        <f>IF(AND(ISNUMBER(I117),ISNUMBER(J117),ISNUMBER(K117)),IF(OR(AND(F117="多",I117&gt;J117),AND(F117="空",I117&lt;J117)),ABS(K117-I117)/ABS(I117-J117),"止损方向不对"),"")</f>
        <v/>
      </c>
      <c r="M117" s="35" t="str">
        <f>IF(AND(ISNUMBER(I117),ISNUMBER(J117)),IF(I117=J117,"",IF(INT(ROUND('参数'!$C$7/(ABS(I117-J117)*IF(N(G117)&gt;0,G117,1)+2*(I117*IF(N(G117)&gt;0,G117,1)*'参数'!$C$12+'参数'!$C$13+'参数'!$C$14*IF(N(G117)&gt;0,G117,1)))/IF(N(H117)&gt;0,H117,1),6))*IF(N(H117)&gt;0,H117,1)&gt;0,INT(ROUND('参数'!$C$7/(ABS(I117-J117)*IF(N(G117)&gt;0,G117,1)+2*(I117*IF(N(G117)&gt;0,G117,1)*'参数'!$C$12+'参数'!$C$13+'参数'!$C$14*IF(N(G117)&gt;0,G117,1)))/IF(N(H117)&gt;0,H117,1),6))*IF(N(H117)&gt;0,H117,1),"预算不足，这笔不做")),"")</f>
        <v/>
      </c>
      <c r="N117" s="36" t="n"/>
      <c r="O117" s="20" t="str">
        <f>IF(AND(ISNUMBER(I117),ISNUMBER(J117),ISNUMBER(N117)),IF(AND(I117&lt;&gt;J117,N117&gt;0),ABS(I117-J117)*N117*IF(N(G117)&gt;0,G117,1),""),"")</f>
        <v/>
      </c>
      <c r="P117" s="31" t="n"/>
      <c r="Q117" s="32" t="n"/>
      <c r="R117" s="37" t="str">
        <f>IF(N(U117)&gt;0,SUMPRODUCT(LARGE(('成交明细'!$A$5:$A$804=A117)*('成交明细'!$D$5:$D$804=IF(F117="空","卖","买"))*'成交明细'!$B$5:$B$804,COUNTIFS('成交明细'!$A$5:$A$804,A117,'成交明细'!$D$5:$D$804,IF(F117="空","卖","买")))),"")</f>
        <v/>
      </c>
      <c r="S117" s="37" t="str">
        <f>IF(AND(N(U117)&gt;0,N(W117)&gt;=N(U117)),SUMPRODUCT(MAX(('成交明细'!$A$5:$A$804=A117)*('成交明细'!$D$5:$D$804=IF(F117="空","买","卖"))*'成交明细'!$B$5:$B$804)),"")</f>
        <v/>
      </c>
      <c r="T117" s="38" t="str">
        <f>IF(N(U117)=0,"",IF(SUMPRODUCT(('成交明细'!$A$5:$A$804=A117)*('成交明细'!$D$5:$D$804=IF(F117="空","卖","买"))*ISNUMBER('成交明细'!$C$5:$C$804))=0,"没填时间",IFERROR(VLOOKUP(MOD(SUMPRODUCT(LARGE(('成交明细'!$A$5:$A$804=A117)*('成交明细'!$D$5:$D$804=IF(F117="空","卖","买"))*('成交明细'!$B$5:$B$804+'成交明细'!$C$5:$C$804),COUNTIFS('成交明细'!$A$5:$A$804,A117,'成交明细'!$D$5:$D$804,IF(F117="空","卖","买")))),1),'参数'!$B$39:$C$48,2,TRUE),"")))</f>
        <v/>
      </c>
      <c r="U117" s="35" t="str">
        <f>IF(A117="","",SUMIFS('成交明细'!$F$5:$F$804,'成交明细'!$A$5:$A$804,A117,'成交明细'!$D$5:$D$804,IF(F117="空","卖","买")))</f>
        <v/>
      </c>
      <c r="V117" s="39" t="str">
        <f>IF(N(U117)&gt;0,SUMIFS('成交明细'!$H$5:$H$804,'成交明细'!$A$5:$A$804,A117,'成交明细'!$D$5:$D$804,IF(F117="空","卖","买"))/U117,"")</f>
        <v/>
      </c>
      <c r="W117" s="35" t="str">
        <f>IF(A117="","",SUMIFS('成交明细'!$F$5:$F$804,'成交明细'!$A$5:$A$804,A117,'成交明细'!$D$5:$D$804,IF(F117="空","买","卖")))</f>
        <v/>
      </c>
      <c r="X117" s="39" t="str">
        <f>IF(N(W117)&gt;0,SUMIFS('成交明细'!$H$5:$H$804,'成交明细'!$A$5:$A$804,A117,'成交明细'!$D$5:$D$804,IF(F117="空","买","卖"))/W117,"")</f>
        <v/>
      </c>
      <c r="Y117" s="40" t="str">
        <f>IF(A117="","",IF(Q117&lt;&gt;"已执行",IF(Q117="","未填执行情况",Q117),IF(N(U117)=0,"待录成交",IF(N(W117)&gt;N(U117),"平仓多于开仓",IF(N(W117)&lt;N(U117),"持仓中","已平仓")))))</f>
        <v/>
      </c>
      <c r="Z117" s="41" t="str">
        <f>IF(N(U117)=0,"",SUMIFS('成交明细'!$L$5:$L$804,'成交明细'!$A$5:$A$804,A117))</f>
        <v/>
      </c>
      <c r="AA117" s="42" t="str">
        <f>IF(Y117&lt;&gt;"已平仓","",(SUMIFS('成交明细'!$H$5:$H$804,'成交明细'!$A$5:$A$804,A117,'成交明细'!$D$5:$D$804,"卖")-SUMIFS('成交明细'!$H$5:$H$804,'成交明细'!$A$5:$A$804,A117,'成交明细'!$D$5:$D$804,"买"))*IF(N(G117)&gt;0,G117,1)-Z117)</f>
        <v/>
      </c>
      <c r="AB117" s="43" t="str">
        <f>IF(AND(Y117="已平仓",ISNUMBER(O117)),(SUMIFS('成交明细'!$H$5:$H$804,'成交明细'!$A$5:$A$804,A117,'成交明细'!$D$5:$D$804,"卖")-SUMIFS('成交明细'!$H$5:$H$804,'成交明细'!$A$5:$A$804,A117,'成交明细'!$D$5:$D$804,"买"))*IF(N(G117)&gt;0,G117,1)/O117,"")</f>
        <v/>
      </c>
      <c r="AC117" s="43" t="str">
        <f>IF(AND(Y117="已平仓",ISNUMBER(O117)),AA117/O117,"")</f>
        <v/>
      </c>
      <c r="AD117" s="44" t="str">
        <f>IF(AND(ISNUMBER(V117),ISNUMBER(I117)),IF(F117="空",I117-V117,V117-I117),"")</f>
        <v/>
      </c>
      <c r="AE117" s="44" t="str">
        <f>IF(OR(NOT(ISNUMBER(AA117)),NOT(ISNUMBER(X117))),"",IF(AA117&lt;0,IF(F117="空",X117-J117,J117-X117),IF(NOT(ISNUMBER(K117)),"",IF(F117="空",X117-K117,K117-X117))))</f>
        <v/>
      </c>
      <c r="AF117" s="32" t="n"/>
      <c r="AG117" s="32" t="n"/>
      <c r="AH117" s="31" t="n"/>
      <c r="AI117" s="43" t="str">
        <f>IF(A117="","",SUM(AC$5:AC117))</f>
        <v/>
      </c>
      <c r="AJ117" s="45" t="str">
        <f>IF(A117="","",MAX(0,MAX(AI$5:AI117))-AI117)</f>
        <v/>
      </c>
    </row>
    <row r="118">
      <c r="A118" s="29" t="n"/>
      <c r="B118" s="30" t="n"/>
      <c r="C118" s="31" t="n"/>
      <c r="D118" s="32" t="n"/>
      <c r="E118" s="32" t="n"/>
      <c r="F118" s="32" t="n"/>
      <c r="G118" s="32" t="n"/>
      <c r="H118" s="32" t="n"/>
      <c r="I118" s="33" t="n"/>
      <c r="J118" s="33" t="n"/>
      <c r="K118" s="33" t="n"/>
      <c r="L118" s="34" t="str">
        <f>IF(AND(ISNUMBER(I118),ISNUMBER(J118),ISNUMBER(K118)),IF(OR(AND(F118="多",I118&gt;J118),AND(F118="空",I118&lt;J118)),ABS(K118-I118)/ABS(I118-J118),"止损方向不对"),"")</f>
        <v/>
      </c>
      <c r="M118" s="35" t="str">
        <f>IF(AND(ISNUMBER(I118),ISNUMBER(J118)),IF(I118=J118,"",IF(INT(ROUND('参数'!$C$7/(ABS(I118-J118)*IF(N(G118)&gt;0,G118,1)+2*(I118*IF(N(G118)&gt;0,G118,1)*'参数'!$C$12+'参数'!$C$13+'参数'!$C$14*IF(N(G118)&gt;0,G118,1)))/IF(N(H118)&gt;0,H118,1),6))*IF(N(H118)&gt;0,H118,1)&gt;0,INT(ROUND('参数'!$C$7/(ABS(I118-J118)*IF(N(G118)&gt;0,G118,1)+2*(I118*IF(N(G118)&gt;0,G118,1)*'参数'!$C$12+'参数'!$C$13+'参数'!$C$14*IF(N(G118)&gt;0,G118,1)))/IF(N(H118)&gt;0,H118,1),6))*IF(N(H118)&gt;0,H118,1),"预算不足，这笔不做")),"")</f>
        <v/>
      </c>
      <c r="N118" s="36" t="n"/>
      <c r="O118" s="20" t="str">
        <f>IF(AND(ISNUMBER(I118),ISNUMBER(J118),ISNUMBER(N118)),IF(AND(I118&lt;&gt;J118,N118&gt;0),ABS(I118-J118)*N118*IF(N(G118)&gt;0,G118,1),""),"")</f>
        <v/>
      </c>
      <c r="P118" s="31" t="n"/>
      <c r="Q118" s="32" t="n"/>
      <c r="R118" s="37" t="str">
        <f>IF(N(U118)&gt;0,SUMPRODUCT(LARGE(('成交明细'!$A$5:$A$804=A118)*('成交明细'!$D$5:$D$804=IF(F118="空","卖","买"))*'成交明细'!$B$5:$B$804,COUNTIFS('成交明细'!$A$5:$A$804,A118,'成交明细'!$D$5:$D$804,IF(F118="空","卖","买")))),"")</f>
        <v/>
      </c>
      <c r="S118" s="37" t="str">
        <f>IF(AND(N(U118)&gt;0,N(W118)&gt;=N(U118)),SUMPRODUCT(MAX(('成交明细'!$A$5:$A$804=A118)*('成交明细'!$D$5:$D$804=IF(F118="空","买","卖"))*'成交明细'!$B$5:$B$804)),"")</f>
        <v/>
      </c>
      <c r="T118" s="38" t="str">
        <f>IF(N(U118)=0,"",IF(SUMPRODUCT(('成交明细'!$A$5:$A$804=A118)*('成交明细'!$D$5:$D$804=IF(F118="空","卖","买"))*ISNUMBER('成交明细'!$C$5:$C$804))=0,"没填时间",IFERROR(VLOOKUP(MOD(SUMPRODUCT(LARGE(('成交明细'!$A$5:$A$804=A118)*('成交明细'!$D$5:$D$804=IF(F118="空","卖","买"))*('成交明细'!$B$5:$B$804+'成交明细'!$C$5:$C$804),COUNTIFS('成交明细'!$A$5:$A$804,A118,'成交明细'!$D$5:$D$804,IF(F118="空","卖","买")))),1),'参数'!$B$39:$C$48,2,TRUE),"")))</f>
        <v/>
      </c>
      <c r="U118" s="35" t="str">
        <f>IF(A118="","",SUMIFS('成交明细'!$F$5:$F$804,'成交明细'!$A$5:$A$804,A118,'成交明细'!$D$5:$D$804,IF(F118="空","卖","买")))</f>
        <v/>
      </c>
      <c r="V118" s="39" t="str">
        <f>IF(N(U118)&gt;0,SUMIFS('成交明细'!$H$5:$H$804,'成交明细'!$A$5:$A$804,A118,'成交明细'!$D$5:$D$804,IF(F118="空","卖","买"))/U118,"")</f>
        <v/>
      </c>
      <c r="W118" s="35" t="str">
        <f>IF(A118="","",SUMIFS('成交明细'!$F$5:$F$804,'成交明细'!$A$5:$A$804,A118,'成交明细'!$D$5:$D$804,IF(F118="空","买","卖")))</f>
        <v/>
      </c>
      <c r="X118" s="39" t="str">
        <f>IF(N(W118)&gt;0,SUMIFS('成交明细'!$H$5:$H$804,'成交明细'!$A$5:$A$804,A118,'成交明细'!$D$5:$D$804,IF(F118="空","买","卖"))/W118,"")</f>
        <v/>
      </c>
      <c r="Y118" s="40" t="str">
        <f>IF(A118="","",IF(Q118&lt;&gt;"已执行",IF(Q118="","未填执行情况",Q118),IF(N(U118)=0,"待录成交",IF(N(W118)&gt;N(U118),"平仓多于开仓",IF(N(W118)&lt;N(U118),"持仓中","已平仓")))))</f>
        <v/>
      </c>
      <c r="Z118" s="41" t="str">
        <f>IF(N(U118)=0,"",SUMIFS('成交明细'!$L$5:$L$804,'成交明细'!$A$5:$A$804,A118))</f>
        <v/>
      </c>
      <c r="AA118" s="42" t="str">
        <f>IF(Y118&lt;&gt;"已平仓","",(SUMIFS('成交明细'!$H$5:$H$804,'成交明细'!$A$5:$A$804,A118,'成交明细'!$D$5:$D$804,"卖")-SUMIFS('成交明细'!$H$5:$H$804,'成交明细'!$A$5:$A$804,A118,'成交明细'!$D$5:$D$804,"买"))*IF(N(G118)&gt;0,G118,1)-Z118)</f>
        <v/>
      </c>
      <c r="AB118" s="43" t="str">
        <f>IF(AND(Y118="已平仓",ISNUMBER(O118)),(SUMIFS('成交明细'!$H$5:$H$804,'成交明细'!$A$5:$A$804,A118,'成交明细'!$D$5:$D$804,"卖")-SUMIFS('成交明细'!$H$5:$H$804,'成交明细'!$A$5:$A$804,A118,'成交明细'!$D$5:$D$804,"买"))*IF(N(G118)&gt;0,G118,1)/O118,"")</f>
        <v/>
      </c>
      <c r="AC118" s="43" t="str">
        <f>IF(AND(Y118="已平仓",ISNUMBER(O118)),AA118/O118,"")</f>
        <v/>
      </c>
      <c r="AD118" s="44" t="str">
        <f>IF(AND(ISNUMBER(V118),ISNUMBER(I118)),IF(F118="空",I118-V118,V118-I118),"")</f>
        <v/>
      </c>
      <c r="AE118" s="44" t="str">
        <f>IF(OR(NOT(ISNUMBER(AA118)),NOT(ISNUMBER(X118))),"",IF(AA118&lt;0,IF(F118="空",X118-J118,J118-X118),IF(NOT(ISNUMBER(K118)),"",IF(F118="空",X118-K118,K118-X118))))</f>
        <v/>
      </c>
      <c r="AF118" s="32" t="n"/>
      <c r="AG118" s="32" t="n"/>
      <c r="AH118" s="31" t="n"/>
      <c r="AI118" s="43" t="str">
        <f>IF(A118="","",SUM(AC$5:AC118))</f>
        <v/>
      </c>
      <c r="AJ118" s="45" t="str">
        <f>IF(A118="","",MAX(0,MAX(AI$5:AI118))-AI118)</f>
        <v/>
      </c>
    </row>
    <row r="119">
      <c r="A119" s="29" t="n"/>
      <c r="B119" s="30" t="n"/>
      <c r="C119" s="31" t="n"/>
      <c r="D119" s="32" t="n"/>
      <c r="E119" s="32" t="n"/>
      <c r="F119" s="32" t="n"/>
      <c r="G119" s="32" t="n"/>
      <c r="H119" s="32" t="n"/>
      <c r="I119" s="33" t="n"/>
      <c r="J119" s="33" t="n"/>
      <c r="K119" s="33" t="n"/>
      <c r="L119" s="34" t="str">
        <f>IF(AND(ISNUMBER(I119),ISNUMBER(J119),ISNUMBER(K119)),IF(OR(AND(F119="多",I119&gt;J119),AND(F119="空",I119&lt;J119)),ABS(K119-I119)/ABS(I119-J119),"止损方向不对"),"")</f>
        <v/>
      </c>
      <c r="M119" s="35" t="str">
        <f>IF(AND(ISNUMBER(I119),ISNUMBER(J119)),IF(I119=J119,"",IF(INT(ROUND('参数'!$C$7/(ABS(I119-J119)*IF(N(G119)&gt;0,G119,1)+2*(I119*IF(N(G119)&gt;0,G119,1)*'参数'!$C$12+'参数'!$C$13+'参数'!$C$14*IF(N(G119)&gt;0,G119,1)))/IF(N(H119)&gt;0,H119,1),6))*IF(N(H119)&gt;0,H119,1)&gt;0,INT(ROUND('参数'!$C$7/(ABS(I119-J119)*IF(N(G119)&gt;0,G119,1)+2*(I119*IF(N(G119)&gt;0,G119,1)*'参数'!$C$12+'参数'!$C$13+'参数'!$C$14*IF(N(G119)&gt;0,G119,1)))/IF(N(H119)&gt;0,H119,1),6))*IF(N(H119)&gt;0,H119,1),"预算不足，这笔不做")),"")</f>
        <v/>
      </c>
      <c r="N119" s="36" t="n"/>
      <c r="O119" s="20" t="str">
        <f>IF(AND(ISNUMBER(I119),ISNUMBER(J119),ISNUMBER(N119)),IF(AND(I119&lt;&gt;J119,N119&gt;0),ABS(I119-J119)*N119*IF(N(G119)&gt;0,G119,1),""),"")</f>
        <v/>
      </c>
      <c r="P119" s="31" t="n"/>
      <c r="Q119" s="32" t="n"/>
      <c r="R119" s="37" t="str">
        <f>IF(N(U119)&gt;0,SUMPRODUCT(LARGE(('成交明细'!$A$5:$A$804=A119)*('成交明细'!$D$5:$D$804=IF(F119="空","卖","买"))*'成交明细'!$B$5:$B$804,COUNTIFS('成交明细'!$A$5:$A$804,A119,'成交明细'!$D$5:$D$804,IF(F119="空","卖","买")))),"")</f>
        <v/>
      </c>
      <c r="S119" s="37" t="str">
        <f>IF(AND(N(U119)&gt;0,N(W119)&gt;=N(U119)),SUMPRODUCT(MAX(('成交明细'!$A$5:$A$804=A119)*('成交明细'!$D$5:$D$804=IF(F119="空","买","卖"))*'成交明细'!$B$5:$B$804)),"")</f>
        <v/>
      </c>
      <c r="T119" s="38" t="str">
        <f>IF(N(U119)=0,"",IF(SUMPRODUCT(('成交明细'!$A$5:$A$804=A119)*('成交明细'!$D$5:$D$804=IF(F119="空","卖","买"))*ISNUMBER('成交明细'!$C$5:$C$804))=0,"没填时间",IFERROR(VLOOKUP(MOD(SUMPRODUCT(LARGE(('成交明细'!$A$5:$A$804=A119)*('成交明细'!$D$5:$D$804=IF(F119="空","卖","买"))*('成交明细'!$B$5:$B$804+'成交明细'!$C$5:$C$804),COUNTIFS('成交明细'!$A$5:$A$804,A119,'成交明细'!$D$5:$D$804,IF(F119="空","卖","买")))),1),'参数'!$B$39:$C$48,2,TRUE),"")))</f>
        <v/>
      </c>
      <c r="U119" s="35" t="str">
        <f>IF(A119="","",SUMIFS('成交明细'!$F$5:$F$804,'成交明细'!$A$5:$A$804,A119,'成交明细'!$D$5:$D$804,IF(F119="空","卖","买")))</f>
        <v/>
      </c>
      <c r="V119" s="39" t="str">
        <f>IF(N(U119)&gt;0,SUMIFS('成交明细'!$H$5:$H$804,'成交明细'!$A$5:$A$804,A119,'成交明细'!$D$5:$D$804,IF(F119="空","卖","买"))/U119,"")</f>
        <v/>
      </c>
      <c r="W119" s="35" t="str">
        <f>IF(A119="","",SUMIFS('成交明细'!$F$5:$F$804,'成交明细'!$A$5:$A$804,A119,'成交明细'!$D$5:$D$804,IF(F119="空","买","卖")))</f>
        <v/>
      </c>
      <c r="X119" s="39" t="str">
        <f>IF(N(W119)&gt;0,SUMIFS('成交明细'!$H$5:$H$804,'成交明细'!$A$5:$A$804,A119,'成交明细'!$D$5:$D$804,IF(F119="空","买","卖"))/W119,"")</f>
        <v/>
      </c>
      <c r="Y119" s="40" t="str">
        <f>IF(A119="","",IF(Q119&lt;&gt;"已执行",IF(Q119="","未填执行情况",Q119),IF(N(U119)=0,"待录成交",IF(N(W119)&gt;N(U119),"平仓多于开仓",IF(N(W119)&lt;N(U119),"持仓中","已平仓")))))</f>
        <v/>
      </c>
      <c r="Z119" s="41" t="str">
        <f>IF(N(U119)=0,"",SUMIFS('成交明细'!$L$5:$L$804,'成交明细'!$A$5:$A$804,A119))</f>
        <v/>
      </c>
      <c r="AA119" s="42" t="str">
        <f>IF(Y119&lt;&gt;"已平仓","",(SUMIFS('成交明细'!$H$5:$H$804,'成交明细'!$A$5:$A$804,A119,'成交明细'!$D$5:$D$804,"卖")-SUMIFS('成交明细'!$H$5:$H$804,'成交明细'!$A$5:$A$804,A119,'成交明细'!$D$5:$D$804,"买"))*IF(N(G119)&gt;0,G119,1)-Z119)</f>
        <v/>
      </c>
      <c r="AB119" s="43" t="str">
        <f>IF(AND(Y119="已平仓",ISNUMBER(O119)),(SUMIFS('成交明细'!$H$5:$H$804,'成交明细'!$A$5:$A$804,A119,'成交明细'!$D$5:$D$804,"卖")-SUMIFS('成交明细'!$H$5:$H$804,'成交明细'!$A$5:$A$804,A119,'成交明细'!$D$5:$D$804,"买"))*IF(N(G119)&gt;0,G119,1)/O119,"")</f>
        <v/>
      </c>
      <c r="AC119" s="43" t="str">
        <f>IF(AND(Y119="已平仓",ISNUMBER(O119)),AA119/O119,"")</f>
        <v/>
      </c>
      <c r="AD119" s="44" t="str">
        <f>IF(AND(ISNUMBER(V119),ISNUMBER(I119)),IF(F119="空",I119-V119,V119-I119),"")</f>
        <v/>
      </c>
      <c r="AE119" s="44" t="str">
        <f>IF(OR(NOT(ISNUMBER(AA119)),NOT(ISNUMBER(X119))),"",IF(AA119&lt;0,IF(F119="空",X119-J119,J119-X119),IF(NOT(ISNUMBER(K119)),"",IF(F119="空",X119-K119,K119-X119))))</f>
        <v/>
      </c>
      <c r="AF119" s="32" t="n"/>
      <c r="AG119" s="32" t="n"/>
      <c r="AH119" s="31" t="n"/>
      <c r="AI119" s="43" t="str">
        <f>IF(A119="","",SUM(AC$5:AC119))</f>
        <v/>
      </c>
      <c r="AJ119" s="45" t="str">
        <f>IF(A119="","",MAX(0,MAX(AI$5:AI119))-AI119)</f>
        <v/>
      </c>
    </row>
    <row r="120">
      <c r="A120" s="29" t="n"/>
      <c r="B120" s="30" t="n"/>
      <c r="C120" s="31" t="n"/>
      <c r="D120" s="32" t="n"/>
      <c r="E120" s="32" t="n"/>
      <c r="F120" s="32" t="n"/>
      <c r="G120" s="32" t="n"/>
      <c r="H120" s="32" t="n"/>
      <c r="I120" s="33" t="n"/>
      <c r="J120" s="33" t="n"/>
      <c r="K120" s="33" t="n"/>
      <c r="L120" s="34" t="str">
        <f>IF(AND(ISNUMBER(I120),ISNUMBER(J120),ISNUMBER(K120)),IF(OR(AND(F120="多",I120&gt;J120),AND(F120="空",I120&lt;J120)),ABS(K120-I120)/ABS(I120-J120),"止损方向不对"),"")</f>
        <v/>
      </c>
      <c r="M120" s="35" t="str">
        <f>IF(AND(ISNUMBER(I120),ISNUMBER(J120)),IF(I120=J120,"",IF(INT(ROUND('参数'!$C$7/(ABS(I120-J120)*IF(N(G120)&gt;0,G120,1)+2*(I120*IF(N(G120)&gt;0,G120,1)*'参数'!$C$12+'参数'!$C$13+'参数'!$C$14*IF(N(G120)&gt;0,G120,1)))/IF(N(H120)&gt;0,H120,1),6))*IF(N(H120)&gt;0,H120,1)&gt;0,INT(ROUND('参数'!$C$7/(ABS(I120-J120)*IF(N(G120)&gt;0,G120,1)+2*(I120*IF(N(G120)&gt;0,G120,1)*'参数'!$C$12+'参数'!$C$13+'参数'!$C$14*IF(N(G120)&gt;0,G120,1)))/IF(N(H120)&gt;0,H120,1),6))*IF(N(H120)&gt;0,H120,1),"预算不足，这笔不做")),"")</f>
        <v/>
      </c>
      <c r="N120" s="36" t="n"/>
      <c r="O120" s="20" t="str">
        <f>IF(AND(ISNUMBER(I120),ISNUMBER(J120),ISNUMBER(N120)),IF(AND(I120&lt;&gt;J120,N120&gt;0),ABS(I120-J120)*N120*IF(N(G120)&gt;0,G120,1),""),"")</f>
        <v/>
      </c>
      <c r="P120" s="31" t="n"/>
      <c r="Q120" s="32" t="n"/>
      <c r="R120" s="37" t="str">
        <f>IF(N(U120)&gt;0,SUMPRODUCT(LARGE(('成交明细'!$A$5:$A$804=A120)*('成交明细'!$D$5:$D$804=IF(F120="空","卖","买"))*'成交明细'!$B$5:$B$804,COUNTIFS('成交明细'!$A$5:$A$804,A120,'成交明细'!$D$5:$D$804,IF(F120="空","卖","买")))),"")</f>
        <v/>
      </c>
      <c r="S120" s="37" t="str">
        <f>IF(AND(N(U120)&gt;0,N(W120)&gt;=N(U120)),SUMPRODUCT(MAX(('成交明细'!$A$5:$A$804=A120)*('成交明细'!$D$5:$D$804=IF(F120="空","买","卖"))*'成交明细'!$B$5:$B$804)),"")</f>
        <v/>
      </c>
      <c r="T120" s="38" t="str">
        <f>IF(N(U120)=0,"",IF(SUMPRODUCT(('成交明细'!$A$5:$A$804=A120)*('成交明细'!$D$5:$D$804=IF(F120="空","卖","买"))*ISNUMBER('成交明细'!$C$5:$C$804))=0,"没填时间",IFERROR(VLOOKUP(MOD(SUMPRODUCT(LARGE(('成交明细'!$A$5:$A$804=A120)*('成交明细'!$D$5:$D$804=IF(F120="空","卖","买"))*('成交明细'!$B$5:$B$804+'成交明细'!$C$5:$C$804),COUNTIFS('成交明细'!$A$5:$A$804,A120,'成交明细'!$D$5:$D$804,IF(F120="空","卖","买")))),1),'参数'!$B$39:$C$48,2,TRUE),"")))</f>
        <v/>
      </c>
      <c r="U120" s="35" t="str">
        <f>IF(A120="","",SUMIFS('成交明细'!$F$5:$F$804,'成交明细'!$A$5:$A$804,A120,'成交明细'!$D$5:$D$804,IF(F120="空","卖","买")))</f>
        <v/>
      </c>
      <c r="V120" s="39" t="str">
        <f>IF(N(U120)&gt;0,SUMIFS('成交明细'!$H$5:$H$804,'成交明细'!$A$5:$A$804,A120,'成交明细'!$D$5:$D$804,IF(F120="空","卖","买"))/U120,"")</f>
        <v/>
      </c>
      <c r="W120" s="35" t="str">
        <f>IF(A120="","",SUMIFS('成交明细'!$F$5:$F$804,'成交明细'!$A$5:$A$804,A120,'成交明细'!$D$5:$D$804,IF(F120="空","买","卖")))</f>
        <v/>
      </c>
      <c r="X120" s="39" t="str">
        <f>IF(N(W120)&gt;0,SUMIFS('成交明细'!$H$5:$H$804,'成交明细'!$A$5:$A$804,A120,'成交明细'!$D$5:$D$804,IF(F120="空","买","卖"))/W120,"")</f>
        <v/>
      </c>
      <c r="Y120" s="40" t="str">
        <f>IF(A120="","",IF(Q120&lt;&gt;"已执行",IF(Q120="","未填执行情况",Q120),IF(N(U120)=0,"待录成交",IF(N(W120)&gt;N(U120),"平仓多于开仓",IF(N(W120)&lt;N(U120),"持仓中","已平仓")))))</f>
        <v/>
      </c>
      <c r="Z120" s="41" t="str">
        <f>IF(N(U120)=0,"",SUMIFS('成交明细'!$L$5:$L$804,'成交明细'!$A$5:$A$804,A120))</f>
        <v/>
      </c>
      <c r="AA120" s="42" t="str">
        <f>IF(Y120&lt;&gt;"已平仓","",(SUMIFS('成交明细'!$H$5:$H$804,'成交明细'!$A$5:$A$804,A120,'成交明细'!$D$5:$D$804,"卖")-SUMIFS('成交明细'!$H$5:$H$804,'成交明细'!$A$5:$A$804,A120,'成交明细'!$D$5:$D$804,"买"))*IF(N(G120)&gt;0,G120,1)-Z120)</f>
        <v/>
      </c>
      <c r="AB120" s="43" t="str">
        <f>IF(AND(Y120="已平仓",ISNUMBER(O120)),(SUMIFS('成交明细'!$H$5:$H$804,'成交明细'!$A$5:$A$804,A120,'成交明细'!$D$5:$D$804,"卖")-SUMIFS('成交明细'!$H$5:$H$804,'成交明细'!$A$5:$A$804,A120,'成交明细'!$D$5:$D$804,"买"))*IF(N(G120)&gt;0,G120,1)/O120,"")</f>
        <v/>
      </c>
      <c r="AC120" s="43" t="str">
        <f>IF(AND(Y120="已平仓",ISNUMBER(O120)),AA120/O120,"")</f>
        <v/>
      </c>
      <c r="AD120" s="44" t="str">
        <f>IF(AND(ISNUMBER(V120),ISNUMBER(I120)),IF(F120="空",I120-V120,V120-I120),"")</f>
        <v/>
      </c>
      <c r="AE120" s="44" t="str">
        <f>IF(OR(NOT(ISNUMBER(AA120)),NOT(ISNUMBER(X120))),"",IF(AA120&lt;0,IF(F120="空",X120-J120,J120-X120),IF(NOT(ISNUMBER(K120)),"",IF(F120="空",X120-K120,K120-X120))))</f>
        <v/>
      </c>
      <c r="AF120" s="32" t="n"/>
      <c r="AG120" s="32" t="n"/>
      <c r="AH120" s="31" t="n"/>
      <c r="AI120" s="43" t="str">
        <f>IF(A120="","",SUM(AC$5:AC120))</f>
        <v/>
      </c>
      <c r="AJ120" s="45" t="str">
        <f>IF(A120="","",MAX(0,MAX(AI$5:AI120))-AI120)</f>
        <v/>
      </c>
    </row>
    <row r="121">
      <c r="A121" s="29" t="n"/>
      <c r="B121" s="30" t="n"/>
      <c r="C121" s="31" t="n"/>
      <c r="D121" s="32" t="n"/>
      <c r="E121" s="32" t="n"/>
      <c r="F121" s="32" t="n"/>
      <c r="G121" s="32" t="n"/>
      <c r="H121" s="32" t="n"/>
      <c r="I121" s="33" t="n"/>
      <c r="J121" s="33" t="n"/>
      <c r="K121" s="33" t="n"/>
      <c r="L121" s="34" t="str">
        <f>IF(AND(ISNUMBER(I121),ISNUMBER(J121),ISNUMBER(K121)),IF(OR(AND(F121="多",I121&gt;J121),AND(F121="空",I121&lt;J121)),ABS(K121-I121)/ABS(I121-J121),"止损方向不对"),"")</f>
        <v/>
      </c>
      <c r="M121" s="35" t="str">
        <f>IF(AND(ISNUMBER(I121),ISNUMBER(J121)),IF(I121=J121,"",IF(INT(ROUND('参数'!$C$7/(ABS(I121-J121)*IF(N(G121)&gt;0,G121,1)+2*(I121*IF(N(G121)&gt;0,G121,1)*'参数'!$C$12+'参数'!$C$13+'参数'!$C$14*IF(N(G121)&gt;0,G121,1)))/IF(N(H121)&gt;0,H121,1),6))*IF(N(H121)&gt;0,H121,1)&gt;0,INT(ROUND('参数'!$C$7/(ABS(I121-J121)*IF(N(G121)&gt;0,G121,1)+2*(I121*IF(N(G121)&gt;0,G121,1)*'参数'!$C$12+'参数'!$C$13+'参数'!$C$14*IF(N(G121)&gt;0,G121,1)))/IF(N(H121)&gt;0,H121,1),6))*IF(N(H121)&gt;0,H121,1),"预算不足，这笔不做")),"")</f>
        <v/>
      </c>
      <c r="N121" s="36" t="n"/>
      <c r="O121" s="20" t="str">
        <f>IF(AND(ISNUMBER(I121),ISNUMBER(J121),ISNUMBER(N121)),IF(AND(I121&lt;&gt;J121,N121&gt;0),ABS(I121-J121)*N121*IF(N(G121)&gt;0,G121,1),""),"")</f>
        <v/>
      </c>
      <c r="P121" s="31" t="n"/>
      <c r="Q121" s="32" t="n"/>
      <c r="R121" s="37" t="str">
        <f>IF(N(U121)&gt;0,SUMPRODUCT(LARGE(('成交明细'!$A$5:$A$804=A121)*('成交明细'!$D$5:$D$804=IF(F121="空","卖","买"))*'成交明细'!$B$5:$B$804,COUNTIFS('成交明细'!$A$5:$A$804,A121,'成交明细'!$D$5:$D$804,IF(F121="空","卖","买")))),"")</f>
        <v/>
      </c>
      <c r="S121" s="37" t="str">
        <f>IF(AND(N(U121)&gt;0,N(W121)&gt;=N(U121)),SUMPRODUCT(MAX(('成交明细'!$A$5:$A$804=A121)*('成交明细'!$D$5:$D$804=IF(F121="空","买","卖"))*'成交明细'!$B$5:$B$804)),"")</f>
        <v/>
      </c>
      <c r="T121" s="38" t="str">
        <f>IF(N(U121)=0,"",IF(SUMPRODUCT(('成交明细'!$A$5:$A$804=A121)*('成交明细'!$D$5:$D$804=IF(F121="空","卖","买"))*ISNUMBER('成交明细'!$C$5:$C$804))=0,"没填时间",IFERROR(VLOOKUP(MOD(SUMPRODUCT(LARGE(('成交明细'!$A$5:$A$804=A121)*('成交明细'!$D$5:$D$804=IF(F121="空","卖","买"))*('成交明细'!$B$5:$B$804+'成交明细'!$C$5:$C$804),COUNTIFS('成交明细'!$A$5:$A$804,A121,'成交明细'!$D$5:$D$804,IF(F121="空","卖","买")))),1),'参数'!$B$39:$C$48,2,TRUE),"")))</f>
        <v/>
      </c>
      <c r="U121" s="35" t="str">
        <f>IF(A121="","",SUMIFS('成交明细'!$F$5:$F$804,'成交明细'!$A$5:$A$804,A121,'成交明细'!$D$5:$D$804,IF(F121="空","卖","买")))</f>
        <v/>
      </c>
      <c r="V121" s="39" t="str">
        <f>IF(N(U121)&gt;0,SUMIFS('成交明细'!$H$5:$H$804,'成交明细'!$A$5:$A$804,A121,'成交明细'!$D$5:$D$804,IF(F121="空","卖","买"))/U121,"")</f>
        <v/>
      </c>
      <c r="W121" s="35" t="str">
        <f>IF(A121="","",SUMIFS('成交明细'!$F$5:$F$804,'成交明细'!$A$5:$A$804,A121,'成交明细'!$D$5:$D$804,IF(F121="空","买","卖")))</f>
        <v/>
      </c>
      <c r="X121" s="39" t="str">
        <f>IF(N(W121)&gt;0,SUMIFS('成交明细'!$H$5:$H$804,'成交明细'!$A$5:$A$804,A121,'成交明细'!$D$5:$D$804,IF(F121="空","买","卖"))/W121,"")</f>
        <v/>
      </c>
      <c r="Y121" s="40" t="str">
        <f>IF(A121="","",IF(Q121&lt;&gt;"已执行",IF(Q121="","未填执行情况",Q121),IF(N(U121)=0,"待录成交",IF(N(W121)&gt;N(U121),"平仓多于开仓",IF(N(W121)&lt;N(U121),"持仓中","已平仓")))))</f>
        <v/>
      </c>
      <c r="Z121" s="41" t="str">
        <f>IF(N(U121)=0,"",SUMIFS('成交明细'!$L$5:$L$804,'成交明细'!$A$5:$A$804,A121))</f>
        <v/>
      </c>
      <c r="AA121" s="42" t="str">
        <f>IF(Y121&lt;&gt;"已平仓","",(SUMIFS('成交明细'!$H$5:$H$804,'成交明细'!$A$5:$A$804,A121,'成交明细'!$D$5:$D$804,"卖")-SUMIFS('成交明细'!$H$5:$H$804,'成交明细'!$A$5:$A$804,A121,'成交明细'!$D$5:$D$804,"买"))*IF(N(G121)&gt;0,G121,1)-Z121)</f>
        <v/>
      </c>
      <c r="AB121" s="43" t="str">
        <f>IF(AND(Y121="已平仓",ISNUMBER(O121)),(SUMIFS('成交明细'!$H$5:$H$804,'成交明细'!$A$5:$A$804,A121,'成交明细'!$D$5:$D$804,"卖")-SUMIFS('成交明细'!$H$5:$H$804,'成交明细'!$A$5:$A$804,A121,'成交明细'!$D$5:$D$804,"买"))*IF(N(G121)&gt;0,G121,1)/O121,"")</f>
        <v/>
      </c>
      <c r="AC121" s="43" t="str">
        <f>IF(AND(Y121="已平仓",ISNUMBER(O121)),AA121/O121,"")</f>
        <v/>
      </c>
      <c r="AD121" s="44" t="str">
        <f>IF(AND(ISNUMBER(V121),ISNUMBER(I121)),IF(F121="空",I121-V121,V121-I121),"")</f>
        <v/>
      </c>
      <c r="AE121" s="44" t="str">
        <f>IF(OR(NOT(ISNUMBER(AA121)),NOT(ISNUMBER(X121))),"",IF(AA121&lt;0,IF(F121="空",X121-J121,J121-X121),IF(NOT(ISNUMBER(K121)),"",IF(F121="空",X121-K121,K121-X121))))</f>
        <v/>
      </c>
      <c r="AF121" s="32" t="n"/>
      <c r="AG121" s="32" t="n"/>
      <c r="AH121" s="31" t="n"/>
      <c r="AI121" s="43" t="str">
        <f>IF(A121="","",SUM(AC$5:AC121))</f>
        <v/>
      </c>
      <c r="AJ121" s="45" t="str">
        <f>IF(A121="","",MAX(0,MAX(AI$5:AI121))-AI121)</f>
        <v/>
      </c>
    </row>
    <row r="122">
      <c r="A122" s="29" t="n"/>
      <c r="B122" s="30" t="n"/>
      <c r="C122" s="31" t="n"/>
      <c r="D122" s="32" t="n"/>
      <c r="E122" s="32" t="n"/>
      <c r="F122" s="32" t="n"/>
      <c r="G122" s="32" t="n"/>
      <c r="H122" s="32" t="n"/>
      <c r="I122" s="33" t="n"/>
      <c r="J122" s="33" t="n"/>
      <c r="K122" s="33" t="n"/>
      <c r="L122" s="34" t="str">
        <f>IF(AND(ISNUMBER(I122),ISNUMBER(J122),ISNUMBER(K122)),IF(OR(AND(F122="多",I122&gt;J122),AND(F122="空",I122&lt;J122)),ABS(K122-I122)/ABS(I122-J122),"止损方向不对"),"")</f>
        <v/>
      </c>
      <c r="M122" s="35" t="str">
        <f>IF(AND(ISNUMBER(I122),ISNUMBER(J122)),IF(I122=J122,"",IF(INT(ROUND('参数'!$C$7/(ABS(I122-J122)*IF(N(G122)&gt;0,G122,1)+2*(I122*IF(N(G122)&gt;0,G122,1)*'参数'!$C$12+'参数'!$C$13+'参数'!$C$14*IF(N(G122)&gt;0,G122,1)))/IF(N(H122)&gt;0,H122,1),6))*IF(N(H122)&gt;0,H122,1)&gt;0,INT(ROUND('参数'!$C$7/(ABS(I122-J122)*IF(N(G122)&gt;0,G122,1)+2*(I122*IF(N(G122)&gt;0,G122,1)*'参数'!$C$12+'参数'!$C$13+'参数'!$C$14*IF(N(G122)&gt;0,G122,1)))/IF(N(H122)&gt;0,H122,1),6))*IF(N(H122)&gt;0,H122,1),"预算不足，这笔不做")),"")</f>
        <v/>
      </c>
      <c r="N122" s="36" t="n"/>
      <c r="O122" s="20" t="str">
        <f>IF(AND(ISNUMBER(I122),ISNUMBER(J122),ISNUMBER(N122)),IF(AND(I122&lt;&gt;J122,N122&gt;0),ABS(I122-J122)*N122*IF(N(G122)&gt;0,G122,1),""),"")</f>
        <v/>
      </c>
      <c r="P122" s="31" t="n"/>
      <c r="Q122" s="32" t="n"/>
      <c r="R122" s="37" t="str">
        <f>IF(N(U122)&gt;0,SUMPRODUCT(LARGE(('成交明细'!$A$5:$A$804=A122)*('成交明细'!$D$5:$D$804=IF(F122="空","卖","买"))*'成交明细'!$B$5:$B$804,COUNTIFS('成交明细'!$A$5:$A$804,A122,'成交明细'!$D$5:$D$804,IF(F122="空","卖","买")))),"")</f>
        <v/>
      </c>
      <c r="S122" s="37" t="str">
        <f>IF(AND(N(U122)&gt;0,N(W122)&gt;=N(U122)),SUMPRODUCT(MAX(('成交明细'!$A$5:$A$804=A122)*('成交明细'!$D$5:$D$804=IF(F122="空","买","卖"))*'成交明细'!$B$5:$B$804)),"")</f>
        <v/>
      </c>
      <c r="T122" s="38" t="str">
        <f>IF(N(U122)=0,"",IF(SUMPRODUCT(('成交明细'!$A$5:$A$804=A122)*('成交明细'!$D$5:$D$804=IF(F122="空","卖","买"))*ISNUMBER('成交明细'!$C$5:$C$804))=0,"没填时间",IFERROR(VLOOKUP(MOD(SUMPRODUCT(LARGE(('成交明细'!$A$5:$A$804=A122)*('成交明细'!$D$5:$D$804=IF(F122="空","卖","买"))*('成交明细'!$B$5:$B$804+'成交明细'!$C$5:$C$804),COUNTIFS('成交明细'!$A$5:$A$804,A122,'成交明细'!$D$5:$D$804,IF(F122="空","卖","买")))),1),'参数'!$B$39:$C$48,2,TRUE),"")))</f>
        <v/>
      </c>
      <c r="U122" s="35" t="str">
        <f>IF(A122="","",SUMIFS('成交明细'!$F$5:$F$804,'成交明细'!$A$5:$A$804,A122,'成交明细'!$D$5:$D$804,IF(F122="空","卖","买")))</f>
        <v/>
      </c>
      <c r="V122" s="39" t="str">
        <f>IF(N(U122)&gt;0,SUMIFS('成交明细'!$H$5:$H$804,'成交明细'!$A$5:$A$804,A122,'成交明细'!$D$5:$D$804,IF(F122="空","卖","买"))/U122,"")</f>
        <v/>
      </c>
      <c r="W122" s="35" t="str">
        <f>IF(A122="","",SUMIFS('成交明细'!$F$5:$F$804,'成交明细'!$A$5:$A$804,A122,'成交明细'!$D$5:$D$804,IF(F122="空","买","卖")))</f>
        <v/>
      </c>
      <c r="X122" s="39" t="str">
        <f>IF(N(W122)&gt;0,SUMIFS('成交明细'!$H$5:$H$804,'成交明细'!$A$5:$A$804,A122,'成交明细'!$D$5:$D$804,IF(F122="空","买","卖"))/W122,"")</f>
        <v/>
      </c>
      <c r="Y122" s="40" t="str">
        <f>IF(A122="","",IF(Q122&lt;&gt;"已执行",IF(Q122="","未填执行情况",Q122),IF(N(U122)=0,"待录成交",IF(N(W122)&gt;N(U122),"平仓多于开仓",IF(N(W122)&lt;N(U122),"持仓中","已平仓")))))</f>
        <v/>
      </c>
      <c r="Z122" s="41" t="str">
        <f>IF(N(U122)=0,"",SUMIFS('成交明细'!$L$5:$L$804,'成交明细'!$A$5:$A$804,A122))</f>
        <v/>
      </c>
      <c r="AA122" s="42" t="str">
        <f>IF(Y122&lt;&gt;"已平仓","",(SUMIFS('成交明细'!$H$5:$H$804,'成交明细'!$A$5:$A$804,A122,'成交明细'!$D$5:$D$804,"卖")-SUMIFS('成交明细'!$H$5:$H$804,'成交明细'!$A$5:$A$804,A122,'成交明细'!$D$5:$D$804,"买"))*IF(N(G122)&gt;0,G122,1)-Z122)</f>
        <v/>
      </c>
      <c r="AB122" s="43" t="str">
        <f>IF(AND(Y122="已平仓",ISNUMBER(O122)),(SUMIFS('成交明细'!$H$5:$H$804,'成交明细'!$A$5:$A$804,A122,'成交明细'!$D$5:$D$804,"卖")-SUMIFS('成交明细'!$H$5:$H$804,'成交明细'!$A$5:$A$804,A122,'成交明细'!$D$5:$D$804,"买"))*IF(N(G122)&gt;0,G122,1)/O122,"")</f>
        <v/>
      </c>
      <c r="AC122" s="43" t="str">
        <f>IF(AND(Y122="已平仓",ISNUMBER(O122)),AA122/O122,"")</f>
        <v/>
      </c>
      <c r="AD122" s="44" t="str">
        <f>IF(AND(ISNUMBER(V122),ISNUMBER(I122)),IF(F122="空",I122-V122,V122-I122),"")</f>
        <v/>
      </c>
      <c r="AE122" s="44" t="str">
        <f>IF(OR(NOT(ISNUMBER(AA122)),NOT(ISNUMBER(X122))),"",IF(AA122&lt;0,IF(F122="空",X122-J122,J122-X122),IF(NOT(ISNUMBER(K122)),"",IF(F122="空",X122-K122,K122-X122))))</f>
        <v/>
      </c>
      <c r="AF122" s="32" t="n"/>
      <c r="AG122" s="32" t="n"/>
      <c r="AH122" s="31" t="n"/>
      <c r="AI122" s="43" t="str">
        <f>IF(A122="","",SUM(AC$5:AC122))</f>
        <v/>
      </c>
      <c r="AJ122" s="45" t="str">
        <f>IF(A122="","",MAX(0,MAX(AI$5:AI122))-AI122)</f>
        <v/>
      </c>
    </row>
    <row r="123">
      <c r="A123" s="29" t="n"/>
      <c r="B123" s="30" t="n"/>
      <c r="C123" s="31" t="n"/>
      <c r="D123" s="32" t="n"/>
      <c r="E123" s="32" t="n"/>
      <c r="F123" s="32" t="n"/>
      <c r="G123" s="32" t="n"/>
      <c r="H123" s="32" t="n"/>
      <c r="I123" s="33" t="n"/>
      <c r="J123" s="33" t="n"/>
      <c r="K123" s="33" t="n"/>
      <c r="L123" s="34" t="str">
        <f>IF(AND(ISNUMBER(I123),ISNUMBER(J123),ISNUMBER(K123)),IF(OR(AND(F123="多",I123&gt;J123),AND(F123="空",I123&lt;J123)),ABS(K123-I123)/ABS(I123-J123),"止损方向不对"),"")</f>
        <v/>
      </c>
      <c r="M123" s="35" t="str">
        <f>IF(AND(ISNUMBER(I123),ISNUMBER(J123)),IF(I123=J123,"",IF(INT(ROUND('参数'!$C$7/(ABS(I123-J123)*IF(N(G123)&gt;0,G123,1)+2*(I123*IF(N(G123)&gt;0,G123,1)*'参数'!$C$12+'参数'!$C$13+'参数'!$C$14*IF(N(G123)&gt;0,G123,1)))/IF(N(H123)&gt;0,H123,1),6))*IF(N(H123)&gt;0,H123,1)&gt;0,INT(ROUND('参数'!$C$7/(ABS(I123-J123)*IF(N(G123)&gt;0,G123,1)+2*(I123*IF(N(G123)&gt;0,G123,1)*'参数'!$C$12+'参数'!$C$13+'参数'!$C$14*IF(N(G123)&gt;0,G123,1)))/IF(N(H123)&gt;0,H123,1),6))*IF(N(H123)&gt;0,H123,1),"预算不足，这笔不做")),"")</f>
        <v/>
      </c>
      <c r="N123" s="36" t="n"/>
      <c r="O123" s="20" t="str">
        <f>IF(AND(ISNUMBER(I123),ISNUMBER(J123),ISNUMBER(N123)),IF(AND(I123&lt;&gt;J123,N123&gt;0),ABS(I123-J123)*N123*IF(N(G123)&gt;0,G123,1),""),"")</f>
        <v/>
      </c>
      <c r="P123" s="31" t="n"/>
      <c r="Q123" s="32" t="n"/>
      <c r="R123" s="37" t="str">
        <f>IF(N(U123)&gt;0,SUMPRODUCT(LARGE(('成交明细'!$A$5:$A$804=A123)*('成交明细'!$D$5:$D$804=IF(F123="空","卖","买"))*'成交明细'!$B$5:$B$804,COUNTIFS('成交明细'!$A$5:$A$804,A123,'成交明细'!$D$5:$D$804,IF(F123="空","卖","买")))),"")</f>
        <v/>
      </c>
      <c r="S123" s="37" t="str">
        <f>IF(AND(N(U123)&gt;0,N(W123)&gt;=N(U123)),SUMPRODUCT(MAX(('成交明细'!$A$5:$A$804=A123)*('成交明细'!$D$5:$D$804=IF(F123="空","买","卖"))*'成交明细'!$B$5:$B$804)),"")</f>
        <v/>
      </c>
      <c r="T123" s="38" t="str">
        <f>IF(N(U123)=0,"",IF(SUMPRODUCT(('成交明细'!$A$5:$A$804=A123)*('成交明细'!$D$5:$D$804=IF(F123="空","卖","买"))*ISNUMBER('成交明细'!$C$5:$C$804))=0,"没填时间",IFERROR(VLOOKUP(MOD(SUMPRODUCT(LARGE(('成交明细'!$A$5:$A$804=A123)*('成交明细'!$D$5:$D$804=IF(F123="空","卖","买"))*('成交明细'!$B$5:$B$804+'成交明细'!$C$5:$C$804),COUNTIFS('成交明细'!$A$5:$A$804,A123,'成交明细'!$D$5:$D$804,IF(F123="空","卖","买")))),1),'参数'!$B$39:$C$48,2,TRUE),"")))</f>
        <v/>
      </c>
      <c r="U123" s="35" t="str">
        <f>IF(A123="","",SUMIFS('成交明细'!$F$5:$F$804,'成交明细'!$A$5:$A$804,A123,'成交明细'!$D$5:$D$804,IF(F123="空","卖","买")))</f>
        <v/>
      </c>
      <c r="V123" s="39" t="str">
        <f>IF(N(U123)&gt;0,SUMIFS('成交明细'!$H$5:$H$804,'成交明细'!$A$5:$A$804,A123,'成交明细'!$D$5:$D$804,IF(F123="空","卖","买"))/U123,"")</f>
        <v/>
      </c>
      <c r="W123" s="35" t="str">
        <f>IF(A123="","",SUMIFS('成交明细'!$F$5:$F$804,'成交明细'!$A$5:$A$804,A123,'成交明细'!$D$5:$D$804,IF(F123="空","买","卖")))</f>
        <v/>
      </c>
      <c r="X123" s="39" t="str">
        <f>IF(N(W123)&gt;0,SUMIFS('成交明细'!$H$5:$H$804,'成交明细'!$A$5:$A$804,A123,'成交明细'!$D$5:$D$804,IF(F123="空","买","卖"))/W123,"")</f>
        <v/>
      </c>
      <c r="Y123" s="40" t="str">
        <f>IF(A123="","",IF(Q123&lt;&gt;"已执行",IF(Q123="","未填执行情况",Q123),IF(N(U123)=0,"待录成交",IF(N(W123)&gt;N(U123),"平仓多于开仓",IF(N(W123)&lt;N(U123),"持仓中","已平仓")))))</f>
        <v/>
      </c>
      <c r="Z123" s="41" t="str">
        <f>IF(N(U123)=0,"",SUMIFS('成交明细'!$L$5:$L$804,'成交明细'!$A$5:$A$804,A123))</f>
        <v/>
      </c>
      <c r="AA123" s="42" t="str">
        <f>IF(Y123&lt;&gt;"已平仓","",(SUMIFS('成交明细'!$H$5:$H$804,'成交明细'!$A$5:$A$804,A123,'成交明细'!$D$5:$D$804,"卖")-SUMIFS('成交明细'!$H$5:$H$804,'成交明细'!$A$5:$A$804,A123,'成交明细'!$D$5:$D$804,"买"))*IF(N(G123)&gt;0,G123,1)-Z123)</f>
        <v/>
      </c>
      <c r="AB123" s="43" t="str">
        <f>IF(AND(Y123="已平仓",ISNUMBER(O123)),(SUMIFS('成交明细'!$H$5:$H$804,'成交明细'!$A$5:$A$804,A123,'成交明细'!$D$5:$D$804,"卖")-SUMIFS('成交明细'!$H$5:$H$804,'成交明细'!$A$5:$A$804,A123,'成交明细'!$D$5:$D$804,"买"))*IF(N(G123)&gt;0,G123,1)/O123,"")</f>
        <v/>
      </c>
      <c r="AC123" s="43" t="str">
        <f>IF(AND(Y123="已平仓",ISNUMBER(O123)),AA123/O123,"")</f>
        <v/>
      </c>
      <c r="AD123" s="44" t="str">
        <f>IF(AND(ISNUMBER(V123),ISNUMBER(I123)),IF(F123="空",I123-V123,V123-I123),"")</f>
        <v/>
      </c>
      <c r="AE123" s="44" t="str">
        <f>IF(OR(NOT(ISNUMBER(AA123)),NOT(ISNUMBER(X123))),"",IF(AA123&lt;0,IF(F123="空",X123-J123,J123-X123),IF(NOT(ISNUMBER(K123)),"",IF(F123="空",X123-K123,K123-X123))))</f>
        <v/>
      </c>
      <c r="AF123" s="32" t="n"/>
      <c r="AG123" s="32" t="n"/>
      <c r="AH123" s="31" t="n"/>
      <c r="AI123" s="43" t="str">
        <f>IF(A123="","",SUM(AC$5:AC123))</f>
        <v/>
      </c>
      <c r="AJ123" s="45" t="str">
        <f>IF(A123="","",MAX(0,MAX(AI$5:AI123))-AI123)</f>
        <v/>
      </c>
    </row>
    <row r="124">
      <c r="A124" s="29" t="n"/>
      <c r="B124" s="30" t="n"/>
      <c r="C124" s="31" t="n"/>
      <c r="D124" s="32" t="n"/>
      <c r="E124" s="32" t="n"/>
      <c r="F124" s="32" t="n"/>
      <c r="G124" s="32" t="n"/>
      <c r="H124" s="32" t="n"/>
      <c r="I124" s="33" t="n"/>
      <c r="J124" s="33" t="n"/>
      <c r="K124" s="33" t="n"/>
      <c r="L124" s="34" t="str">
        <f>IF(AND(ISNUMBER(I124),ISNUMBER(J124),ISNUMBER(K124)),IF(OR(AND(F124="多",I124&gt;J124),AND(F124="空",I124&lt;J124)),ABS(K124-I124)/ABS(I124-J124),"止损方向不对"),"")</f>
        <v/>
      </c>
      <c r="M124" s="35" t="str">
        <f>IF(AND(ISNUMBER(I124),ISNUMBER(J124)),IF(I124=J124,"",IF(INT(ROUND('参数'!$C$7/(ABS(I124-J124)*IF(N(G124)&gt;0,G124,1)+2*(I124*IF(N(G124)&gt;0,G124,1)*'参数'!$C$12+'参数'!$C$13+'参数'!$C$14*IF(N(G124)&gt;0,G124,1)))/IF(N(H124)&gt;0,H124,1),6))*IF(N(H124)&gt;0,H124,1)&gt;0,INT(ROUND('参数'!$C$7/(ABS(I124-J124)*IF(N(G124)&gt;0,G124,1)+2*(I124*IF(N(G124)&gt;0,G124,1)*'参数'!$C$12+'参数'!$C$13+'参数'!$C$14*IF(N(G124)&gt;0,G124,1)))/IF(N(H124)&gt;0,H124,1),6))*IF(N(H124)&gt;0,H124,1),"预算不足，这笔不做")),"")</f>
        <v/>
      </c>
      <c r="N124" s="36" t="n"/>
      <c r="O124" s="20" t="str">
        <f>IF(AND(ISNUMBER(I124),ISNUMBER(J124),ISNUMBER(N124)),IF(AND(I124&lt;&gt;J124,N124&gt;0),ABS(I124-J124)*N124*IF(N(G124)&gt;0,G124,1),""),"")</f>
        <v/>
      </c>
      <c r="P124" s="31" t="n"/>
      <c r="Q124" s="32" t="n"/>
      <c r="R124" s="37" t="str">
        <f>IF(N(U124)&gt;0,SUMPRODUCT(LARGE(('成交明细'!$A$5:$A$804=A124)*('成交明细'!$D$5:$D$804=IF(F124="空","卖","买"))*'成交明细'!$B$5:$B$804,COUNTIFS('成交明细'!$A$5:$A$804,A124,'成交明细'!$D$5:$D$804,IF(F124="空","卖","买")))),"")</f>
        <v/>
      </c>
      <c r="S124" s="37" t="str">
        <f>IF(AND(N(U124)&gt;0,N(W124)&gt;=N(U124)),SUMPRODUCT(MAX(('成交明细'!$A$5:$A$804=A124)*('成交明细'!$D$5:$D$804=IF(F124="空","买","卖"))*'成交明细'!$B$5:$B$804)),"")</f>
        <v/>
      </c>
      <c r="T124" s="38" t="str">
        <f>IF(N(U124)=0,"",IF(SUMPRODUCT(('成交明细'!$A$5:$A$804=A124)*('成交明细'!$D$5:$D$804=IF(F124="空","卖","买"))*ISNUMBER('成交明细'!$C$5:$C$804))=0,"没填时间",IFERROR(VLOOKUP(MOD(SUMPRODUCT(LARGE(('成交明细'!$A$5:$A$804=A124)*('成交明细'!$D$5:$D$804=IF(F124="空","卖","买"))*('成交明细'!$B$5:$B$804+'成交明细'!$C$5:$C$804),COUNTIFS('成交明细'!$A$5:$A$804,A124,'成交明细'!$D$5:$D$804,IF(F124="空","卖","买")))),1),'参数'!$B$39:$C$48,2,TRUE),"")))</f>
        <v/>
      </c>
      <c r="U124" s="35" t="str">
        <f>IF(A124="","",SUMIFS('成交明细'!$F$5:$F$804,'成交明细'!$A$5:$A$804,A124,'成交明细'!$D$5:$D$804,IF(F124="空","卖","买")))</f>
        <v/>
      </c>
      <c r="V124" s="39" t="str">
        <f>IF(N(U124)&gt;0,SUMIFS('成交明细'!$H$5:$H$804,'成交明细'!$A$5:$A$804,A124,'成交明细'!$D$5:$D$804,IF(F124="空","卖","买"))/U124,"")</f>
        <v/>
      </c>
      <c r="W124" s="35" t="str">
        <f>IF(A124="","",SUMIFS('成交明细'!$F$5:$F$804,'成交明细'!$A$5:$A$804,A124,'成交明细'!$D$5:$D$804,IF(F124="空","买","卖")))</f>
        <v/>
      </c>
      <c r="X124" s="39" t="str">
        <f>IF(N(W124)&gt;0,SUMIFS('成交明细'!$H$5:$H$804,'成交明细'!$A$5:$A$804,A124,'成交明细'!$D$5:$D$804,IF(F124="空","买","卖"))/W124,"")</f>
        <v/>
      </c>
      <c r="Y124" s="40" t="str">
        <f>IF(A124="","",IF(Q124&lt;&gt;"已执行",IF(Q124="","未填执行情况",Q124),IF(N(U124)=0,"待录成交",IF(N(W124)&gt;N(U124),"平仓多于开仓",IF(N(W124)&lt;N(U124),"持仓中","已平仓")))))</f>
        <v/>
      </c>
      <c r="Z124" s="41" t="str">
        <f>IF(N(U124)=0,"",SUMIFS('成交明细'!$L$5:$L$804,'成交明细'!$A$5:$A$804,A124))</f>
        <v/>
      </c>
      <c r="AA124" s="42" t="str">
        <f>IF(Y124&lt;&gt;"已平仓","",(SUMIFS('成交明细'!$H$5:$H$804,'成交明细'!$A$5:$A$804,A124,'成交明细'!$D$5:$D$804,"卖")-SUMIFS('成交明细'!$H$5:$H$804,'成交明细'!$A$5:$A$804,A124,'成交明细'!$D$5:$D$804,"买"))*IF(N(G124)&gt;0,G124,1)-Z124)</f>
        <v/>
      </c>
      <c r="AB124" s="43" t="str">
        <f>IF(AND(Y124="已平仓",ISNUMBER(O124)),(SUMIFS('成交明细'!$H$5:$H$804,'成交明细'!$A$5:$A$804,A124,'成交明细'!$D$5:$D$804,"卖")-SUMIFS('成交明细'!$H$5:$H$804,'成交明细'!$A$5:$A$804,A124,'成交明细'!$D$5:$D$804,"买"))*IF(N(G124)&gt;0,G124,1)/O124,"")</f>
        <v/>
      </c>
      <c r="AC124" s="43" t="str">
        <f>IF(AND(Y124="已平仓",ISNUMBER(O124)),AA124/O124,"")</f>
        <v/>
      </c>
      <c r="AD124" s="44" t="str">
        <f>IF(AND(ISNUMBER(V124),ISNUMBER(I124)),IF(F124="空",I124-V124,V124-I124),"")</f>
        <v/>
      </c>
      <c r="AE124" s="44" t="str">
        <f>IF(OR(NOT(ISNUMBER(AA124)),NOT(ISNUMBER(X124))),"",IF(AA124&lt;0,IF(F124="空",X124-J124,J124-X124),IF(NOT(ISNUMBER(K124)),"",IF(F124="空",X124-K124,K124-X124))))</f>
        <v/>
      </c>
      <c r="AF124" s="32" t="n"/>
      <c r="AG124" s="32" t="n"/>
      <c r="AH124" s="31" t="n"/>
      <c r="AI124" s="43" t="str">
        <f>IF(A124="","",SUM(AC$5:AC124))</f>
        <v/>
      </c>
      <c r="AJ124" s="45" t="str">
        <f>IF(A124="","",MAX(0,MAX(AI$5:AI124))-AI124)</f>
        <v/>
      </c>
    </row>
    <row r="125">
      <c r="A125" s="29" t="n"/>
      <c r="B125" s="30" t="n"/>
      <c r="C125" s="31" t="n"/>
      <c r="D125" s="32" t="n"/>
      <c r="E125" s="32" t="n"/>
      <c r="F125" s="32" t="n"/>
      <c r="G125" s="32" t="n"/>
      <c r="H125" s="32" t="n"/>
      <c r="I125" s="33" t="n"/>
      <c r="J125" s="33" t="n"/>
      <c r="K125" s="33" t="n"/>
      <c r="L125" s="34" t="str">
        <f>IF(AND(ISNUMBER(I125),ISNUMBER(J125),ISNUMBER(K125)),IF(OR(AND(F125="多",I125&gt;J125),AND(F125="空",I125&lt;J125)),ABS(K125-I125)/ABS(I125-J125),"止损方向不对"),"")</f>
        <v/>
      </c>
      <c r="M125" s="35" t="str">
        <f>IF(AND(ISNUMBER(I125),ISNUMBER(J125)),IF(I125=J125,"",IF(INT(ROUND('参数'!$C$7/(ABS(I125-J125)*IF(N(G125)&gt;0,G125,1)+2*(I125*IF(N(G125)&gt;0,G125,1)*'参数'!$C$12+'参数'!$C$13+'参数'!$C$14*IF(N(G125)&gt;0,G125,1)))/IF(N(H125)&gt;0,H125,1),6))*IF(N(H125)&gt;0,H125,1)&gt;0,INT(ROUND('参数'!$C$7/(ABS(I125-J125)*IF(N(G125)&gt;0,G125,1)+2*(I125*IF(N(G125)&gt;0,G125,1)*'参数'!$C$12+'参数'!$C$13+'参数'!$C$14*IF(N(G125)&gt;0,G125,1)))/IF(N(H125)&gt;0,H125,1),6))*IF(N(H125)&gt;0,H125,1),"预算不足，这笔不做")),"")</f>
        <v/>
      </c>
      <c r="N125" s="36" t="n"/>
      <c r="O125" s="20" t="str">
        <f>IF(AND(ISNUMBER(I125),ISNUMBER(J125),ISNUMBER(N125)),IF(AND(I125&lt;&gt;J125,N125&gt;0),ABS(I125-J125)*N125*IF(N(G125)&gt;0,G125,1),""),"")</f>
        <v/>
      </c>
      <c r="P125" s="31" t="n"/>
      <c r="Q125" s="32" t="n"/>
      <c r="R125" s="37" t="str">
        <f>IF(N(U125)&gt;0,SUMPRODUCT(LARGE(('成交明细'!$A$5:$A$804=A125)*('成交明细'!$D$5:$D$804=IF(F125="空","卖","买"))*'成交明细'!$B$5:$B$804,COUNTIFS('成交明细'!$A$5:$A$804,A125,'成交明细'!$D$5:$D$804,IF(F125="空","卖","买")))),"")</f>
        <v/>
      </c>
      <c r="S125" s="37" t="str">
        <f>IF(AND(N(U125)&gt;0,N(W125)&gt;=N(U125)),SUMPRODUCT(MAX(('成交明细'!$A$5:$A$804=A125)*('成交明细'!$D$5:$D$804=IF(F125="空","买","卖"))*'成交明细'!$B$5:$B$804)),"")</f>
        <v/>
      </c>
      <c r="T125" s="38" t="str">
        <f>IF(N(U125)=0,"",IF(SUMPRODUCT(('成交明细'!$A$5:$A$804=A125)*('成交明细'!$D$5:$D$804=IF(F125="空","卖","买"))*ISNUMBER('成交明细'!$C$5:$C$804))=0,"没填时间",IFERROR(VLOOKUP(MOD(SUMPRODUCT(LARGE(('成交明细'!$A$5:$A$804=A125)*('成交明细'!$D$5:$D$804=IF(F125="空","卖","买"))*('成交明细'!$B$5:$B$804+'成交明细'!$C$5:$C$804),COUNTIFS('成交明细'!$A$5:$A$804,A125,'成交明细'!$D$5:$D$804,IF(F125="空","卖","买")))),1),'参数'!$B$39:$C$48,2,TRUE),"")))</f>
        <v/>
      </c>
      <c r="U125" s="35" t="str">
        <f>IF(A125="","",SUMIFS('成交明细'!$F$5:$F$804,'成交明细'!$A$5:$A$804,A125,'成交明细'!$D$5:$D$804,IF(F125="空","卖","买")))</f>
        <v/>
      </c>
      <c r="V125" s="39" t="str">
        <f>IF(N(U125)&gt;0,SUMIFS('成交明细'!$H$5:$H$804,'成交明细'!$A$5:$A$804,A125,'成交明细'!$D$5:$D$804,IF(F125="空","卖","买"))/U125,"")</f>
        <v/>
      </c>
      <c r="W125" s="35" t="str">
        <f>IF(A125="","",SUMIFS('成交明细'!$F$5:$F$804,'成交明细'!$A$5:$A$804,A125,'成交明细'!$D$5:$D$804,IF(F125="空","买","卖")))</f>
        <v/>
      </c>
      <c r="X125" s="39" t="str">
        <f>IF(N(W125)&gt;0,SUMIFS('成交明细'!$H$5:$H$804,'成交明细'!$A$5:$A$804,A125,'成交明细'!$D$5:$D$804,IF(F125="空","买","卖"))/W125,"")</f>
        <v/>
      </c>
      <c r="Y125" s="40" t="str">
        <f>IF(A125="","",IF(Q125&lt;&gt;"已执行",IF(Q125="","未填执行情况",Q125),IF(N(U125)=0,"待录成交",IF(N(W125)&gt;N(U125),"平仓多于开仓",IF(N(W125)&lt;N(U125),"持仓中","已平仓")))))</f>
        <v/>
      </c>
      <c r="Z125" s="41" t="str">
        <f>IF(N(U125)=0,"",SUMIFS('成交明细'!$L$5:$L$804,'成交明细'!$A$5:$A$804,A125))</f>
        <v/>
      </c>
      <c r="AA125" s="42" t="str">
        <f>IF(Y125&lt;&gt;"已平仓","",(SUMIFS('成交明细'!$H$5:$H$804,'成交明细'!$A$5:$A$804,A125,'成交明细'!$D$5:$D$804,"卖")-SUMIFS('成交明细'!$H$5:$H$804,'成交明细'!$A$5:$A$804,A125,'成交明细'!$D$5:$D$804,"买"))*IF(N(G125)&gt;0,G125,1)-Z125)</f>
        <v/>
      </c>
      <c r="AB125" s="43" t="str">
        <f>IF(AND(Y125="已平仓",ISNUMBER(O125)),(SUMIFS('成交明细'!$H$5:$H$804,'成交明细'!$A$5:$A$804,A125,'成交明细'!$D$5:$D$804,"卖")-SUMIFS('成交明细'!$H$5:$H$804,'成交明细'!$A$5:$A$804,A125,'成交明细'!$D$5:$D$804,"买"))*IF(N(G125)&gt;0,G125,1)/O125,"")</f>
        <v/>
      </c>
      <c r="AC125" s="43" t="str">
        <f>IF(AND(Y125="已平仓",ISNUMBER(O125)),AA125/O125,"")</f>
        <v/>
      </c>
      <c r="AD125" s="44" t="str">
        <f>IF(AND(ISNUMBER(V125),ISNUMBER(I125)),IF(F125="空",I125-V125,V125-I125),"")</f>
        <v/>
      </c>
      <c r="AE125" s="44" t="str">
        <f>IF(OR(NOT(ISNUMBER(AA125)),NOT(ISNUMBER(X125))),"",IF(AA125&lt;0,IF(F125="空",X125-J125,J125-X125),IF(NOT(ISNUMBER(K125)),"",IF(F125="空",X125-K125,K125-X125))))</f>
        <v/>
      </c>
      <c r="AF125" s="32" t="n"/>
      <c r="AG125" s="32" t="n"/>
      <c r="AH125" s="31" t="n"/>
      <c r="AI125" s="43" t="str">
        <f>IF(A125="","",SUM(AC$5:AC125))</f>
        <v/>
      </c>
      <c r="AJ125" s="45" t="str">
        <f>IF(A125="","",MAX(0,MAX(AI$5:AI125))-AI125)</f>
        <v/>
      </c>
    </row>
    <row r="126">
      <c r="A126" s="29" t="n"/>
      <c r="B126" s="30" t="n"/>
      <c r="C126" s="31" t="n"/>
      <c r="D126" s="32" t="n"/>
      <c r="E126" s="32" t="n"/>
      <c r="F126" s="32" t="n"/>
      <c r="G126" s="32" t="n"/>
      <c r="H126" s="32" t="n"/>
      <c r="I126" s="33" t="n"/>
      <c r="J126" s="33" t="n"/>
      <c r="K126" s="33" t="n"/>
      <c r="L126" s="34" t="str">
        <f>IF(AND(ISNUMBER(I126),ISNUMBER(J126),ISNUMBER(K126)),IF(OR(AND(F126="多",I126&gt;J126),AND(F126="空",I126&lt;J126)),ABS(K126-I126)/ABS(I126-J126),"止损方向不对"),"")</f>
        <v/>
      </c>
      <c r="M126" s="35" t="str">
        <f>IF(AND(ISNUMBER(I126),ISNUMBER(J126)),IF(I126=J126,"",IF(INT(ROUND('参数'!$C$7/(ABS(I126-J126)*IF(N(G126)&gt;0,G126,1)+2*(I126*IF(N(G126)&gt;0,G126,1)*'参数'!$C$12+'参数'!$C$13+'参数'!$C$14*IF(N(G126)&gt;0,G126,1)))/IF(N(H126)&gt;0,H126,1),6))*IF(N(H126)&gt;0,H126,1)&gt;0,INT(ROUND('参数'!$C$7/(ABS(I126-J126)*IF(N(G126)&gt;0,G126,1)+2*(I126*IF(N(G126)&gt;0,G126,1)*'参数'!$C$12+'参数'!$C$13+'参数'!$C$14*IF(N(G126)&gt;0,G126,1)))/IF(N(H126)&gt;0,H126,1),6))*IF(N(H126)&gt;0,H126,1),"预算不足，这笔不做")),"")</f>
        <v/>
      </c>
      <c r="N126" s="36" t="n"/>
      <c r="O126" s="20" t="str">
        <f>IF(AND(ISNUMBER(I126),ISNUMBER(J126),ISNUMBER(N126)),IF(AND(I126&lt;&gt;J126,N126&gt;0),ABS(I126-J126)*N126*IF(N(G126)&gt;0,G126,1),""),"")</f>
        <v/>
      </c>
      <c r="P126" s="31" t="n"/>
      <c r="Q126" s="32" t="n"/>
      <c r="R126" s="37" t="str">
        <f>IF(N(U126)&gt;0,SUMPRODUCT(LARGE(('成交明细'!$A$5:$A$804=A126)*('成交明细'!$D$5:$D$804=IF(F126="空","卖","买"))*'成交明细'!$B$5:$B$804,COUNTIFS('成交明细'!$A$5:$A$804,A126,'成交明细'!$D$5:$D$804,IF(F126="空","卖","买")))),"")</f>
        <v/>
      </c>
      <c r="S126" s="37" t="str">
        <f>IF(AND(N(U126)&gt;0,N(W126)&gt;=N(U126)),SUMPRODUCT(MAX(('成交明细'!$A$5:$A$804=A126)*('成交明细'!$D$5:$D$804=IF(F126="空","买","卖"))*'成交明细'!$B$5:$B$804)),"")</f>
        <v/>
      </c>
      <c r="T126" s="38" t="str">
        <f>IF(N(U126)=0,"",IF(SUMPRODUCT(('成交明细'!$A$5:$A$804=A126)*('成交明细'!$D$5:$D$804=IF(F126="空","卖","买"))*ISNUMBER('成交明细'!$C$5:$C$804))=0,"没填时间",IFERROR(VLOOKUP(MOD(SUMPRODUCT(LARGE(('成交明细'!$A$5:$A$804=A126)*('成交明细'!$D$5:$D$804=IF(F126="空","卖","买"))*('成交明细'!$B$5:$B$804+'成交明细'!$C$5:$C$804),COUNTIFS('成交明细'!$A$5:$A$804,A126,'成交明细'!$D$5:$D$804,IF(F126="空","卖","买")))),1),'参数'!$B$39:$C$48,2,TRUE),"")))</f>
        <v/>
      </c>
      <c r="U126" s="35" t="str">
        <f>IF(A126="","",SUMIFS('成交明细'!$F$5:$F$804,'成交明细'!$A$5:$A$804,A126,'成交明细'!$D$5:$D$804,IF(F126="空","卖","买")))</f>
        <v/>
      </c>
      <c r="V126" s="39" t="str">
        <f>IF(N(U126)&gt;0,SUMIFS('成交明细'!$H$5:$H$804,'成交明细'!$A$5:$A$804,A126,'成交明细'!$D$5:$D$804,IF(F126="空","卖","买"))/U126,"")</f>
        <v/>
      </c>
      <c r="W126" s="35" t="str">
        <f>IF(A126="","",SUMIFS('成交明细'!$F$5:$F$804,'成交明细'!$A$5:$A$804,A126,'成交明细'!$D$5:$D$804,IF(F126="空","买","卖")))</f>
        <v/>
      </c>
      <c r="X126" s="39" t="str">
        <f>IF(N(W126)&gt;0,SUMIFS('成交明细'!$H$5:$H$804,'成交明细'!$A$5:$A$804,A126,'成交明细'!$D$5:$D$804,IF(F126="空","买","卖"))/W126,"")</f>
        <v/>
      </c>
      <c r="Y126" s="40" t="str">
        <f>IF(A126="","",IF(Q126&lt;&gt;"已执行",IF(Q126="","未填执行情况",Q126),IF(N(U126)=0,"待录成交",IF(N(W126)&gt;N(U126),"平仓多于开仓",IF(N(W126)&lt;N(U126),"持仓中","已平仓")))))</f>
        <v/>
      </c>
      <c r="Z126" s="41" t="str">
        <f>IF(N(U126)=0,"",SUMIFS('成交明细'!$L$5:$L$804,'成交明细'!$A$5:$A$804,A126))</f>
        <v/>
      </c>
      <c r="AA126" s="42" t="str">
        <f>IF(Y126&lt;&gt;"已平仓","",(SUMIFS('成交明细'!$H$5:$H$804,'成交明细'!$A$5:$A$804,A126,'成交明细'!$D$5:$D$804,"卖")-SUMIFS('成交明细'!$H$5:$H$804,'成交明细'!$A$5:$A$804,A126,'成交明细'!$D$5:$D$804,"买"))*IF(N(G126)&gt;0,G126,1)-Z126)</f>
        <v/>
      </c>
      <c r="AB126" s="43" t="str">
        <f>IF(AND(Y126="已平仓",ISNUMBER(O126)),(SUMIFS('成交明细'!$H$5:$H$804,'成交明细'!$A$5:$A$804,A126,'成交明细'!$D$5:$D$804,"卖")-SUMIFS('成交明细'!$H$5:$H$804,'成交明细'!$A$5:$A$804,A126,'成交明细'!$D$5:$D$804,"买"))*IF(N(G126)&gt;0,G126,1)/O126,"")</f>
        <v/>
      </c>
      <c r="AC126" s="43" t="str">
        <f>IF(AND(Y126="已平仓",ISNUMBER(O126)),AA126/O126,"")</f>
        <v/>
      </c>
      <c r="AD126" s="44" t="str">
        <f>IF(AND(ISNUMBER(V126),ISNUMBER(I126)),IF(F126="空",I126-V126,V126-I126),"")</f>
        <v/>
      </c>
      <c r="AE126" s="44" t="str">
        <f>IF(OR(NOT(ISNUMBER(AA126)),NOT(ISNUMBER(X126))),"",IF(AA126&lt;0,IF(F126="空",X126-J126,J126-X126),IF(NOT(ISNUMBER(K126)),"",IF(F126="空",X126-K126,K126-X126))))</f>
        <v/>
      </c>
      <c r="AF126" s="32" t="n"/>
      <c r="AG126" s="32" t="n"/>
      <c r="AH126" s="31" t="n"/>
      <c r="AI126" s="43" t="str">
        <f>IF(A126="","",SUM(AC$5:AC126))</f>
        <v/>
      </c>
      <c r="AJ126" s="45" t="str">
        <f>IF(A126="","",MAX(0,MAX(AI$5:AI126))-AI126)</f>
        <v/>
      </c>
    </row>
    <row r="127">
      <c r="A127" s="29" t="n"/>
      <c r="B127" s="30" t="n"/>
      <c r="C127" s="31" t="n"/>
      <c r="D127" s="32" t="n"/>
      <c r="E127" s="32" t="n"/>
      <c r="F127" s="32" t="n"/>
      <c r="G127" s="32" t="n"/>
      <c r="H127" s="32" t="n"/>
      <c r="I127" s="33" t="n"/>
      <c r="J127" s="33" t="n"/>
      <c r="K127" s="33" t="n"/>
      <c r="L127" s="34" t="str">
        <f>IF(AND(ISNUMBER(I127),ISNUMBER(J127),ISNUMBER(K127)),IF(OR(AND(F127="多",I127&gt;J127),AND(F127="空",I127&lt;J127)),ABS(K127-I127)/ABS(I127-J127),"止损方向不对"),"")</f>
        <v/>
      </c>
      <c r="M127" s="35" t="str">
        <f>IF(AND(ISNUMBER(I127),ISNUMBER(J127)),IF(I127=J127,"",IF(INT(ROUND('参数'!$C$7/(ABS(I127-J127)*IF(N(G127)&gt;0,G127,1)+2*(I127*IF(N(G127)&gt;0,G127,1)*'参数'!$C$12+'参数'!$C$13+'参数'!$C$14*IF(N(G127)&gt;0,G127,1)))/IF(N(H127)&gt;0,H127,1),6))*IF(N(H127)&gt;0,H127,1)&gt;0,INT(ROUND('参数'!$C$7/(ABS(I127-J127)*IF(N(G127)&gt;0,G127,1)+2*(I127*IF(N(G127)&gt;0,G127,1)*'参数'!$C$12+'参数'!$C$13+'参数'!$C$14*IF(N(G127)&gt;0,G127,1)))/IF(N(H127)&gt;0,H127,1),6))*IF(N(H127)&gt;0,H127,1),"预算不足，这笔不做")),"")</f>
        <v/>
      </c>
      <c r="N127" s="36" t="n"/>
      <c r="O127" s="20" t="str">
        <f>IF(AND(ISNUMBER(I127),ISNUMBER(J127),ISNUMBER(N127)),IF(AND(I127&lt;&gt;J127,N127&gt;0),ABS(I127-J127)*N127*IF(N(G127)&gt;0,G127,1),""),"")</f>
        <v/>
      </c>
      <c r="P127" s="31" t="n"/>
      <c r="Q127" s="32" t="n"/>
      <c r="R127" s="37" t="str">
        <f>IF(N(U127)&gt;0,SUMPRODUCT(LARGE(('成交明细'!$A$5:$A$804=A127)*('成交明细'!$D$5:$D$804=IF(F127="空","卖","买"))*'成交明细'!$B$5:$B$804,COUNTIFS('成交明细'!$A$5:$A$804,A127,'成交明细'!$D$5:$D$804,IF(F127="空","卖","买")))),"")</f>
        <v/>
      </c>
      <c r="S127" s="37" t="str">
        <f>IF(AND(N(U127)&gt;0,N(W127)&gt;=N(U127)),SUMPRODUCT(MAX(('成交明细'!$A$5:$A$804=A127)*('成交明细'!$D$5:$D$804=IF(F127="空","买","卖"))*'成交明细'!$B$5:$B$804)),"")</f>
        <v/>
      </c>
      <c r="T127" s="38" t="str">
        <f>IF(N(U127)=0,"",IF(SUMPRODUCT(('成交明细'!$A$5:$A$804=A127)*('成交明细'!$D$5:$D$804=IF(F127="空","卖","买"))*ISNUMBER('成交明细'!$C$5:$C$804))=0,"没填时间",IFERROR(VLOOKUP(MOD(SUMPRODUCT(LARGE(('成交明细'!$A$5:$A$804=A127)*('成交明细'!$D$5:$D$804=IF(F127="空","卖","买"))*('成交明细'!$B$5:$B$804+'成交明细'!$C$5:$C$804),COUNTIFS('成交明细'!$A$5:$A$804,A127,'成交明细'!$D$5:$D$804,IF(F127="空","卖","买")))),1),'参数'!$B$39:$C$48,2,TRUE),"")))</f>
        <v/>
      </c>
      <c r="U127" s="35" t="str">
        <f>IF(A127="","",SUMIFS('成交明细'!$F$5:$F$804,'成交明细'!$A$5:$A$804,A127,'成交明细'!$D$5:$D$804,IF(F127="空","卖","买")))</f>
        <v/>
      </c>
      <c r="V127" s="39" t="str">
        <f>IF(N(U127)&gt;0,SUMIFS('成交明细'!$H$5:$H$804,'成交明细'!$A$5:$A$804,A127,'成交明细'!$D$5:$D$804,IF(F127="空","卖","买"))/U127,"")</f>
        <v/>
      </c>
      <c r="W127" s="35" t="str">
        <f>IF(A127="","",SUMIFS('成交明细'!$F$5:$F$804,'成交明细'!$A$5:$A$804,A127,'成交明细'!$D$5:$D$804,IF(F127="空","买","卖")))</f>
        <v/>
      </c>
      <c r="X127" s="39" t="str">
        <f>IF(N(W127)&gt;0,SUMIFS('成交明细'!$H$5:$H$804,'成交明细'!$A$5:$A$804,A127,'成交明细'!$D$5:$D$804,IF(F127="空","买","卖"))/W127,"")</f>
        <v/>
      </c>
      <c r="Y127" s="40" t="str">
        <f>IF(A127="","",IF(Q127&lt;&gt;"已执行",IF(Q127="","未填执行情况",Q127),IF(N(U127)=0,"待录成交",IF(N(W127)&gt;N(U127),"平仓多于开仓",IF(N(W127)&lt;N(U127),"持仓中","已平仓")))))</f>
        <v/>
      </c>
      <c r="Z127" s="41" t="str">
        <f>IF(N(U127)=0,"",SUMIFS('成交明细'!$L$5:$L$804,'成交明细'!$A$5:$A$804,A127))</f>
        <v/>
      </c>
      <c r="AA127" s="42" t="str">
        <f>IF(Y127&lt;&gt;"已平仓","",(SUMIFS('成交明细'!$H$5:$H$804,'成交明细'!$A$5:$A$804,A127,'成交明细'!$D$5:$D$804,"卖")-SUMIFS('成交明细'!$H$5:$H$804,'成交明细'!$A$5:$A$804,A127,'成交明细'!$D$5:$D$804,"买"))*IF(N(G127)&gt;0,G127,1)-Z127)</f>
        <v/>
      </c>
      <c r="AB127" s="43" t="str">
        <f>IF(AND(Y127="已平仓",ISNUMBER(O127)),(SUMIFS('成交明细'!$H$5:$H$804,'成交明细'!$A$5:$A$804,A127,'成交明细'!$D$5:$D$804,"卖")-SUMIFS('成交明细'!$H$5:$H$804,'成交明细'!$A$5:$A$804,A127,'成交明细'!$D$5:$D$804,"买"))*IF(N(G127)&gt;0,G127,1)/O127,"")</f>
        <v/>
      </c>
      <c r="AC127" s="43" t="str">
        <f>IF(AND(Y127="已平仓",ISNUMBER(O127)),AA127/O127,"")</f>
        <v/>
      </c>
      <c r="AD127" s="44" t="str">
        <f>IF(AND(ISNUMBER(V127),ISNUMBER(I127)),IF(F127="空",I127-V127,V127-I127),"")</f>
        <v/>
      </c>
      <c r="AE127" s="44" t="str">
        <f>IF(OR(NOT(ISNUMBER(AA127)),NOT(ISNUMBER(X127))),"",IF(AA127&lt;0,IF(F127="空",X127-J127,J127-X127),IF(NOT(ISNUMBER(K127)),"",IF(F127="空",X127-K127,K127-X127))))</f>
        <v/>
      </c>
      <c r="AF127" s="32" t="n"/>
      <c r="AG127" s="32" t="n"/>
      <c r="AH127" s="31" t="n"/>
      <c r="AI127" s="43" t="str">
        <f>IF(A127="","",SUM(AC$5:AC127))</f>
        <v/>
      </c>
      <c r="AJ127" s="45" t="str">
        <f>IF(A127="","",MAX(0,MAX(AI$5:AI127))-AI127)</f>
        <v/>
      </c>
    </row>
    <row r="128">
      <c r="A128" s="29" t="n"/>
      <c r="B128" s="30" t="n"/>
      <c r="C128" s="31" t="n"/>
      <c r="D128" s="32" t="n"/>
      <c r="E128" s="32" t="n"/>
      <c r="F128" s="32" t="n"/>
      <c r="G128" s="32" t="n"/>
      <c r="H128" s="32" t="n"/>
      <c r="I128" s="33" t="n"/>
      <c r="J128" s="33" t="n"/>
      <c r="K128" s="33" t="n"/>
      <c r="L128" s="34" t="str">
        <f>IF(AND(ISNUMBER(I128),ISNUMBER(J128),ISNUMBER(K128)),IF(OR(AND(F128="多",I128&gt;J128),AND(F128="空",I128&lt;J128)),ABS(K128-I128)/ABS(I128-J128),"止损方向不对"),"")</f>
        <v/>
      </c>
      <c r="M128" s="35" t="str">
        <f>IF(AND(ISNUMBER(I128),ISNUMBER(J128)),IF(I128=J128,"",IF(INT(ROUND('参数'!$C$7/(ABS(I128-J128)*IF(N(G128)&gt;0,G128,1)+2*(I128*IF(N(G128)&gt;0,G128,1)*'参数'!$C$12+'参数'!$C$13+'参数'!$C$14*IF(N(G128)&gt;0,G128,1)))/IF(N(H128)&gt;0,H128,1),6))*IF(N(H128)&gt;0,H128,1)&gt;0,INT(ROUND('参数'!$C$7/(ABS(I128-J128)*IF(N(G128)&gt;0,G128,1)+2*(I128*IF(N(G128)&gt;0,G128,1)*'参数'!$C$12+'参数'!$C$13+'参数'!$C$14*IF(N(G128)&gt;0,G128,1)))/IF(N(H128)&gt;0,H128,1),6))*IF(N(H128)&gt;0,H128,1),"预算不足，这笔不做")),"")</f>
        <v/>
      </c>
      <c r="N128" s="36" t="n"/>
      <c r="O128" s="20" t="str">
        <f>IF(AND(ISNUMBER(I128),ISNUMBER(J128),ISNUMBER(N128)),IF(AND(I128&lt;&gt;J128,N128&gt;0),ABS(I128-J128)*N128*IF(N(G128)&gt;0,G128,1),""),"")</f>
        <v/>
      </c>
      <c r="P128" s="31" t="n"/>
      <c r="Q128" s="32" t="n"/>
      <c r="R128" s="37" t="str">
        <f>IF(N(U128)&gt;0,SUMPRODUCT(LARGE(('成交明细'!$A$5:$A$804=A128)*('成交明细'!$D$5:$D$804=IF(F128="空","卖","买"))*'成交明细'!$B$5:$B$804,COUNTIFS('成交明细'!$A$5:$A$804,A128,'成交明细'!$D$5:$D$804,IF(F128="空","卖","买")))),"")</f>
        <v/>
      </c>
      <c r="S128" s="37" t="str">
        <f>IF(AND(N(U128)&gt;0,N(W128)&gt;=N(U128)),SUMPRODUCT(MAX(('成交明细'!$A$5:$A$804=A128)*('成交明细'!$D$5:$D$804=IF(F128="空","买","卖"))*'成交明细'!$B$5:$B$804)),"")</f>
        <v/>
      </c>
      <c r="T128" s="38" t="str">
        <f>IF(N(U128)=0,"",IF(SUMPRODUCT(('成交明细'!$A$5:$A$804=A128)*('成交明细'!$D$5:$D$804=IF(F128="空","卖","买"))*ISNUMBER('成交明细'!$C$5:$C$804))=0,"没填时间",IFERROR(VLOOKUP(MOD(SUMPRODUCT(LARGE(('成交明细'!$A$5:$A$804=A128)*('成交明细'!$D$5:$D$804=IF(F128="空","卖","买"))*('成交明细'!$B$5:$B$804+'成交明细'!$C$5:$C$804),COUNTIFS('成交明细'!$A$5:$A$804,A128,'成交明细'!$D$5:$D$804,IF(F128="空","卖","买")))),1),'参数'!$B$39:$C$48,2,TRUE),"")))</f>
        <v/>
      </c>
      <c r="U128" s="35" t="str">
        <f>IF(A128="","",SUMIFS('成交明细'!$F$5:$F$804,'成交明细'!$A$5:$A$804,A128,'成交明细'!$D$5:$D$804,IF(F128="空","卖","买")))</f>
        <v/>
      </c>
      <c r="V128" s="39" t="str">
        <f>IF(N(U128)&gt;0,SUMIFS('成交明细'!$H$5:$H$804,'成交明细'!$A$5:$A$804,A128,'成交明细'!$D$5:$D$804,IF(F128="空","卖","买"))/U128,"")</f>
        <v/>
      </c>
      <c r="W128" s="35" t="str">
        <f>IF(A128="","",SUMIFS('成交明细'!$F$5:$F$804,'成交明细'!$A$5:$A$804,A128,'成交明细'!$D$5:$D$804,IF(F128="空","买","卖")))</f>
        <v/>
      </c>
      <c r="X128" s="39" t="str">
        <f>IF(N(W128)&gt;0,SUMIFS('成交明细'!$H$5:$H$804,'成交明细'!$A$5:$A$804,A128,'成交明细'!$D$5:$D$804,IF(F128="空","买","卖"))/W128,"")</f>
        <v/>
      </c>
      <c r="Y128" s="40" t="str">
        <f>IF(A128="","",IF(Q128&lt;&gt;"已执行",IF(Q128="","未填执行情况",Q128),IF(N(U128)=0,"待录成交",IF(N(W128)&gt;N(U128),"平仓多于开仓",IF(N(W128)&lt;N(U128),"持仓中","已平仓")))))</f>
        <v/>
      </c>
      <c r="Z128" s="41" t="str">
        <f>IF(N(U128)=0,"",SUMIFS('成交明细'!$L$5:$L$804,'成交明细'!$A$5:$A$804,A128))</f>
        <v/>
      </c>
      <c r="AA128" s="42" t="str">
        <f>IF(Y128&lt;&gt;"已平仓","",(SUMIFS('成交明细'!$H$5:$H$804,'成交明细'!$A$5:$A$804,A128,'成交明细'!$D$5:$D$804,"卖")-SUMIFS('成交明细'!$H$5:$H$804,'成交明细'!$A$5:$A$804,A128,'成交明细'!$D$5:$D$804,"买"))*IF(N(G128)&gt;0,G128,1)-Z128)</f>
        <v/>
      </c>
      <c r="AB128" s="43" t="str">
        <f>IF(AND(Y128="已平仓",ISNUMBER(O128)),(SUMIFS('成交明细'!$H$5:$H$804,'成交明细'!$A$5:$A$804,A128,'成交明细'!$D$5:$D$804,"卖")-SUMIFS('成交明细'!$H$5:$H$804,'成交明细'!$A$5:$A$804,A128,'成交明细'!$D$5:$D$804,"买"))*IF(N(G128)&gt;0,G128,1)/O128,"")</f>
        <v/>
      </c>
      <c r="AC128" s="43" t="str">
        <f>IF(AND(Y128="已平仓",ISNUMBER(O128)),AA128/O128,"")</f>
        <v/>
      </c>
      <c r="AD128" s="44" t="str">
        <f>IF(AND(ISNUMBER(V128),ISNUMBER(I128)),IF(F128="空",I128-V128,V128-I128),"")</f>
        <v/>
      </c>
      <c r="AE128" s="44" t="str">
        <f>IF(OR(NOT(ISNUMBER(AA128)),NOT(ISNUMBER(X128))),"",IF(AA128&lt;0,IF(F128="空",X128-J128,J128-X128),IF(NOT(ISNUMBER(K128)),"",IF(F128="空",X128-K128,K128-X128))))</f>
        <v/>
      </c>
      <c r="AF128" s="32" t="n"/>
      <c r="AG128" s="32" t="n"/>
      <c r="AH128" s="31" t="n"/>
      <c r="AI128" s="43" t="str">
        <f>IF(A128="","",SUM(AC$5:AC128))</f>
        <v/>
      </c>
      <c r="AJ128" s="45" t="str">
        <f>IF(A128="","",MAX(0,MAX(AI$5:AI128))-AI128)</f>
        <v/>
      </c>
    </row>
    <row r="129">
      <c r="A129" s="29" t="n"/>
      <c r="B129" s="30" t="n"/>
      <c r="C129" s="31" t="n"/>
      <c r="D129" s="32" t="n"/>
      <c r="E129" s="32" t="n"/>
      <c r="F129" s="32" t="n"/>
      <c r="G129" s="32" t="n"/>
      <c r="H129" s="32" t="n"/>
      <c r="I129" s="33" t="n"/>
      <c r="J129" s="33" t="n"/>
      <c r="K129" s="33" t="n"/>
      <c r="L129" s="34" t="str">
        <f>IF(AND(ISNUMBER(I129),ISNUMBER(J129),ISNUMBER(K129)),IF(OR(AND(F129="多",I129&gt;J129),AND(F129="空",I129&lt;J129)),ABS(K129-I129)/ABS(I129-J129),"止损方向不对"),"")</f>
        <v/>
      </c>
      <c r="M129" s="35" t="str">
        <f>IF(AND(ISNUMBER(I129),ISNUMBER(J129)),IF(I129=J129,"",IF(INT(ROUND('参数'!$C$7/(ABS(I129-J129)*IF(N(G129)&gt;0,G129,1)+2*(I129*IF(N(G129)&gt;0,G129,1)*'参数'!$C$12+'参数'!$C$13+'参数'!$C$14*IF(N(G129)&gt;0,G129,1)))/IF(N(H129)&gt;0,H129,1),6))*IF(N(H129)&gt;0,H129,1)&gt;0,INT(ROUND('参数'!$C$7/(ABS(I129-J129)*IF(N(G129)&gt;0,G129,1)+2*(I129*IF(N(G129)&gt;0,G129,1)*'参数'!$C$12+'参数'!$C$13+'参数'!$C$14*IF(N(G129)&gt;0,G129,1)))/IF(N(H129)&gt;0,H129,1),6))*IF(N(H129)&gt;0,H129,1),"预算不足，这笔不做")),"")</f>
        <v/>
      </c>
      <c r="N129" s="36" t="n"/>
      <c r="O129" s="20" t="str">
        <f>IF(AND(ISNUMBER(I129),ISNUMBER(J129),ISNUMBER(N129)),IF(AND(I129&lt;&gt;J129,N129&gt;0),ABS(I129-J129)*N129*IF(N(G129)&gt;0,G129,1),""),"")</f>
        <v/>
      </c>
      <c r="P129" s="31" t="n"/>
      <c r="Q129" s="32" t="n"/>
      <c r="R129" s="37" t="str">
        <f>IF(N(U129)&gt;0,SUMPRODUCT(LARGE(('成交明细'!$A$5:$A$804=A129)*('成交明细'!$D$5:$D$804=IF(F129="空","卖","买"))*'成交明细'!$B$5:$B$804,COUNTIFS('成交明细'!$A$5:$A$804,A129,'成交明细'!$D$5:$D$804,IF(F129="空","卖","买")))),"")</f>
        <v/>
      </c>
      <c r="S129" s="37" t="str">
        <f>IF(AND(N(U129)&gt;0,N(W129)&gt;=N(U129)),SUMPRODUCT(MAX(('成交明细'!$A$5:$A$804=A129)*('成交明细'!$D$5:$D$804=IF(F129="空","买","卖"))*'成交明细'!$B$5:$B$804)),"")</f>
        <v/>
      </c>
      <c r="T129" s="38" t="str">
        <f>IF(N(U129)=0,"",IF(SUMPRODUCT(('成交明细'!$A$5:$A$804=A129)*('成交明细'!$D$5:$D$804=IF(F129="空","卖","买"))*ISNUMBER('成交明细'!$C$5:$C$804))=0,"没填时间",IFERROR(VLOOKUP(MOD(SUMPRODUCT(LARGE(('成交明细'!$A$5:$A$804=A129)*('成交明细'!$D$5:$D$804=IF(F129="空","卖","买"))*('成交明细'!$B$5:$B$804+'成交明细'!$C$5:$C$804),COUNTIFS('成交明细'!$A$5:$A$804,A129,'成交明细'!$D$5:$D$804,IF(F129="空","卖","买")))),1),'参数'!$B$39:$C$48,2,TRUE),"")))</f>
        <v/>
      </c>
      <c r="U129" s="35" t="str">
        <f>IF(A129="","",SUMIFS('成交明细'!$F$5:$F$804,'成交明细'!$A$5:$A$804,A129,'成交明细'!$D$5:$D$804,IF(F129="空","卖","买")))</f>
        <v/>
      </c>
      <c r="V129" s="39" t="str">
        <f>IF(N(U129)&gt;0,SUMIFS('成交明细'!$H$5:$H$804,'成交明细'!$A$5:$A$804,A129,'成交明细'!$D$5:$D$804,IF(F129="空","卖","买"))/U129,"")</f>
        <v/>
      </c>
      <c r="W129" s="35" t="str">
        <f>IF(A129="","",SUMIFS('成交明细'!$F$5:$F$804,'成交明细'!$A$5:$A$804,A129,'成交明细'!$D$5:$D$804,IF(F129="空","买","卖")))</f>
        <v/>
      </c>
      <c r="X129" s="39" t="str">
        <f>IF(N(W129)&gt;0,SUMIFS('成交明细'!$H$5:$H$804,'成交明细'!$A$5:$A$804,A129,'成交明细'!$D$5:$D$804,IF(F129="空","买","卖"))/W129,"")</f>
        <v/>
      </c>
      <c r="Y129" s="40" t="str">
        <f>IF(A129="","",IF(Q129&lt;&gt;"已执行",IF(Q129="","未填执行情况",Q129),IF(N(U129)=0,"待录成交",IF(N(W129)&gt;N(U129),"平仓多于开仓",IF(N(W129)&lt;N(U129),"持仓中","已平仓")))))</f>
        <v/>
      </c>
      <c r="Z129" s="41" t="str">
        <f>IF(N(U129)=0,"",SUMIFS('成交明细'!$L$5:$L$804,'成交明细'!$A$5:$A$804,A129))</f>
        <v/>
      </c>
      <c r="AA129" s="42" t="str">
        <f>IF(Y129&lt;&gt;"已平仓","",(SUMIFS('成交明细'!$H$5:$H$804,'成交明细'!$A$5:$A$804,A129,'成交明细'!$D$5:$D$804,"卖")-SUMIFS('成交明细'!$H$5:$H$804,'成交明细'!$A$5:$A$804,A129,'成交明细'!$D$5:$D$804,"买"))*IF(N(G129)&gt;0,G129,1)-Z129)</f>
        <v/>
      </c>
      <c r="AB129" s="43" t="str">
        <f>IF(AND(Y129="已平仓",ISNUMBER(O129)),(SUMIFS('成交明细'!$H$5:$H$804,'成交明细'!$A$5:$A$804,A129,'成交明细'!$D$5:$D$804,"卖")-SUMIFS('成交明细'!$H$5:$H$804,'成交明细'!$A$5:$A$804,A129,'成交明细'!$D$5:$D$804,"买"))*IF(N(G129)&gt;0,G129,1)/O129,"")</f>
        <v/>
      </c>
      <c r="AC129" s="43" t="str">
        <f>IF(AND(Y129="已平仓",ISNUMBER(O129)),AA129/O129,"")</f>
        <v/>
      </c>
      <c r="AD129" s="44" t="str">
        <f>IF(AND(ISNUMBER(V129),ISNUMBER(I129)),IF(F129="空",I129-V129,V129-I129),"")</f>
        <v/>
      </c>
      <c r="AE129" s="44" t="str">
        <f>IF(OR(NOT(ISNUMBER(AA129)),NOT(ISNUMBER(X129))),"",IF(AA129&lt;0,IF(F129="空",X129-J129,J129-X129),IF(NOT(ISNUMBER(K129)),"",IF(F129="空",X129-K129,K129-X129))))</f>
        <v/>
      </c>
      <c r="AF129" s="32" t="n"/>
      <c r="AG129" s="32" t="n"/>
      <c r="AH129" s="31" t="n"/>
      <c r="AI129" s="43" t="str">
        <f>IF(A129="","",SUM(AC$5:AC129))</f>
        <v/>
      </c>
      <c r="AJ129" s="45" t="str">
        <f>IF(A129="","",MAX(0,MAX(AI$5:AI129))-AI129)</f>
        <v/>
      </c>
    </row>
    <row r="130">
      <c r="A130" s="29" t="n"/>
      <c r="B130" s="30" t="n"/>
      <c r="C130" s="31" t="n"/>
      <c r="D130" s="32" t="n"/>
      <c r="E130" s="32" t="n"/>
      <c r="F130" s="32" t="n"/>
      <c r="G130" s="32" t="n"/>
      <c r="H130" s="32" t="n"/>
      <c r="I130" s="33" t="n"/>
      <c r="J130" s="33" t="n"/>
      <c r="K130" s="33" t="n"/>
      <c r="L130" s="34" t="str">
        <f>IF(AND(ISNUMBER(I130),ISNUMBER(J130),ISNUMBER(K130)),IF(OR(AND(F130="多",I130&gt;J130),AND(F130="空",I130&lt;J130)),ABS(K130-I130)/ABS(I130-J130),"止损方向不对"),"")</f>
        <v/>
      </c>
      <c r="M130" s="35" t="str">
        <f>IF(AND(ISNUMBER(I130),ISNUMBER(J130)),IF(I130=J130,"",IF(INT(ROUND('参数'!$C$7/(ABS(I130-J130)*IF(N(G130)&gt;0,G130,1)+2*(I130*IF(N(G130)&gt;0,G130,1)*'参数'!$C$12+'参数'!$C$13+'参数'!$C$14*IF(N(G130)&gt;0,G130,1)))/IF(N(H130)&gt;0,H130,1),6))*IF(N(H130)&gt;0,H130,1)&gt;0,INT(ROUND('参数'!$C$7/(ABS(I130-J130)*IF(N(G130)&gt;0,G130,1)+2*(I130*IF(N(G130)&gt;0,G130,1)*'参数'!$C$12+'参数'!$C$13+'参数'!$C$14*IF(N(G130)&gt;0,G130,1)))/IF(N(H130)&gt;0,H130,1),6))*IF(N(H130)&gt;0,H130,1),"预算不足，这笔不做")),"")</f>
        <v/>
      </c>
      <c r="N130" s="36" t="n"/>
      <c r="O130" s="20" t="str">
        <f>IF(AND(ISNUMBER(I130),ISNUMBER(J130),ISNUMBER(N130)),IF(AND(I130&lt;&gt;J130,N130&gt;0),ABS(I130-J130)*N130*IF(N(G130)&gt;0,G130,1),""),"")</f>
        <v/>
      </c>
      <c r="P130" s="31" t="n"/>
      <c r="Q130" s="32" t="n"/>
      <c r="R130" s="37" t="str">
        <f>IF(N(U130)&gt;0,SUMPRODUCT(LARGE(('成交明细'!$A$5:$A$804=A130)*('成交明细'!$D$5:$D$804=IF(F130="空","卖","买"))*'成交明细'!$B$5:$B$804,COUNTIFS('成交明细'!$A$5:$A$804,A130,'成交明细'!$D$5:$D$804,IF(F130="空","卖","买")))),"")</f>
        <v/>
      </c>
      <c r="S130" s="37" t="str">
        <f>IF(AND(N(U130)&gt;0,N(W130)&gt;=N(U130)),SUMPRODUCT(MAX(('成交明细'!$A$5:$A$804=A130)*('成交明细'!$D$5:$D$804=IF(F130="空","买","卖"))*'成交明细'!$B$5:$B$804)),"")</f>
        <v/>
      </c>
      <c r="T130" s="38" t="str">
        <f>IF(N(U130)=0,"",IF(SUMPRODUCT(('成交明细'!$A$5:$A$804=A130)*('成交明细'!$D$5:$D$804=IF(F130="空","卖","买"))*ISNUMBER('成交明细'!$C$5:$C$804))=0,"没填时间",IFERROR(VLOOKUP(MOD(SUMPRODUCT(LARGE(('成交明细'!$A$5:$A$804=A130)*('成交明细'!$D$5:$D$804=IF(F130="空","卖","买"))*('成交明细'!$B$5:$B$804+'成交明细'!$C$5:$C$804),COUNTIFS('成交明细'!$A$5:$A$804,A130,'成交明细'!$D$5:$D$804,IF(F130="空","卖","买")))),1),'参数'!$B$39:$C$48,2,TRUE),"")))</f>
        <v/>
      </c>
      <c r="U130" s="35" t="str">
        <f>IF(A130="","",SUMIFS('成交明细'!$F$5:$F$804,'成交明细'!$A$5:$A$804,A130,'成交明细'!$D$5:$D$804,IF(F130="空","卖","买")))</f>
        <v/>
      </c>
      <c r="V130" s="39" t="str">
        <f>IF(N(U130)&gt;0,SUMIFS('成交明细'!$H$5:$H$804,'成交明细'!$A$5:$A$804,A130,'成交明细'!$D$5:$D$804,IF(F130="空","卖","买"))/U130,"")</f>
        <v/>
      </c>
      <c r="W130" s="35" t="str">
        <f>IF(A130="","",SUMIFS('成交明细'!$F$5:$F$804,'成交明细'!$A$5:$A$804,A130,'成交明细'!$D$5:$D$804,IF(F130="空","买","卖")))</f>
        <v/>
      </c>
      <c r="X130" s="39" t="str">
        <f>IF(N(W130)&gt;0,SUMIFS('成交明细'!$H$5:$H$804,'成交明细'!$A$5:$A$804,A130,'成交明细'!$D$5:$D$804,IF(F130="空","买","卖"))/W130,"")</f>
        <v/>
      </c>
      <c r="Y130" s="40" t="str">
        <f>IF(A130="","",IF(Q130&lt;&gt;"已执行",IF(Q130="","未填执行情况",Q130),IF(N(U130)=0,"待录成交",IF(N(W130)&gt;N(U130),"平仓多于开仓",IF(N(W130)&lt;N(U130),"持仓中","已平仓")))))</f>
        <v/>
      </c>
      <c r="Z130" s="41" t="str">
        <f>IF(N(U130)=0,"",SUMIFS('成交明细'!$L$5:$L$804,'成交明细'!$A$5:$A$804,A130))</f>
        <v/>
      </c>
      <c r="AA130" s="42" t="str">
        <f>IF(Y130&lt;&gt;"已平仓","",(SUMIFS('成交明细'!$H$5:$H$804,'成交明细'!$A$5:$A$804,A130,'成交明细'!$D$5:$D$804,"卖")-SUMIFS('成交明细'!$H$5:$H$804,'成交明细'!$A$5:$A$804,A130,'成交明细'!$D$5:$D$804,"买"))*IF(N(G130)&gt;0,G130,1)-Z130)</f>
        <v/>
      </c>
      <c r="AB130" s="43" t="str">
        <f>IF(AND(Y130="已平仓",ISNUMBER(O130)),(SUMIFS('成交明细'!$H$5:$H$804,'成交明细'!$A$5:$A$804,A130,'成交明细'!$D$5:$D$804,"卖")-SUMIFS('成交明细'!$H$5:$H$804,'成交明细'!$A$5:$A$804,A130,'成交明细'!$D$5:$D$804,"买"))*IF(N(G130)&gt;0,G130,1)/O130,"")</f>
        <v/>
      </c>
      <c r="AC130" s="43" t="str">
        <f>IF(AND(Y130="已平仓",ISNUMBER(O130)),AA130/O130,"")</f>
        <v/>
      </c>
      <c r="AD130" s="44" t="str">
        <f>IF(AND(ISNUMBER(V130),ISNUMBER(I130)),IF(F130="空",I130-V130,V130-I130),"")</f>
        <v/>
      </c>
      <c r="AE130" s="44" t="str">
        <f>IF(OR(NOT(ISNUMBER(AA130)),NOT(ISNUMBER(X130))),"",IF(AA130&lt;0,IF(F130="空",X130-J130,J130-X130),IF(NOT(ISNUMBER(K130)),"",IF(F130="空",X130-K130,K130-X130))))</f>
        <v/>
      </c>
      <c r="AF130" s="32" t="n"/>
      <c r="AG130" s="32" t="n"/>
      <c r="AH130" s="31" t="n"/>
      <c r="AI130" s="43" t="str">
        <f>IF(A130="","",SUM(AC$5:AC130))</f>
        <v/>
      </c>
      <c r="AJ130" s="45" t="str">
        <f>IF(A130="","",MAX(0,MAX(AI$5:AI130))-AI130)</f>
        <v/>
      </c>
    </row>
    <row r="131">
      <c r="A131" s="29" t="n"/>
      <c r="B131" s="30" t="n"/>
      <c r="C131" s="31" t="n"/>
      <c r="D131" s="32" t="n"/>
      <c r="E131" s="32" t="n"/>
      <c r="F131" s="32" t="n"/>
      <c r="G131" s="32" t="n"/>
      <c r="H131" s="32" t="n"/>
      <c r="I131" s="33" t="n"/>
      <c r="J131" s="33" t="n"/>
      <c r="K131" s="33" t="n"/>
      <c r="L131" s="34" t="str">
        <f>IF(AND(ISNUMBER(I131),ISNUMBER(J131),ISNUMBER(K131)),IF(OR(AND(F131="多",I131&gt;J131),AND(F131="空",I131&lt;J131)),ABS(K131-I131)/ABS(I131-J131),"止损方向不对"),"")</f>
        <v/>
      </c>
      <c r="M131" s="35" t="str">
        <f>IF(AND(ISNUMBER(I131),ISNUMBER(J131)),IF(I131=J131,"",IF(INT(ROUND('参数'!$C$7/(ABS(I131-J131)*IF(N(G131)&gt;0,G131,1)+2*(I131*IF(N(G131)&gt;0,G131,1)*'参数'!$C$12+'参数'!$C$13+'参数'!$C$14*IF(N(G131)&gt;0,G131,1)))/IF(N(H131)&gt;0,H131,1),6))*IF(N(H131)&gt;0,H131,1)&gt;0,INT(ROUND('参数'!$C$7/(ABS(I131-J131)*IF(N(G131)&gt;0,G131,1)+2*(I131*IF(N(G131)&gt;0,G131,1)*'参数'!$C$12+'参数'!$C$13+'参数'!$C$14*IF(N(G131)&gt;0,G131,1)))/IF(N(H131)&gt;0,H131,1),6))*IF(N(H131)&gt;0,H131,1),"预算不足，这笔不做")),"")</f>
        <v/>
      </c>
      <c r="N131" s="36" t="n"/>
      <c r="O131" s="20" t="str">
        <f>IF(AND(ISNUMBER(I131),ISNUMBER(J131),ISNUMBER(N131)),IF(AND(I131&lt;&gt;J131,N131&gt;0),ABS(I131-J131)*N131*IF(N(G131)&gt;0,G131,1),""),"")</f>
        <v/>
      </c>
      <c r="P131" s="31" t="n"/>
      <c r="Q131" s="32" t="n"/>
      <c r="R131" s="37" t="str">
        <f>IF(N(U131)&gt;0,SUMPRODUCT(LARGE(('成交明细'!$A$5:$A$804=A131)*('成交明细'!$D$5:$D$804=IF(F131="空","卖","买"))*'成交明细'!$B$5:$B$804,COUNTIFS('成交明细'!$A$5:$A$804,A131,'成交明细'!$D$5:$D$804,IF(F131="空","卖","买")))),"")</f>
        <v/>
      </c>
      <c r="S131" s="37" t="str">
        <f>IF(AND(N(U131)&gt;0,N(W131)&gt;=N(U131)),SUMPRODUCT(MAX(('成交明细'!$A$5:$A$804=A131)*('成交明细'!$D$5:$D$804=IF(F131="空","买","卖"))*'成交明细'!$B$5:$B$804)),"")</f>
        <v/>
      </c>
      <c r="T131" s="38" t="str">
        <f>IF(N(U131)=0,"",IF(SUMPRODUCT(('成交明细'!$A$5:$A$804=A131)*('成交明细'!$D$5:$D$804=IF(F131="空","卖","买"))*ISNUMBER('成交明细'!$C$5:$C$804))=0,"没填时间",IFERROR(VLOOKUP(MOD(SUMPRODUCT(LARGE(('成交明细'!$A$5:$A$804=A131)*('成交明细'!$D$5:$D$804=IF(F131="空","卖","买"))*('成交明细'!$B$5:$B$804+'成交明细'!$C$5:$C$804),COUNTIFS('成交明细'!$A$5:$A$804,A131,'成交明细'!$D$5:$D$804,IF(F131="空","卖","买")))),1),'参数'!$B$39:$C$48,2,TRUE),"")))</f>
        <v/>
      </c>
      <c r="U131" s="35" t="str">
        <f>IF(A131="","",SUMIFS('成交明细'!$F$5:$F$804,'成交明细'!$A$5:$A$804,A131,'成交明细'!$D$5:$D$804,IF(F131="空","卖","买")))</f>
        <v/>
      </c>
      <c r="V131" s="39" t="str">
        <f>IF(N(U131)&gt;0,SUMIFS('成交明细'!$H$5:$H$804,'成交明细'!$A$5:$A$804,A131,'成交明细'!$D$5:$D$804,IF(F131="空","卖","买"))/U131,"")</f>
        <v/>
      </c>
      <c r="W131" s="35" t="str">
        <f>IF(A131="","",SUMIFS('成交明细'!$F$5:$F$804,'成交明细'!$A$5:$A$804,A131,'成交明细'!$D$5:$D$804,IF(F131="空","买","卖")))</f>
        <v/>
      </c>
      <c r="X131" s="39" t="str">
        <f>IF(N(W131)&gt;0,SUMIFS('成交明细'!$H$5:$H$804,'成交明细'!$A$5:$A$804,A131,'成交明细'!$D$5:$D$804,IF(F131="空","买","卖"))/W131,"")</f>
        <v/>
      </c>
      <c r="Y131" s="40" t="str">
        <f>IF(A131="","",IF(Q131&lt;&gt;"已执行",IF(Q131="","未填执行情况",Q131),IF(N(U131)=0,"待录成交",IF(N(W131)&gt;N(U131),"平仓多于开仓",IF(N(W131)&lt;N(U131),"持仓中","已平仓")))))</f>
        <v/>
      </c>
      <c r="Z131" s="41" t="str">
        <f>IF(N(U131)=0,"",SUMIFS('成交明细'!$L$5:$L$804,'成交明细'!$A$5:$A$804,A131))</f>
        <v/>
      </c>
      <c r="AA131" s="42" t="str">
        <f>IF(Y131&lt;&gt;"已平仓","",(SUMIFS('成交明细'!$H$5:$H$804,'成交明细'!$A$5:$A$804,A131,'成交明细'!$D$5:$D$804,"卖")-SUMIFS('成交明细'!$H$5:$H$804,'成交明细'!$A$5:$A$804,A131,'成交明细'!$D$5:$D$804,"买"))*IF(N(G131)&gt;0,G131,1)-Z131)</f>
        <v/>
      </c>
      <c r="AB131" s="43" t="str">
        <f>IF(AND(Y131="已平仓",ISNUMBER(O131)),(SUMIFS('成交明细'!$H$5:$H$804,'成交明细'!$A$5:$A$804,A131,'成交明细'!$D$5:$D$804,"卖")-SUMIFS('成交明细'!$H$5:$H$804,'成交明细'!$A$5:$A$804,A131,'成交明细'!$D$5:$D$804,"买"))*IF(N(G131)&gt;0,G131,1)/O131,"")</f>
        <v/>
      </c>
      <c r="AC131" s="43" t="str">
        <f>IF(AND(Y131="已平仓",ISNUMBER(O131)),AA131/O131,"")</f>
        <v/>
      </c>
      <c r="AD131" s="44" t="str">
        <f>IF(AND(ISNUMBER(V131),ISNUMBER(I131)),IF(F131="空",I131-V131,V131-I131),"")</f>
        <v/>
      </c>
      <c r="AE131" s="44" t="str">
        <f>IF(OR(NOT(ISNUMBER(AA131)),NOT(ISNUMBER(X131))),"",IF(AA131&lt;0,IF(F131="空",X131-J131,J131-X131),IF(NOT(ISNUMBER(K131)),"",IF(F131="空",X131-K131,K131-X131))))</f>
        <v/>
      </c>
      <c r="AF131" s="32" t="n"/>
      <c r="AG131" s="32" t="n"/>
      <c r="AH131" s="31" t="n"/>
      <c r="AI131" s="43" t="str">
        <f>IF(A131="","",SUM(AC$5:AC131))</f>
        <v/>
      </c>
      <c r="AJ131" s="45" t="str">
        <f>IF(A131="","",MAX(0,MAX(AI$5:AI131))-AI131)</f>
        <v/>
      </c>
    </row>
    <row r="132">
      <c r="A132" s="29" t="n"/>
      <c r="B132" s="30" t="n"/>
      <c r="C132" s="31" t="n"/>
      <c r="D132" s="32" t="n"/>
      <c r="E132" s="32" t="n"/>
      <c r="F132" s="32" t="n"/>
      <c r="G132" s="32" t="n"/>
      <c r="H132" s="32" t="n"/>
      <c r="I132" s="33" t="n"/>
      <c r="J132" s="33" t="n"/>
      <c r="K132" s="33" t="n"/>
      <c r="L132" s="34" t="str">
        <f>IF(AND(ISNUMBER(I132),ISNUMBER(J132),ISNUMBER(K132)),IF(OR(AND(F132="多",I132&gt;J132),AND(F132="空",I132&lt;J132)),ABS(K132-I132)/ABS(I132-J132),"止损方向不对"),"")</f>
        <v/>
      </c>
      <c r="M132" s="35" t="str">
        <f>IF(AND(ISNUMBER(I132),ISNUMBER(J132)),IF(I132=J132,"",IF(INT(ROUND('参数'!$C$7/(ABS(I132-J132)*IF(N(G132)&gt;0,G132,1)+2*(I132*IF(N(G132)&gt;0,G132,1)*'参数'!$C$12+'参数'!$C$13+'参数'!$C$14*IF(N(G132)&gt;0,G132,1)))/IF(N(H132)&gt;0,H132,1),6))*IF(N(H132)&gt;0,H132,1)&gt;0,INT(ROUND('参数'!$C$7/(ABS(I132-J132)*IF(N(G132)&gt;0,G132,1)+2*(I132*IF(N(G132)&gt;0,G132,1)*'参数'!$C$12+'参数'!$C$13+'参数'!$C$14*IF(N(G132)&gt;0,G132,1)))/IF(N(H132)&gt;0,H132,1),6))*IF(N(H132)&gt;0,H132,1),"预算不足，这笔不做")),"")</f>
        <v/>
      </c>
      <c r="N132" s="36" t="n"/>
      <c r="O132" s="20" t="str">
        <f>IF(AND(ISNUMBER(I132),ISNUMBER(J132),ISNUMBER(N132)),IF(AND(I132&lt;&gt;J132,N132&gt;0),ABS(I132-J132)*N132*IF(N(G132)&gt;0,G132,1),""),"")</f>
        <v/>
      </c>
      <c r="P132" s="31" t="n"/>
      <c r="Q132" s="32" t="n"/>
      <c r="R132" s="37" t="str">
        <f>IF(N(U132)&gt;0,SUMPRODUCT(LARGE(('成交明细'!$A$5:$A$804=A132)*('成交明细'!$D$5:$D$804=IF(F132="空","卖","买"))*'成交明细'!$B$5:$B$804,COUNTIFS('成交明细'!$A$5:$A$804,A132,'成交明细'!$D$5:$D$804,IF(F132="空","卖","买")))),"")</f>
        <v/>
      </c>
      <c r="S132" s="37" t="str">
        <f>IF(AND(N(U132)&gt;0,N(W132)&gt;=N(U132)),SUMPRODUCT(MAX(('成交明细'!$A$5:$A$804=A132)*('成交明细'!$D$5:$D$804=IF(F132="空","买","卖"))*'成交明细'!$B$5:$B$804)),"")</f>
        <v/>
      </c>
      <c r="T132" s="38" t="str">
        <f>IF(N(U132)=0,"",IF(SUMPRODUCT(('成交明细'!$A$5:$A$804=A132)*('成交明细'!$D$5:$D$804=IF(F132="空","卖","买"))*ISNUMBER('成交明细'!$C$5:$C$804))=0,"没填时间",IFERROR(VLOOKUP(MOD(SUMPRODUCT(LARGE(('成交明细'!$A$5:$A$804=A132)*('成交明细'!$D$5:$D$804=IF(F132="空","卖","买"))*('成交明细'!$B$5:$B$804+'成交明细'!$C$5:$C$804),COUNTIFS('成交明细'!$A$5:$A$804,A132,'成交明细'!$D$5:$D$804,IF(F132="空","卖","买")))),1),'参数'!$B$39:$C$48,2,TRUE),"")))</f>
        <v/>
      </c>
      <c r="U132" s="35" t="str">
        <f>IF(A132="","",SUMIFS('成交明细'!$F$5:$F$804,'成交明细'!$A$5:$A$804,A132,'成交明细'!$D$5:$D$804,IF(F132="空","卖","买")))</f>
        <v/>
      </c>
      <c r="V132" s="39" t="str">
        <f>IF(N(U132)&gt;0,SUMIFS('成交明细'!$H$5:$H$804,'成交明细'!$A$5:$A$804,A132,'成交明细'!$D$5:$D$804,IF(F132="空","卖","买"))/U132,"")</f>
        <v/>
      </c>
      <c r="W132" s="35" t="str">
        <f>IF(A132="","",SUMIFS('成交明细'!$F$5:$F$804,'成交明细'!$A$5:$A$804,A132,'成交明细'!$D$5:$D$804,IF(F132="空","买","卖")))</f>
        <v/>
      </c>
      <c r="X132" s="39" t="str">
        <f>IF(N(W132)&gt;0,SUMIFS('成交明细'!$H$5:$H$804,'成交明细'!$A$5:$A$804,A132,'成交明细'!$D$5:$D$804,IF(F132="空","买","卖"))/W132,"")</f>
        <v/>
      </c>
      <c r="Y132" s="40" t="str">
        <f>IF(A132="","",IF(Q132&lt;&gt;"已执行",IF(Q132="","未填执行情况",Q132),IF(N(U132)=0,"待录成交",IF(N(W132)&gt;N(U132),"平仓多于开仓",IF(N(W132)&lt;N(U132),"持仓中","已平仓")))))</f>
        <v/>
      </c>
      <c r="Z132" s="41" t="str">
        <f>IF(N(U132)=0,"",SUMIFS('成交明细'!$L$5:$L$804,'成交明细'!$A$5:$A$804,A132))</f>
        <v/>
      </c>
      <c r="AA132" s="42" t="str">
        <f>IF(Y132&lt;&gt;"已平仓","",(SUMIFS('成交明细'!$H$5:$H$804,'成交明细'!$A$5:$A$804,A132,'成交明细'!$D$5:$D$804,"卖")-SUMIFS('成交明细'!$H$5:$H$804,'成交明细'!$A$5:$A$804,A132,'成交明细'!$D$5:$D$804,"买"))*IF(N(G132)&gt;0,G132,1)-Z132)</f>
        <v/>
      </c>
      <c r="AB132" s="43" t="str">
        <f>IF(AND(Y132="已平仓",ISNUMBER(O132)),(SUMIFS('成交明细'!$H$5:$H$804,'成交明细'!$A$5:$A$804,A132,'成交明细'!$D$5:$D$804,"卖")-SUMIFS('成交明细'!$H$5:$H$804,'成交明细'!$A$5:$A$804,A132,'成交明细'!$D$5:$D$804,"买"))*IF(N(G132)&gt;0,G132,1)/O132,"")</f>
        <v/>
      </c>
      <c r="AC132" s="43" t="str">
        <f>IF(AND(Y132="已平仓",ISNUMBER(O132)),AA132/O132,"")</f>
        <v/>
      </c>
      <c r="AD132" s="44" t="str">
        <f>IF(AND(ISNUMBER(V132),ISNUMBER(I132)),IF(F132="空",I132-V132,V132-I132),"")</f>
        <v/>
      </c>
      <c r="AE132" s="44" t="str">
        <f>IF(OR(NOT(ISNUMBER(AA132)),NOT(ISNUMBER(X132))),"",IF(AA132&lt;0,IF(F132="空",X132-J132,J132-X132),IF(NOT(ISNUMBER(K132)),"",IF(F132="空",X132-K132,K132-X132))))</f>
        <v/>
      </c>
      <c r="AF132" s="32" t="n"/>
      <c r="AG132" s="32" t="n"/>
      <c r="AH132" s="31" t="n"/>
      <c r="AI132" s="43" t="str">
        <f>IF(A132="","",SUM(AC$5:AC132))</f>
        <v/>
      </c>
      <c r="AJ132" s="45" t="str">
        <f>IF(A132="","",MAX(0,MAX(AI$5:AI132))-AI132)</f>
        <v/>
      </c>
    </row>
    <row r="133">
      <c r="A133" s="29" t="n"/>
      <c r="B133" s="30" t="n"/>
      <c r="C133" s="31" t="n"/>
      <c r="D133" s="32" t="n"/>
      <c r="E133" s="32" t="n"/>
      <c r="F133" s="32" t="n"/>
      <c r="G133" s="32" t="n"/>
      <c r="H133" s="32" t="n"/>
      <c r="I133" s="33" t="n"/>
      <c r="J133" s="33" t="n"/>
      <c r="K133" s="33" t="n"/>
      <c r="L133" s="34" t="str">
        <f>IF(AND(ISNUMBER(I133),ISNUMBER(J133),ISNUMBER(K133)),IF(OR(AND(F133="多",I133&gt;J133),AND(F133="空",I133&lt;J133)),ABS(K133-I133)/ABS(I133-J133),"止损方向不对"),"")</f>
        <v/>
      </c>
      <c r="M133" s="35" t="str">
        <f>IF(AND(ISNUMBER(I133),ISNUMBER(J133)),IF(I133=J133,"",IF(INT(ROUND('参数'!$C$7/(ABS(I133-J133)*IF(N(G133)&gt;0,G133,1)+2*(I133*IF(N(G133)&gt;0,G133,1)*'参数'!$C$12+'参数'!$C$13+'参数'!$C$14*IF(N(G133)&gt;0,G133,1)))/IF(N(H133)&gt;0,H133,1),6))*IF(N(H133)&gt;0,H133,1)&gt;0,INT(ROUND('参数'!$C$7/(ABS(I133-J133)*IF(N(G133)&gt;0,G133,1)+2*(I133*IF(N(G133)&gt;0,G133,1)*'参数'!$C$12+'参数'!$C$13+'参数'!$C$14*IF(N(G133)&gt;0,G133,1)))/IF(N(H133)&gt;0,H133,1),6))*IF(N(H133)&gt;0,H133,1),"预算不足，这笔不做")),"")</f>
        <v/>
      </c>
      <c r="N133" s="36" t="n"/>
      <c r="O133" s="20" t="str">
        <f>IF(AND(ISNUMBER(I133),ISNUMBER(J133),ISNUMBER(N133)),IF(AND(I133&lt;&gt;J133,N133&gt;0),ABS(I133-J133)*N133*IF(N(G133)&gt;0,G133,1),""),"")</f>
        <v/>
      </c>
      <c r="P133" s="31" t="n"/>
      <c r="Q133" s="32" t="n"/>
      <c r="R133" s="37" t="str">
        <f>IF(N(U133)&gt;0,SUMPRODUCT(LARGE(('成交明细'!$A$5:$A$804=A133)*('成交明细'!$D$5:$D$804=IF(F133="空","卖","买"))*'成交明细'!$B$5:$B$804,COUNTIFS('成交明细'!$A$5:$A$804,A133,'成交明细'!$D$5:$D$804,IF(F133="空","卖","买")))),"")</f>
        <v/>
      </c>
      <c r="S133" s="37" t="str">
        <f>IF(AND(N(U133)&gt;0,N(W133)&gt;=N(U133)),SUMPRODUCT(MAX(('成交明细'!$A$5:$A$804=A133)*('成交明细'!$D$5:$D$804=IF(F133="空","买","卖"))*'成交明细'!$B$5:$B$804)),"")</f>
        <v/>
      </c>
      <c r="T133" s="38" t="str">
        <f>IF(N(U133)=0,"",IF(SUMPRODUCT(('成交明细'!$A$5:$A$804=A133)*('成交明细'!$D$5:$D$804=IF(F133="空","卖","买"))*ISNUMBER('成交明细'!$C$5:$C$804))=0,"没填时间",IFERROR(VLOOKUP(MOD(SUMPRODUCT(LARGE(('成交明细'!$A$5:$A$804=A133)*('成交明细'!$D$5:$D$804=IF(F133="空","卖","买"))*('成交明细'!$B$5:$B$804+'成交明细'!$C$5:$C$804),COUNTIFS('成交明细'!$A$5:$A$804,A133,'成交明细'!$D$5:$D$804,IF(F133="空","卖","买")))),1),'参数'!$B$39:$C$48,2,TRUE),"")))</f>
        <v/>
      </c>
      <c r="U133" s="35" t="str">
        <f>IF(A133="","",SUMIFS('成交明细'!$F$5:$F$804,'成交明细'!$A$5:$A$804,A133,'成交明细'!$D$5:$D$804,IF(F133="空","卖","买")))</f>
        <v/>
      </c>
      <c r="V133" s="39" t="str">
        <f>IF(N(U133)&gt;0,SUMIFS('成交明细'!$H$5:$H$804,'成交明细'!$A$5:$A$804,A133,'成交明细'!$D$5:$D$804,IF(F133="空","卖","买"))/U133,"")</f>
        <v/>
      </c>
      <c r="W133" s="35" t="str">
        <f>IF(A133="","",SUMIFS('成交明细'!$F$5:$F$804,'成交明细'!$A$5:$A$804,A133,'成交明细'!$D$5:$D$804,IF(F133="空","买","卖")))</f>
        <v/>
      </c>
      <c r="X133" s="39" t="str">
        <f>IF(N(W133)&gt;0,SUMIFS('成交明细'!$H$5:$H$804,'成交明细'!$A$5:$A$804,A133,'成交明细'!$D$5:$D$804,IF(F133="空","买","卖"))/W133,"")</f>
        <v/>
      </c>
      <c r="Y133" s="40" t="str">
        <f>IF(A133="","",IF(Q133&lt;&gt;"已执行",IF(Q133="","未填执行情况",Q133),IF(N(U133)=0,"待录成交",IF(N(W133)&gt;N(U133),"平仓多于开仓",IF(N(W133)&lt;N(U133),"持仓中","已平仓")))))</f>
        <v/>
      </c>
      <c r="Z133" s="41" t="str">
        <f>IF(N(U133)=0,"",SUMIFS('成交明细'!$L$5:$L$804,'成交明细'!$A$5:$A$804,A133))</f>
        <v/>
      </c>
      <c r="AA133" s="42" t="str">
        <f>IF(Y133&lt;&gt;"已平仓","",(SUMIFS('成交明细'!$H$5:$H$804,'成交明细'!$A$5:$A$804,A133,'成交明细'!$D$5:$D$804,"卖")-SUMIFS('成交明细'!$H$5:$H$804,'成交明细'!$A$5:$A$804,A133,'成交明细'!$D$5:$D$804,"买"))*IF(N(G133)&gt;0,G133,1)-Z133)</f>
        <v/>
      </c>
      <c r="AB133" s="43" t="str">
        <f>IF(AND(Y133="已平仓",ISNUMBER(O133)),(SUMIFS('成交明细'!$H$5:$H$804,'成交明细'!$A$5:$A$804,A133,'成交明细'!$D$5:$D$804,"卖")-SUMIFS('成交明细'!$H$5:$H$804,'成交明细'!$A$5:$A$804,A133,'成交明细'!$D$5:$D$804,"买"))*IF(N(G133)&gt;0,G133,1)/O133,"")</f>
        <v/>
      </c>
      <c r="AC133" s="43" t="str">
        <f>IF(AND(Y133="已平仓",ISNUMBER(O133)),AA133/O133,"")</f>
        <v/>
      </c>
      <c r="AD133" s="44" t="str">
        <f>IF(AND(ISNUMBER(V133),ISNUMBER(I133)),IF(F133="空",I133-V133,V133-I133),"")</f>
        <v/>
      </c>
      <c r="AE133" s="44" t="str">
        <f>IF(OR(NOT(ISNUMBER(AA133)),NOT(ISNUMBER(X133))),"",IF(AA133&lt;0,IF(F133="空",X133-J133,J133-X133),IF(NOT(ISNUMBER(K133)),"",IF(F133="空",X133-K133,K133-X133))))</f>
        <v/>
      </c>
      <c r="AF133" s="32" t="n"/>
      <c r="AG133" s="32" t="n"/>
      <c r="AH133" s="31" t="n"/>
      <c r="AI133" s="43" t="str">
        <f>IF(A133="","",SUM(AC$5:AC133))</f>
        <v/>
      </c>
      <c r="AJ133" s="45" t="str">
        <f>IF(A133="","",MAX(0,MAX(AI$5:AI133))-AI133)</f>
        <v/>
      </c>
    </row>
    <row r="134">
      <c r="A134" s="29" t="n"/>
      <c r="B134" s="30" t="n"/>
      <c r="C134" s="31" t="n"/>
      <c r="D134" s="32" t="n"/>
      <c r="E134" s="32" t="n"/>
      <c r="F134" s="32" t="n"/>
      <c r="G134" s="32" t="n"/>
      <c r="H134" s="32" t="n"/>
      <c r="I134" s="33" t="n"/>
      <c r="J134" s="33" t="n"/>
      <c r="K134" s="33" t="n"/>
      <c r="L134" s="34" t="str">
        <f>IF(AND(ISNUMBER(I134),ISNUMBER(J134),ISNUMBER(K134)),IF(OR(AND(F134="多",I134&gt;J134),AND(F134="空",I134&lt;J134)),ABS(K134-I134)/ABS(I134-J134),"止损方向不对"),"")</f>
        <v/>
      </c>
      <c r="M134" s="35" t="str">
        <f>IF(AND(ISNUMBER(I134),ISNUMBER(J134)),IF(I134=J134,"",IF(INT(ROUND('参数'!$C$7/(ABS(I134-J134)*IF(N(G134)&gt;0,G134,1)+2*(I134*IF(N(G134)&gt;0,G134,1)*'参数'!$C$12+'参数'!$C$13+'参数'!$C$14*IF(N(G134)&gt;0,G134,1)))/IF(N(H134)&gt;0,H134,1),6))*IF(N(H134)&gt;0,H134,1)&gt;0,INT(ROUND('参数'!$C$7/(ABS(I134-J134)*IF(N(G134)&gt;0,G134,1)+2*(I134*IF(N(G134)&gt;0,G134,1)*'参数'!$C$12+'参数'!$C$13+'参数'!$C$14*IF(N(G134)&gt;0,G134,1)))/IF(N(H134)&gt;0,H134,1),6))*IF(N(H134)&gt;0,H134,1),"预算不足，这笔不做")),"")</f>
        <v/>
      </c>
      <c r="N134" s="36" t="n"/>
      <c r="O134" s="20" t="str">
        <f>IF(AND(ISNUMBER(I134),ISNUMBER(J134),ISNUMBER(N134)),IF(AND(I134&lt;&gt;J134,N134&gt;0),ABS(I134-J134)*N134*IF(N(G134)&gt;0,G134,1),""),"")</f>
        <v/>
      </c>
      <c r="P134" s="31" t="n"/>
      <c r="Q134" s="32" t="n"/>
      <c r="R134" s="37" t="str">
        <f>IF(N(U134)&gt;0,SUMPRODUCT(LARGE(('成交明细'!$A$5:$A$804=A134)*('成交明细'!$D$5:$D$804=IF(F134="空","卖","买"))*'成交明细'!$B$5:$B$804,COUNTIFS('成交明细'!$A$5:$A$804,A134,'成交明细'!$D$5:$D$804,IF(F134="空","卖","买")))),"")</f>
        <v/>
      </c>
      <c r="S134" s="37" t="str">
        <f>IF(AND(N(U134)&gt;0,N(W134)&gt;=N(U134)),SUMPRODUCT(MAX(('成交明细'!$A$5:$A$804=A134)*('成交明细'!$D$5:$D$804=IF(F134="空","买","卖"))*'成交明细'!$B$5:$B$804)),"")</f>
        <v/>
      </c>
      <c r="T134" s="38" t="str">
        <f>IF(N(U134)=0,"",IF(SUMPRODUCT(('成交明细'!$A$5:$A$804=A134)*('成交明细'!$D$5:$D$804=IF(F134="空","卖","买"))*ISNUMBER('成交明细'!$C$5:$C$804))=0,"没填时间",IFERROR(VLOOKUP(MOD(SUMPRODUCT(LARGE(('成交明细'!$A$5:$A$804=A134)*('成交明细'!$D$5:$D$804=IF(F134="空","卖","买"))*('成交明细'!$B$5:$B$804+'成交明细'!$C$5:$C$804),COUNTIFS('成交明细'!$A$5:$A$804,A134,'成交明细'!$D$5:$D$804,IF(F134="空","卖","买")))),1),'参数'!$B$39:$C$48,2,TRUE),"")))</f>
        <v/>
      </c>
      <c r="U134" s="35" t="str">
        <f>IF(A134="","",SUMIFS('成交明细'!$F$5:$F$804,'成交明细'!$A$5:$A$804,A134,'成交明细'!$D$5:$D$804,IF(F134="空","卖","买")))</f>
        <v/>
      </c>
      <c r="V134" s="39" t="str">
        <f>IF(N(U134)&gt;0,SUMIFS('成交明细'!$H$5:$H$804,'成交明细'!$A$5:$A$804,A134,'成交明细'!$D$5:$D$804,IF(F134="空","卖","买"))/U134,"")</f>
        <v/>
      </c>
      <c r="W134" s="35" t="str">
        <f>IF(A134="","",SUMIFS('成交明细'!$F$5:$F$804,'成交明细'!$A$5:$A$804,A134,'成交明细'!$D$5:$D$804,IF(F134="空","买","卖")))</f>
        <v/>
      </c>
      <c r="X134" s="39" t="str">
        <f>IF(N(W134)&gt;0,SUMIFS('成交明细'!$H$5:$H$804,'成交明细'!$A$5:$A$804,A134,'成交明细'!$D$5:$D$804,IF(F134="空","买","卖"))/W134,"")</f>
        <v/>
      </c>
      <c r="Y134" s="40" t="str">
        <f>IF(A134="","",IF(Q134&lt;&gt;"已执行",IF(Q134="","未填执行情况",Q134),IF(N(U134)=0,"待录成交",IF(N(W134)&gt;N(U134),"平仓多于开仓",IF(N(W134)&lt;N(U134),"持仓中","已平仓")))))</f>
        <v/>
      </c>
      <c r="Z134" s="41" t="str">
        <f>IF(N(U134)=0,"",SUMIFS('成交明细'!$L$5:$L$804,'成交明细'!$A$5:$A$804,A134))</f>
        <v/>
      </c>
      <c r="AA134" s="42" t="str">
        <f>IF(Y134&lt;&gt;"已平仓","",(SUMIFS('成交明细'!$H$5:$H$804,'成交明细'!$A$5:$A$804,A134,'成交明细'!$D$5:$D$804,"卖")-SUMIFS('成交明细'!$H$5:$H$804,'成交明细'!$A$5:$A$804,A134,'成交明细'!$D$5:$D$804,"买"))*IF(N(G134)&gt;0,G134,1)-Z134)</f>
        <v/>
      </c>
      <c r="AB134" s="43" t="str">
        <f>IF(AND(Y134="已平仓",ISNUMBER(O134)),(SUMIFS('成交明细'!$H$5:$H$804,'成交明细'!$A$5:$A$804,A134,'成交明细'!$D$5:$D$804,"卖")-SUMIFS('成交明细'!$H$5:$H$804,'成交明细'!$A$5:$A$804,A134,'成交明细'!$D$5:$D$804,"买"))*IF(N(G134)&gt;0,G134,1)/O134,"")</f>
        <v/>
      </c>
      <c r="AC134" s="43" t="str">
        <f>IF(AND(Y134="已平仓",ISNUMBER(O134)),AA134/O134,"")</f>
        <v/>
      </c>
      <c r="AD134" s="44" t="str">
        <f>IF(AND(ISNUMBER(V134),ISNUMBER(I134)),IF(F134="空",I134-V134,V134-I134),"")</f>
        <v/>
      </c>
      <c r="AE134" s="44" t="str">
        <f>IF(OR(NOT(ISNUMBER(AA134)),NOT(ISNUMBER(X134))),"",IF(AA134&lt;0,IF(F134="空",X134-J134,J134-X134),IF(NOT(ISNUMBER(K134)),"",IF(F134="空",X134-K134,K134-X134))))</f>
        <v/>
      </c>
      <c r="AF134" s="32" t="n"/>
      <c r="AG134" s="32" t="n"/>
      <c r="AH134" s="31" t="n"/>
      <c r="AI134" s="43" t="str">
        <f>IF(A134="","",SUM(AC$5:AC134))</f>
        <v/>
      </c>
      <c r="AJ134" s="45" t="str">
        <f>IF(A134="","",MAX(0,MAX(AI$5:AI134))-AI134)</f>
        <v/>
      </c>
    </row>
    <row r="135">
      <c r="A135" s="29" t="n"/>
      <c r="B135" s="30" t="n"/>
      <c r="C135" s="31" t="n"/>
      <c r="D135" s="32" t="n"/>
      <c r="E135" s="32" t="n"/>
      <c r="F135" s="32" t="n"/>
      <c r="G135" s="32" t="n"/>
      <c r="H135" s="32" t="n"/>
      <c r="I135" s="33" t="n"/>
      <c r="J135" s="33" t="n"/>
      <c r="K135" s="33" t="n"/>
      <c r="L135" s="34" t="str">
        <f>IF(AND(ISNUMBER(I135),ISNUMBER(J135),ISNUMBER(K135)),IF(OR(AND(F135="多",I135&gt;J135),AND(F135="空",I135&lt;J135)),ABS(K135-I135)/ABS(I135-J135),"止损方向不对"),"")</f>
        <v/>
      </c>
      <c r="M135" s="35" t="str">
        <f>IF(AND(ISNUMBER(I135),ISNUMBER(J135)),IF(I135=J135,"",IF(INT(ROUND('参数'!$C$7/(ABS(I135-J135)*IF(N(G135)&gt;0,G135,1)+2*(I135*IF(N(G135)&gt;0,G135,1)*'参数'!$C$12+'参数'!$C$13+'参数'!$C$14*IF(N(G135)&gt;0,G135,1)))/IF(N(H135)&gt;0,H135,1),6))*IF(N(H135)&gt;0,H135,1)&gt;0,INT(ROUND('参数'!$C$7/(ABS(I135-J135)*IF(N(G135)&gt;0,G135,1)+2*(I135*IF(N(G135)&gt;0,G135,1)*'参数'!$C$12+'参数'!$C$13+'参数'!$C$14*IF(N(G135)&gt;0,G135,1)))/IF(N(H135)&gt;0,H135,1),6))*IF(N(H135)&gt;0,H135,1),"预算不足，这笔不做")),"")</f>
        <v/>
      </c>
      <c r="N135" s="36" t="n"/>
      <c r="O135" s="20" t="str">
        <f>IF(AND(ISNUMBER(I135),ISNUMBER(J135),ISNUMBER(N135)),IF(AND(I135&lt;&gt;J135,N135&gt;0),ABS(I135-J135)*N135*IF(N(G135)&gt;0,G135,1),""),"")</f>
        <v/>
      </c>
      <c r="P135" s="31" t="n"/>
      <c r="Q135" s="32" t="n"/>
      <c r="R135" s="37" t="str">
        <f>IF(N(U135)&gt;0,SUMPRODUCT(LARGE(('成交明细'!$A$5:$A$804=A135)*('成交明细'!$D$5:$D$804=IF(F135="空","卖","买"))*'成交明细'!$B$5:$B$804,COUNTIFS('成交明细'!$A$5:$A$804,A135,'成交明细'!$D$5:$D$804,IF(F135="空","卖","买")))),"")</f>
        <v/>
      </c>
      <c r="S135" s="37" t="str">
        <f>IF(AND(N(U135)&gt;0,N(W135)&gt;=N(U135)),SUMPRODUCT(MAX(('成交明细'!$A$5:$A$804=A135)*('成交明细'!$D$5:$D$804=IF(F135="空","买","卖"))*'成交明细'!$B$5:$B$804)),"")</f>
        <v/>
      </c>
      <c r="T135" s="38" t="str">
        <f>IF(N(U135)=0,"",IF(SUMPRODUCT(('成交明细'!$A$5:$A$804=A135)*('成交明细'!$D$5:$D$804=IF(F135="空","卖","买"))*ISNUMBER('成交明细'!$C$5:$C$804))=0,"没填时间",IFERROR(VLOOKUP(MOD(SUMPRODUCT(LARGE(('成交明细'!$A$5:$A$804=A135)*('成交明细'!$D$5:$D$804=IF(F135="空","卖","买"))*('成交明细'!$B$5:$B$804+'成交明细'!$C$5:$C$804),COUNTIFS('成交明细'!$A$5:$A$804,A135,'成交明细'!$D$5:$D$804,IF(F135="空","卖","买")))),1),'参数'!$B$39:$C$48,2,TRUE),"")))</f>
        <v/>
      </c>
      <c r="U135" s="35" t="str">
        <f>IF(A135="","",SUMIFS('成交明细'!$F$5:$F$804,'成交明细'!$A$5:$A$804,A135,'成交明细'!$D$5:$D$804,IF(F135="空","卖","买")))</f>
        <v/>
      </c>
      <c r="V135" s="39" t="str">
        <f>IF(N(U135)&gt;0,SUMIFS('成交明细'!$H$5:$H$804,'成交明细'!$A$5:$A$804,A135,'成交明细'!$D$5:$D$804,IF(F135="空","卖","买"))/U135,"")</f>
        <v/>
      </c>
      <c r="W135" s="35" t="str">
        <f>IF(A135="","",SUMIFS('成交明细'!$F$5:$F$804,'成交明细'!$A$5:$A$804,A135,'成交明细'!$D$5:$D$804,IF(F135="空","买","卖")))</f>
        <v/>
      </c>
      <c r="X135" s="39" t="str">
        <f>IF(N(W135)&gt;0,SUMIFS('成交明细'!$H$5:$H$804,'成交明细'!$A$5:$A$804,A135,'成交明细'!$D$5:$D$804,IF(F135="空","买","卖"))/W135,"")</f>
        <v/>
      </c>
      <c r="Y135" s="40" t="str">
        <f>IF(A135="","",IF(Q135&lt;&gt;"已执行",IF(Q135="","未填执行情况",Q135),IF(N(U135)=0,"待录成交",IF(N(W135)&gt;N(U135),"平仓多于开仓",IF(N(W135)&lt;N(U135),"持仓中","已平仓")))))</f>
        <v/>
      </c>
      <c r="Z135" s="41" t="str">
        <f>IF(N(U135)=0,"",SUMIFS('成交明细'!$L$5:$L$804,'成交明细'!$A$5:$A$804,A135))</f>
        <v/>
      </c>
      <c r="AA135" s="42" t="str">
        <f>IF(Y135&lt;&gt;"已平仓","",(SUMIFS('成交明细'!$H$5:$H$804,'成交明细'!$A$5:$A$804,A135,'成交明细'!$D$5:$D$804,"卖")-SUMIFS('成交明细'!$H$5:$H$804,'成交明细'!$A$5:$A$804,A135,'成交明细'!$D$5:$D$804,"买"))*IF(N(G135)&gt;0,G135,1)-Z135)</f>
        <v/>
      </c>
      <c r="AB135" s="43" t="str">
        <f>IF(AND(Y135="已平仓",ISNUMBER(O135)),(SUMIFS('成交明细'!$H$5:$H$804,'成交明细'!$A$5:$A$804,A135,'成交明细'!$D$5:$D$804,"卖")-SUMIFS('成交明细'!$H$5:$H$804,'成交明细'!$A$5:$A$804,A135,'成交明细'!$D$5:$D$804,"买"))*IF(N(G135)&gt;0,G135,1)/O135,"")</f>
        <v/>
      </c>
      <c r="AC135" s="43" t="str">
        <f>IF(AND(Y135="已平仓",ISNUMBER(O135)),AA135/O135,"")</f>
        <v/>
      </c>
      <c r="AD135" s="44" t="str">
        <f>IF(AND(ISNUMBER(V135),ISNUMBER(I135)),IF(F135="空",I135-V135,V135-I135),"")</f>
        <v/>
      </c>
      <c r="AE135" s="44" t="str">
        <f>IF(OR(NOT(ISNUMBER(AA135)),NOT(ISNUMBER(X135))),"",IF(AA135&lt;0,IF(F135="空",X135-J135,J135-X135),IF(NOT(ISNUMBER(K135)),"",IF(F135="空",X135-K135,K135-X135))))</f>
        <v/>
      </c>
      <c r="AF135" s="32" t="n"/>
      <c r="AG135" s="32" t="n"/>
      <c r="AH135" s="31" t="n"/>
      <c r="AI135" s="43" t="str">
        <f>IF(A135="","",SUM(AC$5:AC135))</f>
        <v/>
      </c>
      <c r="AJ135" s="45" t="str">
        <f>IF(A135="","",MAX(0,MAX(AI$5:AI135))-AI135)</f>
        <v/>
      </c>
    </row>
    <row r="136">
      <c r="A136" s="29" t="n"/>
      <c r="B136" s="30" t="n"/>
      <c r="C136" s="31" t="n"/>
      <c r="D136" s="32" t="n"/>
      <c r="E136" s="32" t="n"/>
      <c r="F136" s="32" t="n"/>
      <c r="G136" s="32" t="n"/>
      <c r="H136" s="32" t="n"/>
      <c r="I136" s="33" t="n"/>
      <c r="J136" s="33" t="n"/>
      <c r="K136" s="33" t="n"/>
      <c r="L136" s="34" t="str">
        <f>IF(AND(ISNUMBER(I136),ISNUMBER(J136),ISNUMBER(K136)),IF(OR(AND(F136="多",I136&gt;J136),AND(F136="空",I136&lt;J136)),ABS(K136-I136)/ABS(I136-J136),"止损方向不对"),"")</f>
        <v/>
      </c>
      <c r="M136" s="35" t="str">
        <f>IF(AND(ISNUMBER(I136),ISNUMBER(J136)),IF(I136=J136,"",IF(INT(ROUND('参数'!$C$7/(ABS(I136-J136)*IF(N(G136)&gt;0,G136,1)+2*(I136*IF(N(G136)&gt;0,G136,1)*'参数'!$C$12+'参数'!$C$13+'参数'!$C$14*IF(N(G136)&gt;0,G136,1)))/IF(N(H136)&gt;0,H136,1),6))*IF(N(H136)&gt;0,H136,1)&gt;0,INT(ROUND('参数'!$C$7/(ABS(I136-J136)*IF(N(G136)&gt;0,G136,1)+2*(I136*IF(N(G136)&gt;0,G136,1)*'参数'!$C$12+'参数'!$C$13+'参数'!$C$14*IF(N(G136)&gt;0,G136,1)))/IF(N(H136)&gt;0,H136,1),6))*IF(N(H136)&gt;0,H136,1),"预算不足，这笔不做")),"")</f>
        <v/>
      </c>
      <c r="N136" s="36" t="n"/>
      <c r="O136" s="20" t="str">
        <f>IF(AND(ISNUMBER(I136),ISNUMBER(J136),ISNUMBER(N136)),IF(AND(I136&lt;&gt;J136,N136&gt;0),ABS(I136-J136)*N136*IF(N(G136)&gt;0,G136,1),""),"")</f>
        <v/>
      </c>
      <c r="P136" s="31" t="n"/>
      <c r="Q136" s="32" t="n"/>
      <c r="R136" s="37" t="str">
        <f>IF(N(U136)&gt;0,SUMPRODUCT(LARGE(('成交明细'!$A$5:$A$804=A136)*('成交明细'!$D$5:$D$804=IF(F136="空","卖","买"))*'成交明细'!$B$5:$B$804,COUNTIFS('成交明细'!$A$5:$A$804,A136,'成交明细'!$D$5:$D$804,IF(F136="空","卖","买")))),"")</f>
        <v/>
      </c>
      <c r="S136" s="37" t="str">
        <f>IF(AND(N(U136)&gt;0,N(W136)&gt;=N(U136)),SUMPRODUCT(MAX(('成交明细'!$A$5:$A$804=A136)*('成交明细'!$D$5:$D$804=IF(F136="空","买","卖"))*'成交明细'!$B$5:$B$804)),"")</f>
        <v/>
      </c>
      <c r="T136" s="38" t="str">
        <f>IF(N(U136)=0,"",IF(SUMPRODUCT(('成交明细'!$A$5:$A$804=A136)*('成交明细'!$D$5:$D$804=IF(F136="空","卖","买"))*ISNUMBER('成交明细'!$C$5:$C$804))=0,"没填时间",IFERROR(VLOOKUP(MOD(SUMPRODUCT(LARGE(('成交明细'!$A$5:$A$804=A136)*('成交明细'!$D$5:$D$804=IF(F136="空","卖","买"))*('成交明细'!$B$5:$B$804+'成交明细'!$C$5:$C$804),COUNTIFS('成交明细'!$A$5:$A$804,A136,'成交明细'!$D$5:$D$804,IF(F136="空","卖","买")))),1),'参数'!$B$39:$C$48,2,TRUE),"")))</f>
        <v/>
      </c>
      <c r="U136" s="35" t="str">
        <f>IF(A136="","",SUMIFS('成交明细'!$F$5:$F$804,'成交明细'!$A$5:$A$804,A136,'成交明细'!$D$5:$D$804,IF(F136="空","卖","买")))</f>
        <v/>
      </c>
      <c r="V136" s="39" t="str">
        <f>IF(N(U136)&gt;0,SUMIFS('成交明细'!$H$5:$H$804,'成交明细'!$A$5:$A$804,A136,'成交明细'!$D$5:$D$804,IF(F136="空","卖","买"))/U136,"")</f>
        <v/>
      </c>
      <c r="W136" s="35" t="str">
        <f>IF(A136="","",SUMIFS('成交明细'!$F$5:$F$804,'成交明细'!$A$5:$A$804,A136,'成交明细'!$D$5:$D$804,IF(F136="空","买","卖")))</f>
        <v/>
      </c>
      <c r="X136" s="39" t="str">
        <f>IF(N(W136)&gt;0,SUMIFS('成交明细'!$H$5:$H$804,'成交明细'!$A$5:$A$804,A136,'成交明细'!$D$5:$D$804,IF(F136="空","买","卖"))/W136,"")</f>
        <v/>
      </c>
      <c r="Y136" s="40" t="str">
        <f>IF(A136="","",IF(Q136&lt;&gt;"已执行",IF(Q136="","未填执行情况",Q136),IF(N(U136)=0,"待录成交",IF(N(W136)&gt;N(U136),"平仓多于开仓",IF(N(W136)&lt;N(U136),"持仓中","已平仓")))))</f>
        <v/>
      </c>
      <c r="Z136" s="41" t="str">
        <f>IF(N(U136)=0,"",SUMIFS('成交明细'!$L$5:$L$804,'成交明细'!$A$5:$A$804,A136))</f>
        <v/>
      </c>
      <c r="AA136" s="42" t="str">
        <f>IF(Y136&lt;&gt;"已平仓","",(SUMIFS('成交明细'!$H$5:$H$804,'成交明细'!$A$5:$A$804,A136,'成交明细'!$D$5:$D$804,"卖")-SUMIFS('成交明细'!$H$5:$H$804,'成交明细'!$A$5:$A$804,A136,'成交明细'!$D$5:$D$804,"买"))*IF(N(G136)&gt;0,G136,1)-Z136)</f>
        <v/>
      </c>
      <c r="AB136" s="43" t="str">
        <f>IF(AND(Y136="已平仓",ISNUMBER(O136)),(SUMIFS('成交明细'!$H$5:$H$804,'成交明细'!$A$5:$A$804,A136,'成交明细'!$D$5:$D$804,"卖")-SUMIFS('成交明细'!$H$5:$H$804,'成交明细'!$A$5:$A$804,A136,'成交明细'!$D$5:$D$804,"买"))*IF(N(G136)&gt;0,G136,1)/O136,"")</f>
        <v/>
      </c>
      <c r="AC136" s="43" t="str">
        <f>IF(AND(Y136="已平仓",ISNUMBER(O136)),AA136/O136,"")</f>
        <v/>
      </c>
      <c r="AD136" s="44" t="str">
        <f>IF(AND(ISNUMBER(V136),ISNUMBER(I136)),IF(F136="空",I136-V136,V136-I136),"")</f>
        <v/>
      </c>
      <c r="AE136" s="44" t="str">
        <f>IF(OR(NOT(ISNUMBER(AA136)),NOT(ISNUMBER(X136))),"",IF(AA136&lt;0,IF(F136="空",X136-J136,J136-X136),IF(NOT(ISNUMBER(K136)),"",IF(F136="空",X136-K136,K136-X136))))</f>
        <v/>
      </c>
      <c r="AF136" s="32" t="n"/>
      <c r="AG136" s="32" t="n"/>
      <c r="AH136" s="31" t="n"/>
      <c r="AI136" s="43" t="str">
        <f>IF(A136="","",SUM(AC$5:AC136))</f>
        <v/>
      </c>
      <c r="AJ136" s="45" t="str">
        <f>IF(A136="","",MAX(0,MAX(AI$5:AI136))-AI136)</f>
        <v/>
      </c>
    </row>
    <row r="137">
      <c r="A137" s="29" t="n"/>
      <c r="B137" s="30" t="n"/>
      <c r="C137" s="31" t="n"/>
      <c r="D137" s="32" t="n"/>
      <c r="E137" s="32" t="n"/>
      <c r="F137" s="32" t="n"/>
      <c r="G137" s="32" t="n"/>
      <c r="H137" s="32" t="n"/>
      <c r="I137" s="33" t="n"/>
      <c r="J137" s="33" t="n"/>
      <c r="K137" s="33" t="n"/>
      <c r="L137" s="34" t="str">
        <f>IF(AND(ISNUMBER(I137),ISNUMBER(J137),ISNUMBER(K137)),IF(OR(AND(F137="多",I137&gt;J137),AND(F137="空",I137&lt;J137)),ABS(K137-I137)/ABS(I137-J137),"止损方向不对"),"")</f>
        <v/>
      </c>
      <c r="M137" s="35" t="str">
        <f>IF(AND(ISNUMBER(I137),ISNUMBER(J137)),IF(I137=J137,"",IF(INT(ROUND('参数'!$C$7/(ABS(I137-J137)*IF(N(G137)&gt;0,G137,1)+2*(I137*IF(N(G137)&gt;0,G137,1)*'参数'!$C$12+'参数'!$C$13+'参数'!$C$14*IF(N(G137)&gt;0,G137,1)))/IF(N(H137)&gt;0,H137,1),6))*IF(N(H137)&gt;0,H137,1)&gt;0,INT(ROUND('参数'!$C$7/(ABS(I137-J137)*IF(N(G137)&gt;0,G137,1)+2*(I137*IF(N(G137)&gt;0,G137,1)*'参数'!$C$12+'参数'!$C$13+'参数'!$C$14*IF(N(G137)&gt;0,G137,1)))/IF(N(H137)&gt;0,H137,1),6))*IF(N(H137)&gt;0,H137,1),"预算不足，这笔不做")),"")</f>
        <v/>
      </c>
      <c r="N137" s="36" t="n"/>
      <c r="O137" s="20" t="str">
        <f>IF(AND(ISNUMBER(I137),ISNUMBER(J137),ISNUMBER(N137)),IF(AND(I137&lt;&gt;J137,N137&gt;0),ABS(I137-J137)*N137*IF(N(G137)&gt;0,G137,1),""),"")</f>
        <v/>
      </c>
      <c r="P137" s="31" t="n"/>
      <c r="Q137" s="32" t="n"/>
      <c r="R137" s="37" t="str">
        <f>IF(N(U137)&gt;0,SUMPRODUCT(LARGE(('成交明细'!$A$5:$A$804=A137)*('成交明细'!$D$5:$D$804=IF(F137="空","卖","买"))*'成交明细'!$B$5:$B$804,COUNTIFS('成交明细'!$A$5:$A$804,A137,'成交明细'!$D$5:$D$804,IF(F137="空","卖","买")))),"")</f>
        <v/>
      </c>
      <c r="S137" s="37" t="str">
        <f>IF(AND(N(U137)&gt;0,N(W137)&gt;=N(U137)),SUMPRODUCT(MAX(('成交明细'!$A$5:$A$804=A137)*('成交明细'!$D$5:$D$804=IF(F137="空","买","卖"))*'成交明细'!$B$5:$B$804)),"")</f>
        <v/>
      </c>
      <c r="T137" s="38" t="str">
        <f>IF(N(U137)=0,"",IF(SUMPRODUCT(('成交明细'!$A$5:$A$804=A137)*('成交明细'!$D$5:$D$804=IF(F137="空","卖","买"))*ISNUMBER('成交明细'!$C$5:$C$804))=0,"没填时间",IFERROR(VLOOKUP(MOD(SUMPRODUCT(LARGE(('成交明细'!$A$5:$A$804=A137)*('成交明细'!$D$5:$D$804=IF(F137="空","卖","买"))*('成交明细'!$B$5:$B$804+'成交明细'!$C$5:$C$804),COUNTIFS('成交明细'!$A$5:$A$804,A137,'成交明细'!$D$5:$D$804,IF(F137="空","卖","买")))),1),'参数'!$B$39:$C$48,2,TRUE),"")))</f>
        <v/>
      </c>
      <c r="U137" s="35" t="str">
        <f>IF(A137="","",SUMIFS('成交明细'!$F$5:$F$804,'成交明细'!$A$5:$A$804,A137,'成交明细'!$D$5:$D$804,IF(F137="空","卖","买")))</f>
        <v/>
      </c>
      <c r="V137" s="39" t="str">
        <f>IF(N(U137)&gt;0,SUMIFS('成交明细'!$H$5:$H$804,'成交明细'!$A$5:$A$804,A137,'成交明细'!$D$5:$D$804,IF(F137="空","卖","买"))/U137,"")</f>
        <v/>
      </c>
      <c r="W137" s="35" t="str">
        <f>IF(A137="","",SUMIFS('成交明细'!$F$5:$F$804,'成交明细'!$A$5:$A$804,A137,'成交明细'!$D$5:$D$804,IF(F137="空","买","卖")))</f>
        <v/>
      </c>
      <c r="X137" s="39" t="str">
        <f>IF(N(W137)&gt;0,SUMIFS('成交明细'!$H$5:$H$804,'成交明细'!$A$5:$A$804,A137,'成交明细'!$D$5:$D$804,IF(F137="空","买","卖"))/W137,"")</f>
        <v/>
      </c>
      <c r="Y137" s="40" t="str">
        <f>IF(A137="","",IF(Q137&lt;&gt;"已执行",IF(Q137="","未填执行情况",Q137),IF(N(U137)=0,"待录成交",IF(N(W137)&gt;N(U137),"平仓多于开仓",IF(N(W137)&lt;N(U137),"持仓中","已平仓")))))</f>
        <v/>
      </c>
      <c r="Z137" s="41" t="str">
        <f>IF(N(U137)=0,"",SUMIFS('成交明细'!$L$5:$L$804,'成交明细'!$A$5:$A$804,A137))</f>
        <v/>
      </c>
      <c r="AA137" s="42" t="str">
        <f>IF(Y137&lt;&gt;"已平仓","",(SUMIFS('成交明细'!$H$5:$H$804,'成交明细'!$A$5:$A$804,A137,'成交明细'!$D$5:$D$804,"卖")-SUMIFS('成交明细'!$H$5:$H$804,'成交明细'!$A$5:$A$804,A137,'成交明细'!$D$5:$D$804,"买"))*IF(N(G137)&gt;0,G137,1)-Z137)</f>
        <v/>
      </c>
      <c r="AB137" s="43" t="str">
        <f>IF(AND(Y137="已平仓",ISNUMBER(O137)),(SUMIFS('成交明细'!$H$5:$H$804,'成交明细'!$A$5:$A$804,A137,'成交明细'!$D$5:$D$804,"卖")-SUMIFS('成交明细'!$H$5:$H$804,'成交明细'!$A$5:$A$804,A137,'成交明细'!$D$5:$D$804,"买"))*IF(N(G137)&gt;0,G137,1)/O137,"")</f>
        <v/>
      </c>
      <c r="AC137" s="43" t="str">
        <f>IF(AND(Y137="已平仓",ISNUMBER(O137)),AA137/O137,"")</f>
        <v/>
      </c>
      <c r="AD137" s="44" t="str">
        <f>IF(AND(ISNUMBER(V137),ISNUMBER(I137)),IF(F137="空",I137-V137,V137-I137),"")</f>
        <v/>
      </c>
      <c r="AE137" s="44" t="str">
        <f>IF(OR(NOT(ISNUMBER(AA137)),NOT(ISNUMBER(X137))),"",IF(AA137&lt;0,IF(F137="空",X137-J137,J137-X137),IF(NOT(ISNUMBER(K137)),"",IF(F137="空",X137-K137,K137-X137))))</f>
        <v/>
      </c>
      <c r="AF137" s="32" t="n"/>
      <c r="AG137" s="32" t="n"/>
      <c r="AH137" s="31" t="n"/>
      <c r="AI137" s="43" t="str">
        <f>IF(A137="","",SUM(AC$5:AC137))</f>
        <v/>
      </c>
      <c r="AJ137" s="45" t="str">
        <f>IF(A137="","",MAX(0,MAX(AI$5:AI137))-AI137)</f>
        <v/>
      </c>
    </row>
    <row r="138">
      <c r="A138" s="29" t="n"/>
      <c r="B138" s="30" t="n"/>
      <c r="C138" s="31" t="n"/>
      <c r="D138" s="32" t="n"/>
      <c r="E138" s="32" t="n"/>
      <c r="F138" s="32" t="n"/>
      <c r="G138" s="32" t="n"/>
      <c r="H138" s="32" t="n"/>
      <c r="I138" s="33" t="n"/>
      <c r="J138" s="33" t="n"/>
      <c r="K138" s="33" t="n"/>
      <c r="L138" s="34" t="str">
        <f>IF(AND(ISNUMBER(I138),ISNUMBER(J138),ISNUMBER(K138)),IF(OR(AND(F138="多",I138&gt;J138),AND(F138="空",I138&lt;J138)),ABS(K138-I138)/ABS(I138-J138),"止损方向不对"),"")</f>
        <v/>
      </c>
      <c r="M138" s="35" t="str">
        <f>IF(AND(ISNUMBER(I138),ISNUMBER(J138)),IF(I138=J138,"",IF(INT(ROUND('参数'!$C$7/(ABS(I138-J138)*IF(N(G138)&gt;0,G138,1)+2*(I138*IF(N(G138)&gt;0,G138,1)*'参数'!$C$12+'参数'!$C$13+'参数'!$C$14*IF(N(G138)&gt;0,G138,1)))/IF(N(H138)&gt;0,H138,1),6))*IF(N(H138)&gt;0,H138,1)&gt;0,INT(ROUND('参数'!$C$7/(ABS(I138-J138)*IF(N(G138)&gt;0,G138,1)+2*(I138*IF(N(G138)&gt;0,G138,1)*'参数'!$C$12+'参数'!$C$13+'参数'!$C$14*IF(N(G138)&gt;0,G138,1)))/IF(N(H138)&gt;0,H138,1),6))*IF(N(H138)&gt;0,H138,1),"预算不足，这笔不做")),"")</f>
        <v/>
      </c>
      <c r="N138" s="36" t="n"/>
      <c r="O138" s="20" t="str">
        <f>IF(AND(ISNUMBER(I138),ISNUMBER(J138),ISNUMBER(N138)),IF(AND(I138&lt;&gt;J138,N138&gt;0),ABS(I138-J138)*N138*IF(N(G138)&gt;0,G138,1),""),"")</f>
        <v/>
      </c>
      <c r="P138" s="31" t="n"/>
      <c r="Q138" s="32" t="n"/>
      <c r="R138" s="37" t="str">
        <f>IF(N(U138)&gt;0,SUMPRODUCT(LARGE(('成交明细'!$A$5:$A$804=A138)*('成交明细'!$D$5:$D$804=IF(F138="空","卖","买"))*'成交明细'!$B$5:$B$804,COUNTIFS('成交明细'!$A$5:$A$804,A138,'成交明细'!$D$5:$D$804,IF(F138="空","卖","买")))),"")</f>
        <v/>
      </c>
      <c r="S138" s="37" t="str">
        <f>IF(AND(N(U138)&gt;0,N(W138)&gt;=N(U138)),SUMPRODUCT(MAX(('成交明细'!$A$5:$A$804=A138)*('成交明细'!$D$5:$D$804=IF(F138="空","买","卖"))*'成交明细'!$B$5:$B$804)),"")</f>
        <v/>
      </c>
      <c r="T138" s="38" t="str">
        <f>IF(N(U138)=0,"",IF(SUMPRODUCT(('成交明细'!$A$5:$A$804=A138)*('成交明细'!$D$5:$D$804=IF(F138="空","卖","买"))*ISNUMBER('成交明细'!$C$5:$C$804))=0,"没填时间",IFERROR(VLOOKUP(MOD(SUMPRODUCT(LARGE(('成交明细'!$A$5:$A$804=A138)*('成交明细'!$D$5:$D$804=IF(F138="空","卖","买"))*('成交明细'!$B$5:$B$804+'成交明细'!$C$5:$C$804),COUNTIFS('成交明细'!$A$5:$A$804,A138,'成交明细'!$D$5:$D$804,IF(F138="空","卖","买")))),1),'参数'!$B$39:$C$48,2,TRUE),"")))</f>
        <v/>
      </c>
      <c r="U138" s="35" t="str">
        <f>IF(A138="","",SUMIFS('成交明细'!$F$5:$F$804,'成交明细'!$A$5:$A$804,A138,'成交明细'!$D$5:$D$804,IF(F138="空","卖","买")))</f>
        <v/>
      </c>
      <c r="V138" s="39" t="str">
        <f>IF(N(U138)&gt;0,SUMIFS('成交明细'!$H$5:$H$804,'成交明细'!$A$5:$A$804,A138,'成交明细'!$D$5:$D$804,IF(F138="空","卖","买"))/U138,"")</f>
        <v/>
      </c>
      <c r="W138" s="35" t="str">
        <f>IF(A138="","",SUMIFS('成交明细'!$F$5:$F$804,'成交明细'!$A$5:$A$804,A138,'成交明细'!$D$5:$D$804,IF(F138="空","买","卖")))</f>
        <v/>
      </c>
      <c r="X138" s="39" t="str">
        <f>IF(N(W138)&gt;0,SUMIFS('成交明细'!$H$5:$H$804,'成交明细'!$A$5:$A$804,A138,'成交明细'!$D$5:$D$804,IF(F138="空","买","卖"))/W138,"")</f>
        <v/>
      </c>
      <c r="Y138" s="40" t="str">
        <f>IF(A138="","",IF(Q138&lt;&gt;"已执行",IF(Q138="","未填执行情况",Q138),IF(N(U138)=0,"待录成交",IF(N(W138)&gt;N(U138),"平仓多于开仓",IF(N(W138)&lt;N(U138),"持仓中","已平仓")))))</f>
        <v/>
      </c>
      <c r="Z138" s="41" t="str">
        <f>IF(N(U138)=0,"",SUMIFS('成交明细'!$L$5:$L$804,'成交明细'!$A$5:$A$804,A138))</f>
        <v/>
      </c>
      <c r="AA138" s="42" t="str">
        <f>IF(Y138&lt;&gt;"已平仓","",(SUMIFS('成交明细'!$H$5:$H$804,'成交明细'!$A$5:$A$804,A138,'成交明细'!$D$5:$D$804,"卖")-SUMIFS('成交明细'!$H$5:$H$804,'成交明细'!$A$5:$A$804,A138,'成交明细'!$D$5:$D$804,"买"))*IF(N(G138)&gt;0,G138,1)-Z138)</f>
        <v/>
      </c>
      <c r="AB138" s="43" t="str">
        <f>IF(AND(Y138="已平仓",ISNUMBER(O138)),(SUMIFS('成交明细'!$H$5:$H$804,'成交明细'!$A$5:$A$804,A138,'成交明细'!$D$5:$D$804,"卖")-SUMIFS('成交明细'!$H$5:$H$804,'成交明细'!$A$5:$A$804,A138,'成交明细'!$D$5:$D$804,"买"))*IF(N(G138)&gt;0,G138,1)/O138,"")</f>
        <v/>
      </c>
      <c r="AC138" s="43" t="str">
        <f>IF(AND(Y138="已平仓",ISNUMBER(O138)),AA138/O138,"")</f>
        <v/>
      </c>
      <c r="AD138" s="44" t="str">
        <f>IF(AND(ISNUMBER(V138),ISNUMBER(I138)),IF(F138="空",I138-V138,V138-I138),"")</f>
        <v/>
      </c>
      <c r="AE138" s="44" t="str">
        <f>IF(OR(NOT(ISNUMBER(AA138)),NOT(ISNUMBER(X138))),"",IF(AA138&lt;0,IF(F138="空",X138-J138,J138-X138),IF(NOT(ISNUMBER(K138)),"",IF(F138="空",X138-K138,K138-X138))))</f>
        <v/>
      </c>
      <c r="AF138" s="32" t="n"/>
      <c r="AG138" s="32" t="n"/>
      <c r="AH138" s="31" t="n"/>
      <c r="AI138" s="43" t="str">
        <f>IF(A138="","",SUM(AC$5:AC138))</f>
        <v/>
      </c>
      <c r="AJ138" s="45" t="str">
        <f>IF(A138="","",MAX(0,MAX(AI$5:AI138))-AI138)</f>
        <v/>
      </c>
    </row>
    <row r="139">
      <c r="A139" s="29" t="n"/>
      <c r="B139" s="30" t="n"/>
      <c r="C139" s="31" t="n"/>
      <c r="D139" s="32" t="n"/>
      <c r="E139" s="32" t="n"/>
      <c r="F139" s="32" t="n"/>
      <c r="G139" s="32" t="n"/>
      <c r="H139" s="32" t="n"/>
      <c r="I139" s="33" t="n"/>
      <c r="J139" s="33" t="n"/>
      <c r="K139" s="33" t="n"/>
      <c r="L139" s="34" t="str">
        <f>IF(AND(ISNUMBER(I139),ISNUMBER(J139),ISNUMBER(K139)),IF(OR(AND(F139="多",I139&gt;J139),AND(F139="空",I139&lt;J139)),ABS(K139-I139)/ABS(I139-J139),"止损方向不对"),"")</f>
        <v/>
      </c>
      <c r="M139" s="35" t="str">
        <f>IF(AND(ISNUMBER(I139),ISNUMBER(J139)),IF(I139=J139,"",IF(INT(ROUND('参数'!$C$7/(ABS(I139-J139)*IF(N(G139)&gt;0,G139,1)+2*(I139*IF(N(G139)&gt;0,G139,1)*'参数'!$C$12+'参数'!$C$13+'参数'!$C$14*IF(N(G139)&gt;0,G139,1)))/IF(N(H139)&gt;0,H139,1),6))*IF(N(H139)&gt;0,H139,1)&gt;0,INT(ROUND('参数'!$C$7/(ABS(I139-J139)*IF(N(G139)&gt;0,G139,1)+2*(I139*IF(N(G139)&gt;0,G139,1)*'参数'!$C$12+'参数'!$C$13+'参数'!$C$14*IF(N(G139)&gt;0,G139,1)))/IF(N(H139)&gt;0,H139,1),6))*IF(N(H139)&gt;0,H139,1),"预算不足，这笔不做")),"")</f>
        <v/>
      </c>
      <c r="N139" s="36" t="n"/>
      <c r="O139" s="20" t="str">
        <f>IF(AND(ISNUMBER(I139),ISNUMBER(J139),ISNUMBER(N139)),IF(AND(I139&lt;&gt;J139,N139&gt;0),ABS(I139-J139)*N139*IF(N(G139)&gt;0,G139,1),""),"")</f>
        <v/>
      </c>
      <c r="P139" s="31" t="n"/>
      <c r="Q139" s="32" t="n"/>
      <c r="R139" s="37" t="str">
        <f>IF(N(U139)&gt;0,SUMPRODUCT(LARGE(('成交明细'!$A$5:$A$804=A139)*('成交明细'!$D$5:$D$804=IF(F139="空","卖","买"))*'成交明细'!$B$5:$B$804,COUNTIFS('成交明细'!$A$5:$A$804,A139,'成交明细'!$D$5:$D$804,IF(F139="空","卖","买")))),"")</f>
        <v/>
      </c>
      <c r="S139" s="37" t="str">
        <f>IF(AND(N(U139)&gt;0,N(W139)&gt;=N(U139)),SUMPRODUCT(MAX(('成交明细'!$A$5:$A$804=A139)*('成交明细'!$D$5:$D$804=IF(F139="空","买","卖"))*'成交明细'!$B$5:$B$804)),"")</f>
        <v/>
      </c>
      <c r="T139" s="38" t="str">
        <f>IF(N(U139)=0,"",IF(SUMPRODUCT(('成交明细'!$A$5:$A$804=A139)*('成交明细'!$D$5:$D$804=IF(F139="空","卖","买"))*ISNUMBER('成交明细'!$C$5:$C$804))=0,"没填时间",IFERROR(VLOOKUP(MOD(SUMPRODUCT(LARGE(('成交明细'!$A$5:$A$804=A139)*('成交明细'!$D$5:$D$804=IF(F139="空","卖","买"))*('成交明细'!$B$5:$B$804+'成交明细'!$C$5:$C$804),COUNTIFS('成交明细'!$A$5:$A$804,A139,'成交明细'!$D$5:$D$804,IF(F139="空","卖","买")))),1),'参数'!$B$39:$C$48,2,TRUE),"")))</f>
        <v/>
      </c>
      <c r="U139" s="35" t="str">
        <f>IF(A139="","",SUMIFS('成交明细'!$F$5:$F$804,'成交明细'!$A$5:$A$804,A139,'成交明细'!$D$5:$D$804,IF(F139="空","卖","买")))</f>
        <v/>
      </c>
      <c r="V139" s="39" t="str">
        <f>IF(N(U139)&gt;0,SUMIFS('成交明细'!$H$5:$H$804,'成交明细'!$A$5:$A$804,A139,'成交明细'!$D$5:$D$804,IF(F139="空","卖","买"))/U139,"")</f>
        <v/>
      </c>
      <c r="W139" s="35" t="str">
        <f>IF(A139="","",SUMIFS('成交明细'!$F$5:$F$804,'成交明细'!$A$5:$A$804,A139,'成交明细'!$D$5:$D$804,IF(F139="空","买","卖")))</f>
        <v/>
      </c>
      <c r="X139" s="39" t="str">
        <f>IF(N(W139)&gt;0,SUMIFS('成交明细'!$H$5:$H$804,'成交明细'!$A$5:$A$804,A139,'成交明细'!$D$5:$D$804,IF(F139="空","买","卖"))/W139,"")</f>
        <v/>
      </c>
      <c r="Y139" s="40" t="str">
        <f>IF(A139="","",IF(Q139&lt;&gt;"已执行",IF(Q139="","未填执行情况",Q139),IF(N(U139)=0,"待录成交",IF(N(W139)&gt;N(U139),"平仓多于开仓",IF(N(W139)&lt;N(U139),"持仓中","已平仓")))))</f>
        <v/>
      </c>
      <c r="Z139" s="41" t="str">
        <f>IF(N(U139)=0,"",SUMIFS('成交明细'!$L$5:$L$804,'成交明细'!$A$5:$A$804,A139))</f>
        <v/>
      </c>
      <c r="AA139" s="42" t="str">
        <f>IF(Y139&lt;&gt;"已平仓","",(SUMIFS('成交明细'!$H$5:$H$804,'成交明细'!$A$5:$A$804,A139,'成交明细'!$D$5:$D$804,"卖")-SUMIFS('成交明细'!$H$5:$H$804,'成交明细'!$A$5:$A$804,A139,'成交明细'!$D$5:$D$804,"买"))*IF(N(G139)&gt;0,G139,1)-Z139)</f>
        <v/>
      </c>
      <c r="AB139" s="43" t="str">
        <f>IF(AND(Y139="已平仓",ISNUMBER(O139)),(SUMIFS('成交明细'!$H$5:$H$804,'成交明细'!$A$5:$A$804,A139,'成交明细'!$D$5:$D$804,"卖")-SUMIFS('成交明细'!$H$5:$H$804,'成交明细'!$A$5:$A$804,A139,'成交明细'!$D$5:$D$804,"买"))*IF(N(G139)&gt;0,G139,1)/O139,"")</f>
        <v/>
      </c>
      <c r="AC139" s="43" t="str">
        <f>IF(AND(Y139="已平仓",ISNUMBER(O139)),AA139/O139,"")</f>
        <v/>
      </c>
      <c r="AD139" s="44" t="str">
        <f>IF(AND(ISNUMBER(V139),ISNUMBER(I139)),IF(F139="空",I139-V139,V139-I139),"")</f>
        <v/>
      </c>
      <c r="AE139" s="44" t="str">
        <f>IF(OR(NOT(ISNUMBER(AA139)),NOT(ISNUMBER(X139))),"",IF(AA139&lt;0,IF(F139="空",X139-J139,J139-X139),IF(NOT(ISNUMBER(K139)),"",IF(F139="空",X139-K139,K139-X139))))</f>
        <v/>
      </c>
      <c r="AF139" s="32" t="n"/>
      <c r="AG139" s="32" t="n"/>
      <c r="AH139" s="31" t="n"/>
      <c r="AI139" s="43" t="str">
        <f>IF(A139="","",SUM(AC$5:AC139))</f>
        <v/>
      </c>
      <c r="AJ139" s="45" t="str">
        <f>IF(A139="","",MAX(0,MAX(AI$5:AI139))-AI139)</f>
        <v/>
      </c>
    </row>
    <row r="140">
      <c r="A140" s="29" t="n"/>
      <c r="B140" s="30" t="n"/>
      <c r="C140" s="31" t="n"/>
      <c r="D140" s="32" t="n"/>
      <c r="E140" s="32" t="n"/>
      <c r="F140" s="32" t="n"/>
      <c r="G140" s="32" t="n"/>
      <c r="H140" s="32" t="n"/>
      <c r="I140" s="33" t="n"/>
      <c r="J140" s="33" t="n"/>
      <c r="K140" s="33" t="n"/>
      <c r="L140" s="34" t="str">
        <f>IF(AND(ISNUMBER(I140),ISNUMBER(J140),ISNUMBER(K140)),IF(OR(AND(F140="多",I140&gt;J140),AND(F140="空",I140&lt;J140)),ABS(K140-I140)/ABS(I140-J140),"止损方向不对"),"")</f>
        <v/>
      </c>
      <c r="M140" s="35" t="str">
        <f>IF(AND(ISNUMBER(I140),ISNUMBER(J140)),IF(I140=J140,"",IF(INT(ROUND('参数'!$C$7/(ABS(I140-J140)*IF(N(G140)&gt;0,G140,1)+2*(I140*IF(N(G140)&gt;0,G140,1)*'参数'!$C$12+'参数'!$C$13+'参数'!$C$14*IF(N(G140)&gt;0,G140,1)))/IF(N(H140)&gt;0,H140,1),6))*IF(N(H140)&gt;0,H140,1)&gt;0,INT(ROUND('参数'!$C$7/(ABS(I140-J140)*IF(N(G140)&gt;0,G140,1)+2*(I140*IF(N(G140)&gt;0,G140,1)*'参数'!$C$12+'参数'!$C$13+'参数'!$C$14*IF(N(G140)&gt;0,G140,1)))/IF(N(H140)&gt;0,H140,1),6))*IF(N(H140)&gt;0,H140,1),"预算不足，这笔不做")),"")</f>
        <v/>
      </c>
      <c r="N140" s="36" t="n"/>
      <c r="O140" s="20" t="str">
        <f>IF(AND(ISNUMBER(I140),ISNUMBER(J140),ISNUMBER(N140)),IF(AND(I140&lt;&gt;J140,N140&gt;0),ABS(I140-J140)*N140*IF(N(G140)&gt;0,G140,1),""),"")</f>
        <v/>
      </c>
      <c r="P140" s="31" t="n"/>
      <c r="Q140" s="32" t="n"/>
      <c r="R140" s="37" t="str">
        <f>IF(N(U140)&gt;0,SUMPRODUCT(LARGE(('成交明细'!$A$5:$A$804=A140)*('成交明细'!$D$5:$D$804=IF(F140="空","卖","买"))*'成交明细'!$B$5:$B$804,COUNTIFS('成交明细'!$A$5:$A$804,A140,'成交明细'!$D$5:$D$804,IF(F140="空","卖","买")))),"")</f>
        <v/>
      </c>
      <c r="S140" s="37" t="str">
        <f>IF(AND(N(U140)&gt;0,N(W140)&gt;=N(U140)),SUMPRODUCT(MAX(('成交明细'!$A$5:$A$804=A140)*('成交明细'!$D$5:$D$804=IF(F140="空","买","卖"))*'成交明细'!$B$5:$B$804)),"")</f>
        <v/>
      </c>
      <c r="T140" s="38" t="str">
        <f>IF(N(U140)=0,"",IF(SUMPRODUCT(('成交明细'!$A$5:$A$804=A140)*('成交明细'!$D$5:$D$804=IF(F140="空","卖","买"))*ISNUMBER('成交明细'!$C$5:$C$804))=0,"没填时间",IFERROR(VLOOKUP(MOD(SUMPRODUCT(LARGE(('成交明细'!$A$5:$A$804=A140)*('成交明细'!$D$5:$D$804=IF(F140="空","卖","买"))*('成交明细'!$B$5:$B$804+'成交明细'!$C$5:$C$804),COUNTIFS('成交明细'!$A$5:$A$804,A140,'成交明细'!$D$5:$D$804,IF(F140="空","卖","买")))),1),'参数'!$B$39:$C$48,2,TRUE),"")))</f>
        <v/>
      </c>
      <c r="U140" s="35" t="str">
        <f>IF(A140="","",SUMIFS('成交明细'!$F$5:$F$804,'成交明细'!$A$5:$A$804,A140,'成交明细'!$D$5:$D$804,IF(F140="空","卖","买")))</f>
        <v/>
      </c>
      <c r="V140" s="39" t="str">
        <f>IF(N(U140)&gt;0,SUMIFS('成交明细'!$H$5:$H$804,'成交明细'!$A$5:$A$804,A140,'成交明细'!$D$5:$D$804,IF(F140="空","卖","买"))/U140,"")</f>
        <v/>
      </c>
      <c r="W140" s="35" t="str">
        <f>IF(A140="","",SUMIFS('成交明细'!$F$5:$F$804,'成交明细'!$A$5:$A$804,A140,'成交明细'!$D$5:$D$804,IF(F140="空","买","卖")))</f>
        <v/>
      </c>
      <c r="X140" s="39" t="str">
        <f>IF(N(W140)&gt;0,SUMIFS('成交明细'!$H$5:$H$804,'成交明细'!$A$5:$A$804,A140,'成交明细'!$D$5:$D$804,IF(F140="空","买","卖"))/W140,"")</f>
        <v/>
      </c>
      <c r="Y140" s="40" t="str">
        <f>IF(A140="","",IF(Q140&lt;&gt;"已执行",IF(Q140="","未填执行情况",Q140),IF(N(U140)=0,"待录成交",IF(N(W140)&gt;N(U140),"平仓多于开仓",IF(N(W140)&lt;N(U140),"持仓中","已平仓")))))</f>
        <v/>
      </c>
      <c r="Z140" s="41" t="str">
        <f>IF(N(U140)=0,"",SUMIFS('成交明细'!$L$5:$L$804,'成交明细'!$A$5:$A$804,A140))</f>
        <v/>
      </c>
      <c r="AA140" s="42" t="str">
        <f>IF(Y140&lt;&gt;"已平仓","",(SUMIFS('成交明细'!$H$5:$H$804,'成交明细'!$A$5:$A$804,A140,'成交明细'!$D$5:$D$804,"卖")-SUMIFS('成交明细'!$H$5:$H$804,'成交明细'!$A$5:$A$804,A140,'成交明细'!$D$5:$D$804,"买"))*IF(N(G140)&gt;0,G140,1)-Z140)</f>
        <v/>
      </c>
      <c r="AB140" s="43" t="str">
        <f>IF(AND(Y140="已平仓",ISNUMBER(O140)),(SUMIFS('成交明细'!$H$5:$H$804,'成交明细'!$A$5:$A$804,A140,'成交明细'!$D$5:$D$804,"卖")-SUMIFS('成交明细'!$H$5:$H$804,'成交明细'!$A$5:$A$804,A140,'成交明细'!$D$5:$D$804,"买"))*IF(N(G140)&gt;0,G140,1)/O140,"")</f>
        <v/>
      </c>
      <c r="AC140" s="43" t="str">
        <f>IF(AND(Y140="已平仓",ISNUMBER(O140)),AA140/O140,"")</f>
        <v/>
      </c>
      <c r="AD140" s="44" t="str">
        <f>IF(AND(ISNUMBER(V140),ISNUMBER(I140)),IF(F140="空",I140-V140,V140-I140),"")</f>
        <v/>
      </c>
      <c r="AE140" s="44" t="str">
        <f>IF(OR(NOT(ISNUMBER(AA140)),NOT(ISNUMBER(X140))),"",IF(AA140&lt;0,IF(F140="空",X140-J140,J140-X140),IF(NOT(ISNUMBER(K140)),"",IF(F140="空",X140-K140,K140-X140))))</f>
        <v/>
      </c>
      <c r="AF140" s="32" t="n"/>
      <c r="AG140" s="32" t="n"/>
      <c r="AH140" s="31" t="n"/>
      <c r="AI140" s="43" t="str">
        <f>IF(A140="","",SUM(AC$5:AC140))</f>
        <v/>
      </c>
      <c r="AJ140" s="45" t="str">
        <f>IF(A140="","",MAX(0,MAX(AI$5:AI140))-AI140)</f>
        <v/>
      </c>
    </row>
    <row r="141">
      <c r="A141" s="29" t="n"/>
      <c r="B141" s="30" t="n"/>
      <c r="C141" s="31" t="n"/>
      <c r="D141" s="32" t="n"/>
      <c r="E141" s="32" t="n"/>
      <c r="F141" s="32" t="n"/>
      <c r="G141" s="32" t="n"/>
      <c r="H141" s="32" t="n"/>
      <c r="I141" s="33" t="n"/>
      <c r="J141" s="33" t="n"/>
      <c r="K141" s="33" t="n"/>
      <c r="L141" s="34" t="str">
        <f>IF(AND(ISNUMBER(I141),ISNUMBER(J141),ISNUMBER(K141)),IF(OR(AND(F141="多",I141&gt;J141),AND(F141="空",I141&lt;J141)),ABS(K141-I141)/ABS(I141-J141),"止损方向不对"),"")</f>
        <v/>
      </c>
      <c r="M141" s="35" t="str">
        <f>IF(AND(ISNUMBER(I141),ISNUMBER(J141)),IF(I141=J141,"",IF(INT(ROUND('参数'!$C$7/(ABS(I141-J141)*IF(N(G141)&gt;0,G141,1)+2*(I141*IF(N(G141)&gt;0,G141,1)*'参数'!$C$12+'参数'!$C$13+'参数'!$C$14*IF(N(G141)&gt;0,G141,1)))/IF(N(H141)&gt;0,H141,1),6))*IF(N(H141)&gt;0,H141,1)&gt;0,INT(ROUND('参数'!$C$7/(ABS(I141-J141)*IF(N(G141)&gt;0,G141,1)+2*(I141*IF(N(G141)&gt;0,G141,1)*'参数'!$C$12+'参数'!$C$13+'参数'!$C$14*IF(N(G141)&gt;0,G141,1)))/IF(N(H141)&gt;0,H141,1),6))*IF(N(H141)&gt;0,H141,1),"预算不足，这笔不做")),"")</f>
        <v/>
      </c>
      <c r="N141" s="36" t="n"/>
      <c r="O141" s="20" t="str">
        <f>IF(AND(ISNUMBER(I141),ISNUMBER(J141),ISNUMBER(N141)),IF(AND(I141&lt;&gt;J141,N141&gt;0),ABS(I141-J141)*N141*IF(N(G141)&gt;0,G141,1),""),"")</f>
        <v/>
      </c>
      <c r="P141" s="31" t="n"/>
      <c r="Q141" s="32" t="n"/>
      <c r="R141" s="37" t="str">
        <f>IF(N(U141)&gt;0,SUMPRODUCT(LARGE(('成交明细'!$A$5:$A$804=A141)*('成交明细'!$D$5:$D$804=IF(F141="空","卖","买"))*'成交明细'!$B$5:$B$804,COUNTIFS('成交明细'!$A$5:$A$804,A141,'成交明细'!$D$5:$D$804,IF(F141="空","卖","买")))),"")</f>
        <v/>
      </c>
      <c r="S141" s="37" t="str">
        <f>IF(AND(N(U141)&gt;0,N(W141)&gt;=N(U141)),SUMPRODUCT(MAX(('成交明细'!$A$5:$A$804=A141)*('成交明细'!$D$5:$D$804=IF(F141="空","买","卖"))*'成交明细'!$B$5:$B$804)),"")</f>
        <v/>
      </c>
      <c r="T141" s="38" t="str">
        <f>IF(N(U141)=0,"",IF(SUMPRODUCT(('成交明细'!$A$5:$A$804=A141)*('成交明细'!$D$5:$D$804=IF(F141="空","卖","买"))*ISNUMBER('成交明细'!$C$5:$C$804))=0,"没填时间",IFERROR(VLOOKUP(MOD(SUMPRODUCT(LARGE(('成交明细'!$A$5:$A$804=A141)*('成交明细'!$D$5:$D$804=IF(F141="空","卖","买"))*('成交明细'!$B$5:$B$804+'成交明细'!$C$5:$C$804),COUNTIFS('成交明细'!$A$5:$A$804,A141,'成交明细'!$D$5:$D$804,IF(F141="空","卖","买")))),1),'参数'!$B$39:$C$48,2,TRUE),"")))</f>
        <v/>
      </c>
      <c r="U141" s="35" t="str">
        <f>IF(A141="","",SUMIFS('成交明细'!$F$5:$F$804,'成交明细'!$A$5:$A$804,A141,'成交明细'!$D$5:$D$804,IF(F141="空","卖","买")))</f>
        <v/>
      </c>
      <c r="V141" s="39" t="str">
        <f>IF(N(U141)&gt;0,SUMIFS('成交明细'!$H$5:$H$804,'成交明细'!$A$5:$A$804,A141,'成交明细'!$D$5:$D$804,IF(F141="空","卖","买"))/U141,"")</f>
        <v/>
      </c>
      <c r="W141" s="35" t="str">
        <f>IF(A141="","",SUMIFS('成交明细'!$F$5:$F$804,'成交明细'!$A$5:$A$804,A141,'成交明细'!$D$5:$D$804,IF(F141="空","买","卖")))</f>
        <v/>
      </c>
      <c r="X141" s="39" t="str">
        <f>IF(N(W141)&gt;0,SUMIFS('成交明细'!$H$5:$H$804,'成交明细'!$A$5:$A$804,A141,'成交明细'!$D$5:$D$804,IF(F141="空","买","卖"))/W141,"")</f>
        <v/>
      </c>
      <c r="Y141" s="40" t="str">
        <f>IF(A141="","",IF(Q141&lt;&gt;"已执行",IF(Q141="","未填执行情况",Q141),IF(N(U141)=0,"待录成交",IF(N(W141)&gt;N(U141),"平仓多于开仓",IF(N(W141)&lt;N(U141),"持仓中","已平仓")))))</f>
        <v/>
      </c>
      <c r="Z141" s="41" t="str">
        <f>IF(N(U141)=0,"",SUMIFS('成交明细'!$L$5:$L$804,'成交明细'!$A$5:$A$804,A141))</f>
        <v/>
      </c>
      <c r="AA141" s="42" t="str">
        <f>IF(Y141&lt;&gt;"已平仓","",(SUMIFS('成交明细'!$H$5:$H$804,'成交明细'!$A$5:$A$804,A141,'成交明细'!$D$5:$D$804,"卖")-SUMIFS('成交明细'!$H$5:$H$804,'成交明细'!$A$5:$A$804,A141,'成交明细'!$D$5:$D$804,"买"))*IF(N(G141)&gt;0,G141,1)-Z141)</f>
        <v/>
      </c>
      <c r="AB141" s="43" t="str">
        <f>IF(AND(Y141="已平仓",ISNUMBER(O141)),(SUMIFS('成交明细'!$H$5:$H$804,'成交明细'!$A$5:$A$804,A141,'成交明细'!$D$5:$D$804,"卖")-SUMIFS('成交明细'!$H$5:$H$804,'成交明细'!$A$5:$A$804,A141,'成交明细'!$D$5:$D$804,"买"))*IF(N(G141)&gt;0,G141,1)/O141,"")</f>
        <v/>
      </c>
      <c r="AC141" s="43" t="str">
        <f>IF(AND(Y141="已平仓",ISNUMBER(O141)),AA141/O141,"")</f>
        <v/>
      </c>
      <c r="AD141" s="44" t="str">
        <f>IF(AND(ISNUMBER(V141),ISNUMBER(I141)),IF(F141="空",I141-V141,V141-I141),"")</f>
        <v/>
      </c>
      <c r="AE141" s="44" t="str">
        <f>IF(OR(NOT(ISNUMBER(AA141)),NOT(ISNUMBER(X141))),"",IF(AA141&lt;0,IF(F141="空",X141-J141,J141-X141),IF(NOT(ISNUMBER(K141)),"",IF(F141="空",X141-K141,K141-X141))))</f>
        <v/>
      </c>
      <c r="AF141" s="32" t="n"/>
      <c r="AG141" s="32" t="n"/>
      <c r="AH141" s="31" t="n"/>
      <c r="AI141" s="43" t="str">
        <f>IF(A141="","",SUM(AC$5:AC141))</f>
        <v/>
      </c>
      <c r="AJ141" s="45" t="str">
        <f>IF(A141="","",MAX(0,MAX(AI$5:AI141))-AI141)</f>
        <v/>
      </c>
    </row>
    <row r="142">
      <c r="A142" s="29" t="n"/>
      <c r="B142" s="30" t="n"/>
      <c r="C142" s="31" t="n"/>
      <c r="D142" s="32" t="n"/>
      <c r="E142" s="32" t="n"/>
      <c r="F142" s="32" t="n"/>
      <c r="G142" s="32" t="n"/>
      <c r="H142" s="32" t="n"/>
      <c r="I142" s="33" t="n"/>
      <c r="J142" s="33" t="n"/>
      <c r="K142" s="33" t="n"/>
      <c r="L142" s="34" t="str">
        <f>IF(AND(ISNUMBER(I142),ISNUMBER(J142),ISNUMBER(K142)),IF(OR(AND(F142="多",I142&gt;J142),AND(F142="空",I142&lt;J142)),ABS(K142-I142)/ABS(I142-J142),"止损方向不对"),"")</f>
        <v/>
      </c>
      <c r="M142" s="35" t="str">
        <f>IF(AND(ISNUMBER(I142),ISNUMBER(J142)),IF(I142=J142,"",IF(INT(ROUND('参数'!$C$7/(ABS(I142-J142)*IF(N(G142)&gt;0,G142,1)+2*(I142*IF(N(G142)&gt;0,G142,1)*'参数'!$C$12+'参数'!$C$13+'参数'!$C$14*IF(N(G142)&gt;0,G142,1)))/IF(N(H142)&gt;0,H142,1),6))*IF(N(H142)&gt;0,H142,1)&gt;0,INT(ROUND('参数'!$C$7/(ABS(I142-J142)*IF(N(G142)&gt;0,G142,1)+2*(I142*IF(N(G142)&gt;0,G142,1)*'参数'!$C$12+'参数'!$C$13+'参数'!$C$14*IF(N(G142)&gt;0,G142,1)))/IF(N(H142)&gt;0,H142,1),6))*IF(N(H142)&gt;0,H142,1),"预算不足，这笔不做")),"")</f>
        <v/>
      </c>
      <c r="N142" s="36" t="n"/>
      <c r="O142" s="20" t="str">
        <f>IF(AND(ISNUMBER(I142),ISNUMBER(J142),ISNUMBER(N142)),IF(AND(I142&lt;&gt;J142,N142&gt;0),ABS(I142-J142)*N142*IF(N(G142)&gt;0,G142,1),""),"")</f>
        <v/>
      </c>
      <c r="P142" s="31" t="n"/>
      <c r="Q142" s="32" t="n"/>
      <c r="R142" s="37" t="str">
        <f>IF(N(U142)&gt;0,SUMPRODUCT(LARGE(('成交明细'!$A$5:$A$804=A142)*('成交明细'!$D$5:$D$804=IF(F142="空","卖","买"))*'成交明细'!$B$5:$B$804,COUNTIFS('成交明细'!$A$5:$A$804,A142,'成交明细'!$D$5:$D$804,IF(F142="空","卖","买")))),"")</f>
        <v/>
      </c>
      <c r="S142" s="37" t="str">
        <f>IF(AND(N(U142)&gt;0,N(W142)&gt;=N(U142)),SUMPRODUCT(MAX(('成交明细'!$A$5:$A$804=A142)*('成交明细'!$D$5:$D$804=IF(F142="空","买","卖"))*'成交明细'!$B$5:$B$804)),"")</f>
        <v/>
      </c>
      <c r="T142" s="38" t="str">
        <f>IF(N(U142)=0,"",IF(SUMPRODUCT(('成交明细'!$A$5:$A$804=A142)*('成交明细'!$D$5:$D$804=IF(F142="空","卖","买"))*ISNUMBER('成交明细'!$C$5:$C$804))=0,"没填时间",IFERROR(VLOOKUP(MOD(SUMPRODUCT(LARGE(('成交明细'!$A$5:$A$804=A142)*('成交明细'!$D$5:$D$804=IF(F142="空","卖","买"))*('成交明细'!$B$5:$B$804+'成交明细'!$C$5:$C$804),COUNTIFS('成交明细'!$A$5:$A$804,A142,'成交明细'!$D$5:$D$804,IF(F142="空","卖","买")))),1),'参数'!$B$39:$C$48,2,TRUE),"")))</f>
        <v/>
      </c>
      <c r="U142" s="35" t="str">
        <f>IF(A142="","",SUMIFS('成交明细'!$F$5:$F$804,'成交明细'!$A$5:$A$804,A142,'成交明细'!$D$5:$D$804,IF(F142="空","卖","买")))</f>
        <v/>
      </c>
      <c r="V142" s="39" t="str">
        <f>IF(N(U142)&gt;0,SUMIFS('成交明细'!$H$5:$H$804,'成交明细'!$A$5:$A$804,A142,'成交明细'!$D$5:$D$804,IF(F142="空","卖","买"))/U142,"")</f>
        <v/>
      </c>
      <c r="W142" s="35" t="str">
        <f>IF(A142="","",SUMIFS('成交明细'!$F$5:$F$804,'成交明细'!$A$5:$A$804,A142,'成交明细'!$D$5:$D$804,IF(F142="空","买","卖")))</f>
        <v/>
      </c>
      <c r="X142" s="39" t="str">
        <f>IF(N(W142)&gt;0,SUMIFS('成交明细'!$H$5:$H$804,'成交明细'!$A$5:$A$804,A142,'成交明细'!$D$5:$D$804,IF(F142="空","买","卖"))/W142,"")</f>
        <v/>
      </c>
      <c r="Y142" s="40" t="str">
        <f>IF(A142="","",IF(Q142&lt;&gt;"已执行",IF(Q142="","未填执行情况",Q142),IF(N(U142)=0,"待录成交",IF(N(W142)&gt;N(U142),"平仓多于开仓",IF(N(W142)&lt;N(U142),"持仓中","已平仓")))))</f>
        <v/>
      </c>
      <c r="Z142" s="41" t="str">
        <f>IF(N(U142)=0,"",SUMIFS('成交明细'!$L$5:$L$804,'成交明细'!$A$5:$A$804,A142))</f>
        <v/>
      </c>
      <c r="AA142" s="42" t="str">
        <f>IF(Y142&lt;&gt;"已平仓","",(SUMIFS('成交明细'!$H$5:$H$804,'成交明细'!$A$5:$A$804,A142,'成交明细'!$D$5:$D$804,"卖")-SUMIFS('成交明细'!$H$5:$H$804,'成交明细'!$A$5:$A$804,A142,'成交明细'!$D$5:$D$804,"买"))*IF(N(G142)&gt;0,G142,1)-Z142)</f>
        <v/>
      </c>
      <c r="AB142" s="43" t="str">
        <f>IF(AND(Y142="已平仓",ISNUMBER(O142)),(SUMIFS('成交明细'!$H$5:$H$804,'成交明细'!$A$5:$A$804,A142,'成交明细'!$D$5:$D$804,"卖")-SUMIFS('成交明细'!$H$5:$H$804,'成交明细'!$A$5:$A$804,A142,'成交明细'!$D$5:$D$804,"买"))*IF(N(G142)&gt;0,G142,1)/O142,"")</f>
        <v/>
      </c>
      <c r="AC142" s="43" t="str">
        <f>IF(AND(Y142="已平仓",ISNUMBER(O142)),AA142/O142,"")</f>
        <v/>
      </c>
      <c r="AD142" s="44" t="str">
        <f>IF(AND(ISNUMBER(V142),ISNUMBER(I142)),IF(F142="空",I142-V142,V142-I142),"")</f>
        <v/>
      </c>
      <c r="AE142" s="44" t="str">
        <f>IF(OR(NOT(ISNUMBER(AA142)),NOT(ISNUMBER(X142))),"",IF(AA142&lt;0,IF(F142="空",X142-J142,J142-X142),IF(NOT(ISNUMBER(K142)),"",IF(F142="空",X142-K142,K142-X142))))</f>
        <v/>
      </c>
      <c r="AF142" s="32" t="n"/>
      <c r="AG142" s="32" t="n"/>
      <c r="AH142" s="31" t="n"/>
      <c r="AI142" s="43" t="str">
        <f>IF(A142="","",SUM(AC$5:AC142))</f>
        <v/>
      </c>
      <c r="AJ142" s="45" t="str">
        <f>IF(A142="","",MAX(0,MAX(AI$5:AI142))-AI142)</f>
        <v/>
      </c>
    </row>
    <row r="143">
      <c r="A143" s="29" t="n"/>
      <c r="B143" s="30" t="n"/>
      <c r="C143" s="31" t="n"/>
      <c r="D143" s="32" t="n"/>
      <c r="E143" s="32" t="n"/>
      <c r="F143" s="32" t="n"/>
      <c r="G143" s="32" t="n"/>
      <c r="H143" s="32" t="n"/>
      <c r="I143" s="33" t="n"/>
      <c r="J143" s="33" t="n"/>
      <c r="K143" s="33" t="n"/>
      <c r="L143" s="34" t="str">
        <f>IF(AND(ISNUMBER(I143),ISNUMBER(J143),ISNUMBER(K143)),IF(OR(AND(F143="多",I143&gt;J143),AND(F143="空",I143&lt;J143)),ABS(K143-I143)/ABS(I143-J143),"止损方向不对"),"")</f>
        <v/>
      </c>
      <c r="M143" s="35" t="str">
        <f>IF(AND(ISNUMBER(I143),ISNUMBER(J143)),IF(I143=J143,"",IF(INT(ROUND('参数'!$C$7/(ABS(I143-J143)*IF(N(G143)&gt;0,G143,1)+2*(I143*IF(N(G143)&gt;0,G143,1)*'参数'!$C$12+'参数'!$C$13+'参数'!$C$14*IF(N(G143)&gt;0,G143,1)))/IF(N(H143)&gt;0,H143,1),6))*IF(N(H143)&gt;0,H143,1)&gt;0,INT(ROUND('参数'!$C$7/(ABS(I143-J143)*IF(N(G143)&gt;0,G143,1)+2*(I143*IF(N(G143)&gt;0,G143,1)*'参数'!$C$12+'参数'!$C$13+'参数'!$C$14*IF(N(G143)&gt;0,G143,1)))/IF(N(H143)&gt;0,H143,1),6))*IF(N(H143)&gt;0,H143,1),"预算不足，这笔不做")),"")</f>
        <v/>
      </c>
      <c r="N143" s="36" t="n"/>
      <c r="O143" s="20" t="str">
        <f>IF(AND(ISNUMBER(I143),ISNUMBER(J143),ISNUMBER(N143)),IF(AND(I143&lt;&gt;J143,N143&gt;0),ABS(I143-J143)*N143*IF(N(G143)&gt;0,G143,1),""),"")</f>
        <v/>
      </c>
      <c r="P143" s="31" t="n"/>
      <c r="Q143" s="32" t="n"/>
      <c r="R143" s="37" t="str">
        <f>IF(N(U143)&gt;0,SUMPRODUCT(LARGE(('成交明细'!$A$5:$A$804=A143)*('成交明细'!$D$5:$D$804=IF(F143="空","卖","买"))*'成交明细'!$B$5:$B$804,COUNTIFS('成交明细'!$A$5:$A$804,A143,'成交明细'!$D$5:$D$804,IF(F143="空","卖","买")))),"")</f>
        <v/>
      </c>
      <c r="S143" s="37" t="str">
        <f>IF(AND(N(U143)&gt;0,N(W143)&gt;=N(U143)),SUMPRODUCT(MAX(('成交明细'!$A$5:$A$804=A143)*('成交明细'!$D$5:$D$804=IF(F143="空","买","卖"))*'成交明细'!$B$5:$B$804)),"")</f>
        <v/>
      </c>
      <c r="T143" s="38" t="str">
        <f>IF(N(U143)=0,"",IF(SUMPRODUCT(('成交明细'!$A$5:$A$804=A143)*('成交明细'!$D$5:$D$804=IF(F143="空","卖","买"))*ISNUMBER('成交明细'!$C$5:$C$804))=0,"没填时间",IFERROR(VLOOKUP(MOD(SUMPRODUCT(LARGE(('成交明细'!$A$5:$A$804=A143)*('成交明细'!$D$5:$D$804=IF(F143="空","卖","买"))*('成交明细'!$B$5:$B$804+'成交明细'!$C$5:$C$804),COUNTIFS('成交明细'!$A$5:$A$804,A143,'成交明细'!$D$5:$D$804,IF(F143="空","卖","买")))),1),'参数'!$B$39:$C$48,2,TRUE),"")))</f>
        <v/>
      </c>
      <c r="U143" s="35" t="str">
        <f>IF(A143="","",SUMIFS('成交明细'!$F$5:$F$804,'成交明细'!$A$5:$A$804,A143,'成交明细'!$D$5:$D$804,IF(F143="空","卖","买")))</f>
        <v/>
      </c>
      <c r="V143" s="39" t="str">
        <f>IF(N(U143)&gt;0,SUMIFS('成交明细'!$H$5:$H$804,'成交明细'!$A$5:$A$804,A143,'成交明细'!$D$5:$D$804,IF(F143="空","卖","买"))/U143,"")</f>
        <v/>
      </c>
      <c r="W143" s="35" t="str">
        <f>IF(A143="","",SUMIFS('成交明细'!$F$5:$F$804,'成交明细'!$A$5:$A$804,A143,'成交明细'!$D$5:$D$804,IF(F143="空","买","卖")))</f>
        <v/>
      </c>
      <c r="X143" s="39" t="str">
        <f>IF(N(W143)&gt;0,SUMIFS('成交明细'!$H$5:$H$804,'成交明细'!$A$5:$A$804,A143,'成交明细'!$D$5:$D$804,IF(F143="空","买","卖"))/W143,"")</f>
        <v/>
      </c>
      <c r="Y143" s="40" t="str">
        <f>IF(A143="","",IF(Q143&lt;&gt;"已执行",IF(Q143="","未填执行情况",Q143),IF(N(U143)=0,"待录成交",IF(N(W143)&gt;N(U143),"平仓多于开仓",IF(N(W143)&lt;N(U143),"持仓中","已平仓")))))</f>
        <v/>
      </c>
      <c r="Z143" s="41" t="str">
        <f>IF(N(U143)=0,"",SUMIFS('成交明细'!$L$5:$L$804,'成交明细'!$A$5:$A$804,A143))</f>
        <v/>
      </c>
      <c r="AA143" s="42" t="str">
        <f>IF(Y143&lt;&gt;"已平仓","",(SUMIFS('成交明细'!$H$5:$H$804,'成交明细'!$A$5:$A$804,A143,'成交明细'!$D$5:$D$804,"卖")-SUMIFS('成交明细'!$H$5:$H$804,'成交明细'!$A$5:$A$804,A143,'成交明细'!$D$5:$D$804,"买"))*IF(N(G143)&gt;0,G143,1)-Z143)</f>
        <v/>
      </c>
      <c r="AB143" s="43" t="str">
        <f>IF(AND(Y143="已平仓",ISNUMBER(O143)),(SUMIFS('成交明细'!$H$5:$H$804,'成交明细'!$A$5:$A$804,A143,'成交明细'!$D$5:$D$804,"卖")-SUMIFS('成交明细'!$H$5:$H$804,'成交明细'!$A$5:$A$804,A143,'成交明细'!$D$5:$D$804,"买"))*IF(N(G143)&gt;0,G143,1)/O143,"")</f>
        <v/>
      </c>
      <c r="AC143" s="43" t="str">
        <f>IF(AND(Y143="已平仓",ISNUMBER(O143)),AA143/O143,"")</f>
        <v/>
      </c>
      <c r="AD143" s="44" t="str">
        <f>IF(AND(ISNUMBER(V143),ISNUMBER(I143)),IF(F143="空",I143-V143,V143-I143),"")</f>
        <v/>
      </c>
      <c r="AE143" s="44" t="str">
        <f>IF(OR(NOT(ISNUMBER(AA143)),NOT(ISNUMBER(X143))),"",IF(AA143&lt;0,IF(F143="空",X143-J143,J143-X143),IF(NOT(ISNUMBER(K143)),"",IF(F143="空",X143-K143,K143-X143))))</f>
        <v/>
      </c>
      <c r="AF143" s="32" t="n"/>
      <c r="AG143" s="32" t="n"/>
      <c r="AH143" s="31" t="n"/>
      <c r="AI143" s="43" t="str">
        <f>IF(A143="","",SUM(AC$5:AC143))</f>
        <v/>
      </c>
      <c r="AJ143" s="45" t="str">
        <f>IF(A143="","",MAX(0,MAX(AI$5:AI143))-AI143)</f>
        <v/>
      </c>
    </row>
    <row r="144">
      <c r="A144" s="29" t="n"/>
      <c r="B144" s="30" t="n"/>
      <c r="C144" s="31" t="n"/>
      <c r="D144" s="32" t="n"/>
      <c r="E144" s="32" t="n"/>
      <c r="F144" s="32" t="n"/>
      <c r="G144" s="32" t="n"/>
      <c r="H144" s="32" t="n"/>
      <c r="I144" s="33" t="n"/>
      <c r="J144" s="33" t="n"/>
      <c r="K144" s="33" t="n"/>
      <c r="L144" s="34" t="str">
        <f>IF(AND(ISNUMBER(I144),ISNUMBER(J144),ISNUMBER(K144)),IF(OR(AND(F144="多",I144&gt;J144),AND(F144="空",I144&lt;J144)),ABS(K144-I144)/ABS(I144-J144),"止损方向不对"),"")</f>
        <v/>
      </c>
      <c r="M144" s="35" t="str">
        <f>IF(AND(ISNUMBER(I144),ISNUMBER(J144)),IF(I144=J144,"",IF(INT(ROUND('参数'!$C$7/(ABS(I144-J144)*IF(N(G144)&gt;0,G144,1)+2*(I144*IF(N(G144)&gt;0,G144,1)*'参数'!$C$12+'参数'!$C$13+'参数'!$C$14*IF(N(G144)&gt;0,G144,1)))/IF(N(H144)&gt;0,H144,1),6))*IF(N(H144)&gt;0,H144,1)&gt;0,INT(ROUND('参数'!$C$7/(ABS(I144-J144)*IF(N(G144)&gt;0,G144,1)+2*(I144*IF(N(G144)&gt;0,G144,1)*'参数'!$C$12+'参数'!$C$13+'参数'!$C$14*IF(N(G144)&gt;0,G144,1)))/IF(N(H144)&gt;0,H144,1),6))*IF(N(H144)&gt;0,H144,1),"预算不足，这笔不做")),"")</f>
        <v/>
      </c>
      <c r="N144" s="36" t="n"/>
      <c r="O144" s="20" t="str">
        <f>IF(AND(ISNUMBER(I144),ISNUMBER(J144),ISNUMBER(N144)),IF(AND(I144&lt;&gt;J144,N144&gt;0),ABS(I144-J144)*N144*IF(N(G144)&gt;0,G144,1),""),"")</f>
        <v/>
      </c>
      <c r="P144" s="31" t="n"/>
      <c r="Q144" s="32" t="n"/>
      <c r="R144" s="37" t="str">
        <f>IF(N(U144)&gt;0,SUMPRODUCT(LARGE(('成交明细'!$A$5:$A$804=A144)*('成交明细'!$D$5:$D$804=IF(F144="空","卖","买"))*'成交明细'!$B$5:$B$804,COUNTIFS('成交明细'!$A$5:$A$804,A144,'成交明细'!$D$5:$D$804,IF(F144="空","卖","买")))),"")</f>
        <v/>
      </c>
      <c r="S144" s="37" t="str">
        <f>IF(AND(N(U144)&gt;0,N(W144)&gt;=N(U144)),SUMPRODUCT(MAX(('成交明细'!$A$5:$A$804=A144)*('成交明细'!$D$5:$D$804=IF(F144="空","买","卖"))*'成交明细'!$B$5:$B$804)),"")</f>
        <v/>
      </c>
      <c r="T144" s="38" t="str">
        <f>IF(N(U144)=0,"",IF(SUMPRODUCT(('成交明细'!$A$5:$A$804=A144)*('成交明细'!$D$5:$D$804=IF(F144="空","卖","买"))*ISNUMBER('成交明细'!$C$5:$C$804))=0,"没填时间",IFERROR(VLOOKUP(MOD(SUMPRODUCT(LARGE(('成交明细'!$A$5:$A$804=A144)*('成交明细'!$D$5:$D$804=IF(F144="空","卖","买"))*('成交明细'!$B$5:$B$804+'成交明细'!$C$5:$C$804),COUNTIFS('成交明细'!$A$5:$A$804,A144,'成交明细'!$D$5:$D$804,IF(F144="空","卖","买")))),1),'参数'!$B$39:$C$48,2,TRUE),"")))</f>
        <v/>
      </c>
      <c r="U144" s="35" t="str">
        <f>IF(A144="","",SUMIFS('成交明细'!$F$5:$F$804,'成交明细'!$A$5:$A$804,A144,'成交明细'!$D$5:$D$804,IF(F144="空","卖","买")))</f>
        <v/>
      </c>
      <c r="V144" s="39" t="str">
        <f>IF(N(U144)&gt;0,SUMIFS('成交明细'!$H$5:$H$804,'成交明细'!$A$5:$A$804,A144,'成交明细'!$D$5:$D$804,IF(F144="空","卖","买"))/U144,"")</f>
        <v/>
      </c>
      <c r="W144" s="35" t="str">
        <f>IF(A144="","",SUMIFS('成交明细'!$F$5:$F$804,'成交明细'!$A$5:$A$804,A144,'成交明细'!$D$5:$D$804,IF(F144="空","买","卖")))</f>
        <v/>
      </c>
      <c r="X144" s="39" t="str">
        <f>IF(N(W144)&gt;0,SUMIFS('成交明细'!$H$5:$H$804,'成交明细'!$A$5:$A$804,A144,'成交明细'!$D$5:$D$804,IF(F144="空","买","卖"))/W144,"")</f>
        <v/>
      </c>
      <c r="Y144" s="40" t="str">
        <f>IF(A144="","",IF(Q144&lt;&gt;"已执行",IF(Q144="","未填执行情况",Q144),IF(N(U144)=0,"待录成交",IF(N(W144)&gt;N(U144),"平仓多于开仓",IF(N(W144)&lt;N(U144),"持仓中","已平仓")))))</f>
        <v/>
      </c>
      <c r="Z144" s="41" t="str">
        <f>IF(N(U144)=0,"",SUMIFS('成交明细'!$L$5:$L$804,'成交明细'!$A$5:$A$804,A144))</f>
        <v/>
      </c>
      <c r="AA144" s="42" t="str">
        <f>IF(Y144&lt;&gt;"已平仓","",(SUMIFS('成交明细'!$H$5:$H$804,'成交明细'!$A$5:$A$804,A144,'成交明细'!$D$5:$D$804,"卖")-SUMIFS('成交明细'!$H$5:$H$804,'成交明细'!$A$5:$A$804,A144,'成交明细'!$D$5:$D$804,"买"))*IF(N(G144)&gt;0,G144,1)-Z144)</f>
        <v/>
      </c>
      <c r="AB144" s="43" t="str">
        <f>IF(AND(Y144="已平仓",ISNUMBER(O144)),(SUMIFS('成交明细'!$H$5:$H$804,'成交明细'!$A$5:$A$804,A144,'成交明细'!$D$5:$D$804,"卖")-SUMIFS('成交明细'!$H$5:$H$804,'成交明细'!$A$5:$A$804,A144,'成交明细'!$D$5:$D$804,"买"))*IF(N(G144)&gt;0,G144,1)/O144,"")</f>
        <v/>
      </c>
      <c r="AC144" s="43" t="str">
        <f>IF(AND(Y144="已平仓",ISNUMBER(O144)),AA144/O144,"")</f>
        <v/>
      </c>
      <c r="AD144" s="44" t="str">
        <f>IF(AND(ISNUMBER(V144),ISNUMBER(I144)),IF(F144="空",I144-V144,V144-I144),"")</f>
        <v/>
      </c>
      <c r="AE144" s="44" t="str">
        <f>IF(OR(NOT(ISNUMBER(AA144)),NOT(ISNUMBER(X144))),"",IF(AA144&lt;0,IF(F144="空",X144-J144,J144-X144),IF(NOT(ISNUMBER(K144)),"",IF(F144="空",X144-K144,K144-X144))))</f>
        <v/>
      </c>
      <c r="AF144" s="32" t="n"/>
      <c r="AG144" s="32" t="n"/>
      <c r="AH144" s="31" t="n"/>
      <c r="AI144" s="43" t="str">
        <f>IF(A144="","",SUM(AC$5:AC144))</f>
        <v/>
      </c>
      <c r="AJ144" s="45" t="str">
        <f>IF(A144="","",MAX(0,MAX(AI$5:AI144))-AI144)</f>
        <v/>
      </c>
    </row>
    <row r="145">
      <c r="A145" s="29" t="n"/>
      <c r="B145" s="30" t="n"/>
      <c r="C145" s="31" t="n"/>
      <c r="D145" s="32" t="n"/>
      <c r="E145" s="32" t="n"/>
      <c r="F145" s="32" t="n"/>
      <c r="G145" s="32" t="n"/>
      <c r="H145" s="32" t="n"/>
      <c r="I145" s="33" t="n"/>
      <c r="J145" s="33" t="n"/>
      <c r="K145" s="33" t="n"/>
      <c r="L145" s="34" t="str">
        <f>IF(AND(ISNUMBER(I145),ISNUMBER(J145),ISNUMBER(K145)),IF(OR(AND(F145="多",I145&gt;J145),AND(F145="空",I145&lt;J145)),ABS(K145-I145)/ABS(I145-J145),"止损方向不对"),"")</f>
        <v/>
      </c>
      <c r="M145" s="35" t="str">
        <f>IF(AND(ISNUMBER(I145),ISNUMBER(J145)),IF(I145=J145,"",IF(INT(ROUND('参数'!$C$7/(ABS(I145-J145)*IF(N(G145)&gt;0,G145,1)+2*(I145*IF(N(G145)&gt;0,G145,1)*'参数'!$C$12+'参数'!$C$13+'参数'!$C$14*IF(N(G145)&gt;0,G145,1)))/IF(N(H145)&gt;0,H145,1),6))*IF(N(H145)&gt;0,H145,1)&gt;0,INT(ROUND('参数'!$C$7/(ABS(I145-J145)*IF(N(G145)&gt;0,G145,1)+2*(I145*IF(N(G145)&gt;0,G145,1)*'参数'!$C$12+'参数'!$C$13+'参数'!$C$14*IF(N(G145)&gt;0,G145,1)))/IF(N(H145)&gt;0,H145,1),6))*IF(N(H145)&gt;0,H145,1),"预算不足，这笔不做")),"")</f>
        <v/>
      </c>
      <c r="N145" s="36" t="n"/>
      <c r="O145" s="20" t="str">
        <f>IF(AND(ISNUMBER(I145),ISNUMBER(J145),ISNUMBER(N145)),IF(AND(I145&lt;&gt;J145,N145&gt;0),ABS(I145-J145)*N145*IF(N(G145)&gt;0,G145,1),""),"")</f>
        <v/>
      </c>
      <c r="P145" s="31" t="n"/>
      <c r="Q145" s="32" t="n"/>
      <c r="R145" s="37" t="str">
        <f>IF(N(U145)&gt;0,SUMPRODUCT(LARGE(('成交明细'!$A$5:$A$804=A145)*('成交明细'!$D$5:$D$804=IF(F145="空","卖","买"))*'成交明细'!$B$5:$B$804,COUNTIFS('成交明细'!$A$5:$A$804,A145,'成交明细'!$D$5:$D$804,IF(F145="空","卖","买")))),"")</f>
        <v/>
      </c>
      <c r="S145" s="37" t="str">
        <f>IF(AND(N(U145)&gt;0,N(W145)&gt;=N(U145)),SUMPRODUCT(MAX(('成交明细'!$A$5:$A$804=A145)*('成交明细'!$D$5:$D$804=IF(F145="空","买","卖"))*'成交明细'!$B$5:$B$804)),"")</f>
        <v/>
      </c>
      <c r="T145" s="38" t="str">
        <f>IF(N(U145)=0,"",IF(SUMPRODUCT(('成交明细'!$A$5:$A$804=A145)*('成交明细'!$D$5:$D$804=IF(F145="空","卖","买"))*ISNUMBER('成交明细'!$C$5:$C$804))=0,"没填时间",IFERROR(VLOOKUP(MOD(SUMPRODUCT(LARGE(('成交明细'!$A$5:$A$804=A145)*('成交明细'!$D$5:$D$804=IF(F145="空","卖","买"))*('成交明细'!$B$5:$B$804+'成交明细'!$C$5:$C$804),COUNTIFS('成交明细'!$A$5:$A$804,A145,'成交明细'!$D$5:$D$804,IF(F145="空","卖","买")))),1),'参数'!$B$39:$C$48,2,TRUE),"")))</f>
        <v/>
      </c>
      <c r="U145" s="35" t="str">
        <f>IF(A145="","",SUMIFS('成交明细'!$F$5:$F$804,'成交明细'!$A$5:$A$804,A145,'成交明细'!$D$5:$D$804,IF(F145="空","卖","买")))</f>
        <v/>
      </c>
      <c r="V145" s="39" t="str">
        <f>IF(N(U145)&gt;0,SUMIFS('成交明细'!$H$5:$H$804,'成交明细'!$A$5:$A$804,A145,'成交明细'!$D$5:$D$804,IF(F145="空","卖","买"))/U145,"")</f>
        <v/>
      </c>
      <c r="W145" s="35" t="str">
        <f>IF(A145="","",SUMIFS('成交明细'!$F$5:$F$804,'成交明细'!$A$5:$A$804,A145,'成交明细'!$D$5:$D$804,IF(F145="空","买","卖")))</f>
        <v/>
      </c>
      <c r="X145" s="39" t="str">
        <f>IF(N(W145)&gt;0,SUMIFS('成交明细'!$H$5:$H$804,'成交明细'!$A$5:$A$804,A145,'成交明细'!$D$5:$D$804,IF(F145="空","买","卖"))/W145,"")</f>
        <v/>
      </c>
      <c r="Y145" s="40" t="str">
        <f>IF(A145="","",IF(Q145&lt;&gt;"已执行",IF(Q145="","未填执行情况",Q145),IF(N(U145)=0,"待录成交",IF(N(W145)&gt;N(U145),"平仓多于开仓",IF(N(W145)&lt;N(U145),"持仓中","已平仓")))))</f>
        <v/>
      </c>
      <c r="Z145" s="41" t="str">
        <f>IF(N(U145)=0,"",SUMIFS('成交明细'!$L$5:$L$804,'成交明细'!$A$5:$A$804,A145))</f>
        <v/>
      </c>
      <c r="AA145" s="42" t="str">
        <f>IF(Y145&lt;&gt;"已平仓","",(SUMIFS('成交明细'!$H$5:$H$804,'成交明细'!$A$5:$A$804,A145,'成交明细'!$D$5:$D$804,"卖")-SUMIFS('成交明细'!$H$5:$H$804,'成交明细'!$A$5:$A$804,A145,'成交明细'!$D$5:$D$804,"买"))*IF(N(G145)&gt;0,G145,1)-Z145)</f>
        <v/>
      </c>
      <c r="AB145" s="43" t="str">
        <f>IF(AND(Y145="已平仓",ISNUMBER(O145)),(SUMIFS('成交明细'!$H$5:$H$804,'成交明细'!$A$5:$A$804,A145,'成交明细'!$D$5:$D$804,"卖")-SUMIFS('成交明细'!$H$5:$H$804,'成交明细'!$A$5:$A$804,A145,'成交明细'!$D$5:$D$804,"买"))*IF(N(G145)&gt;0,G145,1)/O145,"")</f>
        <v/>
      </c>
      <c r="AC145" s="43" t="str">
        <f>IF(AND(Y145="已平仓",ISNUMBER(O145)),AA145/O145,"")</f>
        <v/>
      </c>
      <c r="AD145" s="44" t="str">
        <f>IF(AND(ISNUMBER(V145),ISNUMBER(I145)),IF(F145="空",I145-V145,V145-I145),"")</f>
        <v/>
      </c>
      <c r="AE145" s="44" t="str">
        <f>IF(OR(NOT(ISNUMBER(AA145)),NOT(ISNUMBER(X145))),"",IF(AA145&lt;0,IF(F145="空",X145-J145,J145-X145),IF(NOT(ISNUMBER(K145)),"",IF(F145="空",X145-K145,K145-X145))))</f>
        <v/>
      </c>
      <c r="AF145" s="32" t="n"/>
      <c r="AG145" s="32" t="n"/>
      <c r="AH145" s="31" t="n"/>
      <c r="AI145" s="43" t="str">
        <f>IF(A145="","",SUM(AC$5:AC145))</f>
        <v/>
      </c>
      <c r="AJ145" s="45" t="str">
        <f>IF(A145="","",MAX(0,MAX(AI$5:AI145))-AI145)</f>
        <v/>
      </c>
    </row>
    <row r="146">
      <c r="A146" s="29" t="n"/>
      <c r="B146" s="30" t="n"/>
      <c r="C146" s="31" t="n"/>
      <c r="D146" s="32" t="n"/>
      <c r="E146" s="32" t="n"/>
      <c r="F146" s="32" t="n"/>
      <c r="G146" s="32" t="n"/>
      <c r="H146" s="32" t="n"/>
      <c r="I146" s="33" t="n"/>
      <c r="J146" s="33" t="n"/>
      <c r="K146" s="33" t="n"/>
      <c r="L146" s="34" t="str">
        <f>IF(AND(ISNUMBER(I146),ISNUMBER(J146),ISNUMBER(K146)),IF(OR(AND(F146="多",I146&gt;J146),AND(F146="空",I146&lt;J146)),ABS(K146-I146)/ABS(I146-J146),"止损方向不对"),"")</f>
        <v/>
      </c>
      <c r="M146" s="35" t="str">
        <f>IF(AND(ISNUMBER(I146),ISNUMBER(J146)),IF(I146=J146,"",IF(INT(ROUND('参数'!$C$7/(ABS(I146-J146)*IF(N(G146)&gt;0,G146,1)+2*(I146*IF(N(G146)&gt;0,G146,1)*'参数'!$C$12+'参数'!$C$13+'参数'!$C$14*IF(N(G146)&gt;0,G146,1)))/IF(N(H146)&gt;0,H146,1),6))*IF(N(H146)&gt;0,H146,1)&gt;0,INT(ROUND('参数'!$C$7/(ABS(I146-J146)*IF(N(G146)&gt;0,G146,1)+2*(I146*IF(N(G146)&gt;0,G146,1)*'参数'!$C$12+'参数'!$C$13+'参数'!$C$14*IF(N(G146)&gt;0,G146,1)))/IF(N(H146)&gt;0,H146,1),6))*IF(N(H146)&gt;0,H146,1),"预算不足，这笔不做")),"")</f>
        <v/>
      </c>
      <c r="N146" s="36" t="n"/>
      <c r="O146" s="20" t="str">
        <f>IF(AND(ISNUMBER(I146),ISNUMBER(J146),ISNUMBER(N146)),IF(AND(I146&lt;&gt;J146,N146&gt;0),ABS(I146-J146)*N146*IF(N(G146)&gt;0,G146,1),""),"")</f>
        <v/>
      </c>
      <c r="P146" s="31" t="n"/>
      <c r="Q146" s="32" t="n"/>
      <c r="R146" s="37" t="str">
        <f>IF(N(U146)&gt;0,SUMPRODUCT(LARGE(('成交明细'!$A$5:$A$804=A146)*('成交明细'!$D$5:$D$804=IF(F146="空","卖","买"))*'成交明细'!$B$5:$B$804,COUNTIFS('成交明细'!$A$5:$A$804,A146,'成交明细'!$D$5:$D$804,IF(F146="空","卖","买")))),"")</f>
        <v/>
      </c>
      <c r="S146" s="37" t="str">
        <f>IF(AND(N(U146)&gt;0,N(W146)&gt;=N(U146)),SUMPRODUCT(MAX(('成交明细'!$A$5:$A$804=A146)*('成交明细'!$D$5:$D$804=IF(F146="空","买","卖"))*'成交明细'!$B$5:$B$804)),"")</f>
        <v/>
      </c>
      <c r="T146" s="38" t="str">
        <f>IF(N(U146)=0,"",IF(SUMPRODUCT(('成交明细'!$A$5:$A$804=A146)*('成交明细'!$D$5:$D$804=IF(F146="空","卖","买"))*ISNUMBER('成交明细'!$C$5:$C$804))=0,"没填时间",IFERROR(VLOOKUP(MOD(SUMPRODUCT(LARGE(('成交明细'!$A$5:$A$804=A146)*('成交明细'!$D$5:$D$804=IF(F146="空","卖","买"))*('成交明细'!$B$5:$B$804+'成交明细'!$C$5:$C$804),COUNTIFS('成交明细'!$A$5:$A$804,A146,'成交明细'!$D$5:$D$804,IF(F146="空","卖","买")))),1),'参数'!$B$39:$C$48,2,TRUE),"")))</f>
        <v/>
      </c>
      <c r="U146" s="35" t="str">
        <f>IF(A146="","",SUMIFS('成交明细'!$F$5:$F$804,'成交明细'!$A$5:$A$804,A146,'成交明细'!$D$5:$D$804,IF(F146="空","卖","买")))</f>
        <v/>
      </c>
      <c r="V146" s="39" t="str">
        <f>IF(N(U146)&gt;0,SUMIFS('成交明细'!$H$5:$H$804,'成交明细'!$A$5:$A$804,A146,'成交明细'!$D$5:$D$804,IF(F146="空","卖","买"))/U146,"")</f>
        <v/>
      </c>
      <c r="W146" s="35" t="str">
        <f>IF(A146="","",SUMIFS('成交明细'!$F$5:$F$804,'成交明细'!$A$5:$A$804,A146,'成交明细'!$D$5:$D$804,IF(F146="空","买","卖")))</f>
        <v/>
      </c>
      <c r="X146" s="39" t="str">
        <f>IF(N(W146)&gt;0,SUMIFS('成交明细'!$H$5:$H$804,'成交明细'!$A$5:$A$804,A146,'成交明细'!$D$5:$D$804,IF(F146="空","买","卖"))/W146,"")</f>
        <v/>
      </c>
      <c r="Y146" s="40" t="str">
        <f>IF(A146="","",IF(Q146&lt;&gt;"已执行",IF(Q146="","未填执行情况",Q146),IF(N(U146)=0,"待录成交",IF(N(W146)&gt;N(U146),"平仓多于开仓",IF(N(W146)&lt;N(U146),"持仓中","已平仓")))))</f>
        <v/>
      </c>
      <c r="Z146" s="41" t="str">
        <f>IF(N(U146)=0,"",SUMIFS('成交明细'!$L$5:$L$804,'成交明细'!$A$5:$A$804,A146))</f>
        <v/>
      </c>
      <c r="AA146" s="42" t="str">
        <f>IF(Y146&lt;&gt;"已平仓","",(SUMIFS('成交明细'!$H$5:$H$804,'成交明细'!$A$5:$A$804,A146,'成交明细'!$D$5:$D$804,"卖")-SUMIFS('成交明细'!$H$5:$H$804,'成交明细'!$A$5:$A$804,A146,'成交明细'!$D$5:$D$804,"买"))*IF(N(G146)&gt;0,G146,1)-Z146)</f>
        <v/>
      </c>
      <c r="AB146" s="43" t="str">
        <f>IF(AND(Y146="已平仓",ISNUMBER(O146)),(SUMIFS('成交明细'!$H$5:$H$804,'成交明细'!$A$5:$A$804,A146,'成交明细'!$D$5:$D$804,"卖")-SUMIFS('成交明细'!$H$5:$H$804,'成交明细'!$A$5:$A$804,A146,'成交明细'!$D$5:$D$804,"买"))*IF(N(G146)&gt;0,G146,1)/O146,"")</f>
        <v/>
      </c>
      <c r="AC146" s="43" t="str">
        <f>IF(AND(Y146="已平仓",ISNUMBER(O146)),AA146/O146,"")</f>
        <v/>
      </c>
      <c r="AD146" s="44" t="str">
        <f>IF(AND(ISNUMBER(V146),ISNUMBER(I146)),IF(F146="空",I146-V146,V146-I146),"")</f>
        <v/>
      </c>
      <c r="AE146" s="44" t="str">
        <f>IF(OR(NOT(ISNUMBER(AA146)),NOT(ISNUMBER(X146))),"",IF(AA146&lt;0,IF(F146="空",X146-J146,J146-X146),IF(NOT(ISNUMBER(K146)),"",IF(F146="空",X146-K146,K146-X146))))</f>
        <v/>
      </c>
      <c r="AF146" s="32" t="n"/>
      <c r="AG146" s="32" t="n"/>
      <c r="AH146" s="31" t="n"/>
      <c r="AI146" s="43" t="str">
        <f>IF(A146="","",SUM(AC$5:AC146))</f>
        <v/>
      </c>
      <c r="AJ146" s="45" t="str">
        <f>IF(A146="","",MAX(0,MAX(AI$5:AI146))-AI146)</f>
        <v/>
      </c>
    </row>
    <row r="147">
      <c r="A147" s="29" t="n"/>
      <c r="B147" s="30" t="n"/>
      <c r="C147" s="31" t="n"/>
      <c r="D147" s="32" t="n"/>
      <c r="E147" s="32" t="n"/>
      <c r="F147" s="32" t="n"/>
      <c r="G147" s="32" t="n"/>
      <c r="H147" s="32" t="n"/>
      <c r="I147" s="33" t="n"/>
      <c r="J147" s="33" t="n"/>
      <c r="K147" s="33" t="n"/>
      <c r="L147" s="34" t="str">
        <f>IF(AND(ISNUMBER(I147),ISNUMBER(J147),ISNUMBER(K147)),IF(OR(AND(F147="多",I147&gt;J147),AND(F147="空",I147&lt;J147)),ABS(K147-I147)/ABS(I147-J147),"止损方向不对"),"")</f>
        <v/>
      </c>
      <c r="M147" s="35" t="str">
        <f>IF(AND(ISNUMBER(I147),ISNUMBER(J147)),IF(I147=J147,"",IF(INT(ROUND('参数'!$C$7/(ABS(I147-J147)*IF(N(G147)&gt;0,G147,1)+2*(I147*IF(N(G147)&gt;0,G147,1)*'参数'!$C$12+'参数'!$C$13+'参数'!$C$14*IF(N(G147)&gt;0,G147,1)))/IF(N(H147)&gt;0,H147,1),6))*IF(N(H147)&gt;0,H147,1)&gt;0,INT(ROUND('参数'!$C$7/(ABS(I147-J147)*IF(N(G147)&gt;0,G147,1)+2*(I147*IF(N(G147)&gt;0,G147,1)*'参数'!$C$12+'参数'!$C$13+'参数'!$C$14*IF(N(G147)&gt;0,G147,1)))/IF(N(H147)&gt;0,H147,1),6))*IF(N(H147)&gt;0,H147,1),"预算不足，这笔不做")),"")</f>
        <v/>
      </c>
      <c r="N147" s="36" t="n"/>
      <c r="O147" s="20" t="str">
        <f>IF(AND(ISNUMBER(I147),ISNUMBER(J147),ISNUMBER(N147)),IF(AND(I147&lt;&gt;J147,N147&gt;0),ABS(I147-J147)*N147*IF(N(G147)&gt;0,G147,1),""),"")</f>
        <v/>
      </c>
      <c r="P147" s="31" t="n"/>
      <c r="Q147" s="32" t="n"/>
      <c r="R147" s="37" t="str">
        <f>IF(N(U147)&gt;0,SUMPRODUCT(LARGE(('成交明细'!$A$5:$A$804=A147)*('成交明细'!$D$5:$D$804=IF(F147="空","卖","买"))*'成交明细'!$B$5:$B$804,COUNTIFS('成交明细'!$A$5:$A$804,A147,'成交明细'!$D$5:$D$804,IF(F147="空","卖","买")))),"")</f>
        <v/>
      </c>
      <c r="S147" s="37" t="str">
        <f>IF(AND(N(U147)&gt;0,N(W147)&gt;=N(U147)),SUMPRODUCT(MAX(('成交明细'!$A$5:$A$804=A147)*('成交明细'!$D$5:$D$804=IF(F147="空","买","卖"))*'成交明细'!$B$5:$B$804)),"")</f>
        <v/>
      </c>
      <c r="T147" s="38" t="str">
        <f>IF(N(U147)=0,"",IF(SUMPRODUCT(('成交明细'!$A$5:$A$804=A147)*('成交明细'!$D$5:$D$804=IF(F147="空","卖","买"))*ISNUMBER('成交明细'!$C$5:$C$804))=0,"没填时间",IFERROR(VLOOKUP(MOD(SUMPRODUCT(LARGE(('成交明细'!$A$5:$A$804=A147)*('成交明细'!$D$5:$D$804=IF(F147="空","卖","买"))*('成交明细'!$B$5:$B$804+'成交明细'!$C$5:$C$804),COUNTIFS('成交明细'!$A$5:$A$804,A147,'成交明细'!$D$5:$D$804,IF(F147="空","卖","买")))),1),'参数'!$B$39:$C$48,2,TRUE),"")))</f>
        <v/>
      </c>
      <c r="U147" s="35" t="str">
        <f>IF(A147="","",SUMIFS('成交明细'!$F$5:$F$804,'成交明细'!$A$5:$A$804,A147,'成交明细'!$D$5:$D$804,IF(F147="空","卖","买")))</f>
        <v/>
      </c>
      <c r="V147" s="39" t="str">
        <f>IF(N(U147)&gt;0,SUMIFS('成交明细'!$H$5:$H$804,'成交明细'!$A$5:$A$804,A147,'成交明细'!$D$5:$D$804,IF(F147="空","卖","买"))/U147,"")</f>
        <v/>
      </c>
      <c r="W147" s="35" t="str">
        <f>IF(A147="","",SUMIFS('成交明细'!$F$5:$F$804,'成交明细'!$A$5:$A$804,A147,'成交明细'!$D$5:$D$804,IF(F147="空","买","卖")))</f>
        <v/>
      </c>
      <c r="X147" s="39" t="str">
        <f>IF(N(W147)&gt;0,SUMIFS('成交明细'!$H$5:$H$804,'成交明细'!$A$5:$A$804,A147,'成交明细'!$D$5:$D$804,IF(F147="空","买","卖"))/W147,"")</f>
        <v/>
      </c>
      <c r="Y147" s="40" t="str">
        <f>IF(A147="","",IF(Q147&lt;&gt;"已执行",IF(Q147="","未填执行情况",Q147),IF(N(U147)=0,"待录成交",IF(N(W147)&gt;N(U147),"平仓多于开仓",IF(N(W147)&lt;N(U147),"持仓中","已平仓")))))</f>
        <v/>
      </c>
      <c r="Z147" s="41" t="str">
        <f>IF(N(U147)=0,"",SUMIFS('成交明细'!$L$5:$L$804,'成交明细'!$A$5:$A$804,A147))</f>
        <v/>
      </c>
      <c r="AA147" s="42" t="str">
        <f>IF(Y147&lt;&gt;"已平仓","",(SUMIFS('成交明细'!$H$5:$H$804,'成交明细'!$A$5:$A$804,A147,'成交明细'!$D$5:$D$804,"卖")-SUMIFS('成交明细'!$H$5:$H$804,'成交明细'!$A$5:$A$804,A147,'成交明细'!$D$5:$D$804,"买"))*IF(N(G147)&gt;0,G147,1)-Z147)</f>
        <v/>
      </c>
      <c r="AB147" s="43" t="str">
        <f>IF(AND(Y147="已平仓",ISNUMBER(O147)),(SUMIFS('成交明细'!$H$5:$H$804,'成交明细'!$A$5:$A$804,A147,'成交明细'!$D$5:$D$804,"卖")-SUMIFS('成交明细'!$H$5:$H$804,'成交明细'!$A$5:$A$804,A147,'成交明细'!$D$5:$D$804,"买"))*IF(N(G147)&gt;0,G147,1)/O147,"")</f>
        <v/>
      </c>
      <c r="AC147" s="43" t="str">
        <f>IF(AND(Y147="已平仓",ISNUMBER(O147)),AA147/O147,"")</f>
        <v/>
      </c>
      <c r="AD147" s="44" t="str">
        <f>IF(AND(ISNUMBER(V147),ISNUMBER(I147)),IF(F147="空",I147-V147,V147-I147),"")</f>
        <v/>
      </c>
      <c r="AE147" s="44" t="str">
        <f>IF(OR(NOT(ISNUMBER(AA147)),NOT(ISNUMBER(X147))),"",IF(AA147&lt;0,IF(F147="空",X147-J147,J147-X147),IF(NOT(ISNUMBER(K147)),"",IF(F147="空",X147-K147,K147-X147))))</f>
        <v/>
      </c>
      <c r="AF147" s="32" t="n"/>
      <c r="AG147" s="32" t="n"/>
      <c r="AH147" s="31" t="n"/>
      <c r="AI147" s="43" t="str">
        <f>IF(A147="","",SUM(AC$5:AC147))</f>
        <v/>
      </c>
      <c r="AJ147" s="45" t="str">
        <f>IF(A147="","",MAX(0,MAX(AI$5:AI147))-AI147)</f>
        <v/>
      </c>
    </row>
    <row r="148">
      <c r="A148" s="29" t="n"/>
      <c r="B148" s="30" t="n"/>
      <c r="C148" s="31" t="n"/>
      <c r="D148" s="32" t="n"/>
      <c r="E148" s="32" t="n"/>
      <c r="F148" s="32" t="n"/>
      <c r="G148" s="32" t="n"/>
      <c r="H148" s="32" t="n"/>
      <c r="I148" s="33" t="n"/>
      <c r="J148" s="33" t="n"/>
      <c r="K148" s="33" t="n"/>
      <c r="L148" s="34" t="str">
        <f>IF(AND(ISNUMBER(I148),ISNUMBER(J148),ISNUMBER(K148)),IF(OR(AND(F148="多",I148&gt;J148),AND(F148="空",I148&lt;J148)),ABS(K148-I148)/ABS(I148-J148),"止损方向不对"),"")</f>
        <v/>
      </c>
      <c r="M148" s="35" t="str">
        <f>IF(AND(ISNUMBER(I148),ISNUMBER(J148)),IF(I148=J148,"",IF(INT(ROUND('参数'!$C$7/(ABS(I148-J148)*IF(N(G148)&gt;0,G148,1)+2*(I148*IF(N(G148)&gt;0,G148,1)*'参数'!$C$12+'参数'!$C$13+'参数'!$C$14*IF(N(G148)&gt;0,G148,1)))/IF(N(H148)&gt;0,H148,1),6))*IF(N(H148)&gt;0,H148,1)&gt;0,INT(ROUND('参数'!$C$7/(ABS(I148-J148)*IF(N(G148)&gt;0,G148,1)+2*(I148*IF(N(G148)&gt;0,G148,1)*'参数'!$C$12+'参数'!$C$13+'参数'!$C$14*IF(N(G148)&gt;0,G148,1)))/IF(N(H148)&gt;0,H148,1),6))*IF(N(H148)&gt;0,H148,1),"预算不足，这笔不做")),"")</f>
        <v/>
      </c>
      <c r="N148" s="36" t="n"/>
      <c r="O148" s="20" t="str">
        <f>IF(AND(ISNUMBER(I148),ISNUMBER(J148),ISNUMBER(N148)),IF(AND(I148&lt;&gt;J148,N148&gt;0),ABS(I148-J148)*N148*IF(N(G148)&gt;0,G148,1),""),"")</f>
        <v/>
      </c>
      <c r="P148" s="31" t="n"/>
      <c r="Q148" s="32" t="n"/>
      <c r="R148" s="37" t="str">
        <f>IF(N(U148)&gt;0,SUMPRODUCT(LARGE(('成交明细'!$A$5:$A$804=A148)*('成交明细'!$D$5:$D$804=IF(F148="空","卖","买"))*'成交明细'!$B$5:$B$804,COUNTIFS('成交明细'!$A$5:$A$804,A148,'成交明细'!$D$5:$D$804,IF(F148="空","卖","买")))),"")</f>
        <v/>
      </c>
      <c r="S148" s="37" t="str">
        <f>IF(AND(N(U148)&gt;0,N(W148)&gt;=N(U148)),SUMPRODUCT(MAX(('成交明细'!$A$5:$A$804=A148)*('成交明细'!$D$5:$D$804=IF(F148="空","买","卖"))*'成交明细'!$B$5:$B$804)),"")</f>
        <v/>
      </c>
      <c r="T148" s="38" t="str">
        <f>IF(N(U148)=0,"",IF(SUMPRODUCT(('成交明细'!$A$5:$A$804=A148)*('成交明细'!$D$5:$D$804=IF(F148="空","卖","买"))*ISNUMBER('成交明细'!$C$5:$C$804))=0,"没填时间",IFERROR(VLOOKUP(MOD(SUMPRODUCT(LARGE(('成交明细'!$A$5:$A$804=A148)*('成交明细'!$D$5:$D$804=IF(F148="空","卖","买"))*('成交明细'!$B$5:$B$804+'成交明细'!$C$5:$C$804),COUNTIFS('成交明细'!$A$5:$A$804,A148,'成交明细'!$D$5:$D$804,IF(F148="空","卖","买")))),1),'参数'!$B$39:$C$48,2,TRUE),"")))</f>
        <v/>
      </c>
      <c r="U148" s="35" t="str">
        <f>IF(A148="","",SUMIFS('成交明细'!$F$5:$F$804,'成交明细'!$A$5:$A$804,A148,'成交明细'!$D$5:$D$804,IF(F148="空","卖","买")))</f>
        <v/>
      </c>
      <c r="V148" s="39" t="str">
        <f>IF(N(U148)&gt;0,SUMIFS('成交明细'!$H$5:$H$804,'成交明细'!$A$5:$A$804,A148,'成交明细'!$D$5:$D$804,IF(F148="空","卖","买"))/U148,"")</f>
        <v/>
      </c>
      <c r="W148" s="35" t="str">
        <f>IF(A148="","",SUMIFS('成交明细'!$F$5:$F$804,'成交明细'!$A$5:$A$804,A148,'成交明细'!$D$5:$D$804,IF(F148="空","买","卖")))</f>
        <v/>
      </c>
      <c r="X148" s="39" t="str">
        <f>IF(N(W148)&gt;0,SUMIFS('成交明细'!$H$5:$H$804,'成交明细'!$A$5:$A$804,A148,'成交明细'!$D$5:$D$804,IF(F148="空","买","卖"))/W148,"")</f>
        <v/>
      </c>
      <c r="Y148" s="40" t="str">
        <f>IF(A148="","",IF(Q148&lt;&gt;"已执行",IF(Q148="","未填执行情况",Q148),IF(N(U148)=0,"待录成交",IF(N(W148)&gt;N(U148),"平仓多于开仓",IF(N(W148)&lt;N(U148),"持仓中","已平仓")))))</f>
        <v/>
      </c>
      <c r="Z148" s="41" t="str">
        <f>IF(N(U148)=0,"",SUMIFS('成交明细'!$L$5:$L$804,'成交明细'!$A$5:$A$804,A148))</f>
        <v/>
      </c>
      <c r="AA148" s="42" t="str">
        <f>IF(Y148&lt;&gt;"已平仓","",(SUMIFS('成交明细'!$H$5:$H$804,'成交明细'!$A$5:$A$804,A148,'成交明细'!$D$5:$D$804,"卖")-SUMIFS('成交明细'!$H$5:$H$804,'成交明细'!$A$5:$A$804,A148,'成交明细'!$D$5:$D$804,"买"))*IF(N(G148)&gt;0,G148,1)-Z148)</f>
        <v/>
      </c>
      <c r="AB148" s="43" t="str">
        <f>IF(AND(Y148="已平仓",ISNUMBER(O148)),(SUMIFS('成交明细'!$H$5:$H$804,'成交明细'!$A$5:$A$804,A148,'成交明细'!$D$5:$D$804,"卖")-SUMIFS('成交明细'!$H$5:$H$804,'成交明细'!$A$5:$A$804,A148,'成交明细'!$D$5:$D$804,"买"))*IF(N(G148)&gt;0,G148,1)/O148,"")</f>
        <v/>
      </c>
      <c r="AC148" s="43" t="str">
        <f>IF(AND(Y148="已平仓",ISNUMBER(O148)),AA148/O148,"")</f>
        <v/>
      </c>
      <c r="AD148" s="44" t="str">
        <f>IF(AND(ISNUMBER(V148),ISNUMBER(I148)),IF(F148="空",I148-V148,V148-I148),"")</f>
        <v/>
      </c>
      <c r="AE148" s="44" t="str">
        <f>IF(OR(NOT(ISNUMBER(AA148)),NOT(ISNUMBER(X148))),"",IF(AA148&lt;0,IF(F148="空",X148-J148,J148-X148),IF(NOT(ISNUMBER(K148)),"",IF(F148="空",X148-K148,K148-X148))))</f>
        <v/>
      </c>
      <c r="AF148" s="32" t="n"/>
      <c r="AG148" s="32" t="n"/>
      <c r="AH148" s="31" t="n"/>
      <c r="AI148" s="43" t="str">
        <f>IF(A148="","",SUM(AC$5:AC148))</f>
        <v/>
      </c>
      <c r="AJ148" s="45" t="str">
        <f>IF(A148="","",MAX(0,MAX(AI$5:AI148))-AI148)</f>
        <v/>
      </c>
    </row>
    <row r="149">
      <c r="A149" s="29" t="n"/>
      <c r="B149" s="30" t="n"/>
      <c r="C149" s="31" t="n"/>
      <c r="D149" s="32" t="n"/>
      <c r="E149" s="32" t="n"/>
      <c r="F149" s="32" t="n"/>
      <c r="G149" s="32" t="n"/>
      <c r="H149" s="32" t="n"/>
      <c r="I149" s="33" t="n"/>
      <c r="J149" s="33" t="n"/>
      <c r="K149" s="33" t="n"/>
      <c r="L149" s="34" t="str">
        <f>IF(AND(ISNUMBER(I149),ISNUMBER(J149),ISNUMBER(K149)),IF(OR(AND(F149="多",I149&gt;J149),AND(F149="空",I149&lt;J149)),ABS(K149-I149)/ABS(I149-J149),"止损方向不对"),"")</f>
        <v/>
      </c>
      <c r="M149" s="35" t="str">
        <f>IF(AND(ISNUMBER(I149),ISNUMBER(J149)),IF(I149=J149,"",IF(INT(ROUND('参数'!$C$7/(ABS(I149-J149)*IF(N(G149)&gt;0,G149,1)+2*(I149*IF(N(G149)&gt;0,G149,1)*'参数'!$C$12+'参数'!$C$13+'参数'!$C$14*IF(N(G149)&gt;0,G149,1)))/IF(N(H149)&gt;0,H149,1),6))*IF(N(H149)&gt;0,H149,1)&gt;0,INT(ROUND('参数'!$C$7/(ABS(I149-J149)*IF(N(G149)&gt;0,G149,1)+2*(I149*IF(N(G149)&gt;0,G149,1)*'参数'!$C$12+'参数'!$C$13+'参数'!$C$14*IF(N(G149)&gt;0,G149,1)))/IF(N(H149)&gt;0,H149,1),6))*IF(N(H149)&gt;0,H149,1),"预算不足，这笔不做")),"")</f>
        <v/>
      </c>
      <c r="N149" s="36" t="n"/>
      <c r="O149" s="20" t="str">
        <f>IF(AND(ISNUMBER(I149),ISNUMBER(J149),ISNUMBER(N149)),IF(AND(I149&lt;&gt;J149,N149&gt;0),ABS(I149-J149)*N149*IF(N(G149)&gt;0,G149,1),""),"")</f>
        <v/>
      </c>
      <c r="P149" s="31" t="n"/>
      <c r="Q149" s="32" t="n"/>
      <c r="R149" s="37" t="str">
        <f>IF(N(U149)&gt;0,SUMPRODUCT(LARGE(('成交明细'!$A$5:$A$804=A149)*('成交明细'!$D$5:$D$804=IF(F149="空","卖","买"))*'成交明细'!$B$5:$B$804,COUNTIFS('成交明细'!$A$5:$A$804,A149,'成交明细'!$D$5:$D$804,IF(F149="空","卖","买")))),"")</f>
        <v/>
      </c>
      <c r="S149" s="37" t="str">
        <f>IF(AND(N(U149)&gt;0,N(W149)&gt;=N(U149)),SUMPRODUCT(MAX(('成交明细'!$A$5:$A$804=A149)*('成交明细'!$D$5:$D$804=IF(F149="空","买","卖"))*'成交明细'!$B$5:$B$804)),"")</f>
        <v/>
      </c>
      <c r="T149" s="38" t="str">
        <f>IF(N(U149)=0,"",IF(SUMPRODUCT(('成交明细'!$A$5:$A$804=A149)*('成交明细'!$D$5:$D$804=IF(F149="空","卖","买"))*ISNUMBER('成交明细'!$C$5:$C$804))=0,"没填时间",IFERROR(VLOOKUP(MOD(SUMPRODUCT(LARGE(('成交明细'!$A$5:$A$804=A149)*('成交明细'!$D$5:$D$804=IF(F149="空","卖","买"))*('成交明细'!$B$5:$B$804+'成交明细'!$C$5:$C$804),COUNTIFS('成交明细'!$A$5:$A$804,A149,'成交明细'!$D$5:$D$804,IF(F149="空","卖","买")))),1),'参数'!$B$39:$C$48,2,TRUE),"")))</f>
        <v/>
      </c>
      <c r="U149" s="35" t="str">
        <f>IF(A149="","",SUMIFS('成交明细'!$F$5:$F$804,'成交明细'!$A$5:$A$804,A149,'成交明细'!$D$5:$D$804,IF(F149="空","卖","买")))</f>
        <v/>
      </c>
      <c r="V149" s="39" t="str">
        <f>IF(N(U149)&gt;0,SUMIFS('成交明细'!$H$5:$H$804,'成交明细'!$A$5:$A$804,A149,'成交明细'!$D$5:$D$804,IF(F149="空","卖","买"))/U149,"")</f>
        <v/>
      </c>
      <c r="W149" s="35" t="str">
        <f>IF(A149="","",SUMIFS('成交明细'!$F$5:$F$804,'成交明细'!$A$5:$A$804,A149,'成交明细'!$D$5:$D$804,IF(F149="空","买","卖")))</f>
        <v/>
      </c>
      <c r="X149" s="39" t="str">
        <f>IF(N(W149)&gt;0,SUMIFS('成交明细'!$H$5:$H$804,'成交明细'!$A$5:$A$804,A149,'成交明细'!$D$5:$D$804,IF(F149="空","买","卖"))/W149,"")</f>
        <v/>
      </c>
      <c r="Y149" s="40" t="str">
        <f>IF(A149="","",IF(Q149&lt;&gt;"已执行",IF(Q149="","未填执行情况",Q149),IF(N(U149)=0,"待录成交",IF(N(W149)&gt;N(U149),"平仓多于开仓",IF(N(W149)&lt;N(U149),"持仓中","已平仓")))))</f>
        <v/>
      </c>
      <c r="Z149" s="41" t="str">
        <f>IF(N(U149)=0,"",SUMIFS('成交明细'!$L$5:$L$804,'成交明细'!$A$5:$A$804,A149))</f>
        <v/>
      </c>
      <c r="AA149" s="42" t="str">
        <f>IF(Y149&lt;&gt;"已平仓","",(SUMIFS('成交明细'!$H$5:$H$804,'成交明细'!$A$5:$A$804,A149,'成交明细'!$D$5:$D$804,"卖")-SUMIFS('成交明细'!$H$5:$H$804,'成交明细'!$A$5:$A$804,A149,'成交明细'!$D$5:$D$804,"买"))*IF(N(G149)&gt;0,G149,1)-Z149)</f>
        <v/>
      </c>
      <c r="AB149" s="43" t="str">
        <f>IF(AND(Y149="已平仓",ISNUMBER(O149)),(SUMIFS('成交明细'!$H$5:$H$804,'成交明细'!$A$5:$A$804,A149,'成交明细'!$D$5:$D$804,"卖")-SUMIFS('成交明细'!$H$5:$H$804,'成交明细'!$A$5:$A$804,A149,'成交明细'!$D$5:$D$804,"买"))*IF(N(G149)&gt;0,G149,1)/O149,"")</f>
        <v/>
      </c>
      <c r="AC149" s="43" t="str">
        <f>IF(AND(Y149="已平仓",ISNUMBER(O149)),AA149/O149,"")</f>
        <v/>
      </c>
      <c r="AD149" s="44" t="str">
        <f>IF(AND(ISNUMBER(V149),ISNUMBER(I149)),IF(F149="空",I149-V149,V149-I149),"")</f>
        <v/>
      </c>
      <c r="AE149" s="44" t="str">
        <f>IF(OR(NOT(ISNUMBER(AA149)),NOT(ISNUMBER(X149))),"",IF(AA149&lt;0,IF(F149="空",X149-J149,J149-X149),IF(NOT(ISNUMBER(K149)),"",IF(F149="空",X149-K149,K149-X149))))</f>
        <v/>
      </c>
      <c r="AF149" s="32" t="n"/>
      <c r="AG149" s="32" t="n"/>
      <c r="AH149" s="31" t="n"/>
      <c r="AI149" s="43" t="str">
        <f>IF(A149="","",SUM(AC$5:AC149))</f>
        <v/>
      </c>
      <c r="AJ149" s="45" t="str">
        <f>IF(A149="","",MAX(0,MAX(AI$5:AI149))-AI149)</f>
        <v/>
      </c>
    </row>
    <row r="150">
      <c r="A150" s="29" t="n"/>
      <c r="B150" s="30" t="n"/>
      <c r="C150" s="31" t="n"/>
      <c r="D150" s="32" t="n"/>
      <c r="E150" s="32" t="n"/>
      <c r="F150" s="32" t="n"/>
      <c r="G150" s="32" t="n"/>
      <c r="H150" s="32" t="n"/>
      <c r="I150" s="33" t="n"/>
      <c r="J150" s="33" t="n"/>
      <c r="K150" s="33" t="n"/>
      <c r="L150" s="34" t="str">
        <f>IF(AND(ISNUMBER(I150),ISNUMBER(J150),ISNUMBER(K150)),IF(OR(AND(F150="多",I150&gt;J150),AND(F150="空",I150&lt;J150)),ABS(K150-I150)/ABS(I150-J150),"止损方向不对"),"")</f>
        <v/>
      </c>
      <c r="M150" s="35" t="str">
        <f>IF(AND(ISNUMBER(I150),ISNUMBER(J150)),IF(I150=J150,"",IF(INT(ROUND('参数'!$C$7/(ABS(I150-J150)*IF(N(G150)&gt;0,G150,1)+2*(I150*IF(N(G150)&gt;0,G150,1)*'参数'!$C$12+'参数'!$C$13+'参数'!$C$14*IF(N(G150)&gt;0,G150,1)))/IF(N(H150)&gt;0,H150,1),6))*IF(N(H150)&gt;0,H150,1)&gt;0,INT(ROUND('参数'!$C$7/(ABS(I150-J150)*IF(N(G150)&gt;0,G150,1)+2*(I150*IF(N(G150)&gt;0,G150,1)*'参数'!$C$12+'参数'!$C$13+'参数'!$C$14*IF(N(G150)&gt;0,G150,1)))/IF(N(H150)&gt;0,H150,1),6))*IF(N(H150)&gt;0,H150,1),"预算不足，这笔不做")),"")</f>
        <v/>
      </c>
      <c r="N150" s="36" t="n"/>
      <c r="O150" s="20" t="str">
        <f>IF(AND(ISNUMBER(I150),ISNUMBER(J150),ISNUMBER(N150)),IF(AND(I150&lt;&gt;J150,N150&gt;0),ABS(I150-J150)*N150*IF(N(G150)&gt;0,G150,1),""),"")</f>
        <v/>
      </c>
      <c r="P150" s="31" t="n"/>
      <c r="Q150" s="32" t="n"/>
      <c r="R150" s="37" t="str">
        <f>IF(N(U150)&gt;0,SUMPRODUCT(LARGE(('成交明细'!$A$5:$A$804=A150)*('成交明细'!$D$5:$D$804=IF(F150="空","卖","买"))*'成交明细'!$B$5:$B$804,COUNTIFS('成交明细'!$A$5:$A$804,A150,'成交明细'!$D$5:$D$804,IF(F150="空","卖","买")))),"")</f>
        <v/>
      </c>
      <c r="S150" s="37" t="str">
        <f>IF(AND(N(U150)&gt;0,N(W150)&gt;=N(U150)),SUMPRODUCT(MAX(('成交明细'!$A$5:$A$804=A150)*('成交明细'!$D$5:$D$804=IF(F150="空","买","卖"))*'成交明细'!$B$5:$B$804)),"")</f>
        <v/>
      </c>
      <c r="T150" s="38" t="str">
        <f>IF(N(U150)=0,"",IF(SUMPRODUCT(('成交明细'!$A$5:$A$804=A150)*('成交明细'!$D$5:$D$804=IF(F150="空","卖","买"))*ISNUMBER('成交明细'!$C$5:$C$804))=0,"没填时间",IFERROR(VLOOKUP(MOD(SUMPRODUCT(LARGE(('成交明细'!$A$5:$A$804=A150)*('成交明细'!$D$5:$D$804=IF(F150="空","卖","买"))*('成交明细'!$B$5:$B$804+'成交明细'!$C$5:$C$804),COUNTIFS('成交明细'!$A$5:$A$804,A150,'成交明细'!$D$5:$D$804,IF(F150="空","卖","买")))),1),'参数'!$B$39:$C$48,2,TRUE),"")))</f>
        <v/>
      </c>
      <c r="U150" s="35" t="str">
        <f>IF(A150="","",SUMIFS('成交明细'!$F$5:$F$804,'成交明细'!$A$5:$A$804,A150,'成交明细'!$D$5:$D$804,IF(F150="空","卖","买")))</f>
        <v/>
      </c>
      <c r="V150" s="39" t="str">
        <f>IF(N(U150)&gt;0,SUMIFS('成交明细'!$H$5:$H$804,'成交明细'!$A$5:$A$804,A150,'成交明细'!$D$5:$D$804,IF(F150="空","卖","买"))/U150,"")</f>
        <v/>
      </c>
      <c r="W150" s="35" t="str">
        <f>IF(A150="","",SUMIFS('成交明细'!$F$5:$F$804,'成交明细'!$A$5:$A$804,A150,'成交明细'!$D$5:$D$804,IF(F150="空","买","卖")))</f>
        <v/>
      </c>
      <c r="X150" s="39" t="str">
        <f>IF(N(W150)&gt;0,SUMIFS('成交明细'!$H$5:$H$804,'成交明细'!$A$5:$A$804,A150,'成交明细'!$D$5:$D$804,IF(F150="空","买","卖"))/W150,"")</f>
        <v/>
      </c>
      <c r="Y150" s="40" t="str">
        <f>IF(A150="","",IF(Q150&lt;&gt;"已执行",IF(Q150="","未填执行情况",Q150),IF(N(U150)=0,"待录成交",IF(N(W150)&gt;N(U150),"平仓多于开仓",IF(N(W150)&lt;N(U150),"持仓中","已平仓")))))</f>
        <v/>
      </c>
      <c r="Z150" s="41" t="str">
        <f>IF(N(U150)=0,"",SUMIFS('成交明细'!$L$5:$L$804,'成交明细'!$A$5:$A$804,A150))</f>
        <v/>
      </c>
      <c r="AA150" s="42" t="str">
        <f>IF(Y150&lt;&gt;"已平仓","",(SUMIFS('成交明细'!$H$5:$H$804,'成交明细'!$A$5:$A$804,A150,'成交明细'!$D$5:$D$804,"卖")-SUMIFS('成交明细'!$H$5:$H$804,'成交明细'!$A$5:$A$804,A150,'成交明细'!$D$5:$D$804,"买"))*IF(N(G150)&gt;0,G150,1)-Z150)</f>
        <v/>
      </c>
      <c r="AB150" s="43" t="str">
        <f>IF(AND(Y150="已平仓",ISNUMBER(O150)),(SUMIFS('成交明细'!$H$5:$H$804,'成交明细'!$A$5:$A$804,A150,'成交明细'!$D$5:$D$804,"卖")-SUMIFS('成交明细'!$H$5:$H$804,'成交明细'!$A$5:$A$804,A150,'成交明细'!$D$5:$D$804,"买"))*IF(N(G150)&gt;0,G150,1)/O150,"")</f>
        <v/>
      </c>
      <c r="AC150" s="43" t="str">
        <f>IF(AND(Y150="已平仓",ISNUMBER(O150)),AA150/O150,"")</f>
        <v/>
      </c>
      <c r="AD150" s="44" t="str">
        <f>IF(AND(ISNUMBER(V150),ISNUMBER(I150)),IF(F150="空",I150-V150,V150-I150),"")</f>
        <v/>
      </c>
      <c r="AE150" s="44" t="str">
        <f>IF(OR(NOT(ISNUMBER(AA150)),NOT(ISNUMBER(X150))),"",IF(AA150&lt;0,IF(F150="空",X150-J150,J150-X150),IF(NOT(ISNUMBER(K150)),"",IF(F150="空",X150-K150,K150-X150))))</f>
        <v/>
      </c>
      <c r="AF150" s="32" t="n"/>
      <c r="AG150" s="32" t="n"/>
      <c r="AH150" s="31" t="n"/>
      <c r="AI150" s="43" t="str">
        <f>IF(A150="","",SUM(AC$5:AC150))</f>
        <v/>
      </c>
      <c r="AJ150" s="45" t="str">
        <f>IF(A150="","",MAX(0,MAX(AI$5:AI150))-AI150)</f>
        <v/>
      </c>
    </row>
    <row r="151">
      <c r="A151" s="29" t="n"/>
      <c r="B151" s="30" t="n"/>
      <c r="C151" s="31" t="n"/>
      <c r="D151" s="32" t="n"/>
      <c r="E151" s="32" t="n"/>
      <c r="F151" s="32" t="n"/>
      <c r="G151" s="32" t="n"/>
      <c r="H151" s="32" t="n"/>
      <c r="I151" s="33" t="n"/>
      <c r="J151" s="33" t="n"/>
      <c r="K151" s="33" t="n"/>
      <c r="L151" s="34" t="str">
        <f>IF(AND(ISNUMBER(I151),ISNUMBER(J151),ISNUMBER(K151)),IF(OR(AND(F151="多",I151&gt;J151),AND(F151="空",I151&lt;J151)),ABS(K151-I151)/ABS(I151-J151),"止损方向不对"),"")</f>
        <v/>
      </c>
      <c r="M151" s="35" t="str">
        <f>IF(AND(ISNUMBER(I151),ISNUMBER(J151)),IF(I151=J151,"",IF(INT(ROUND('参数'!$C$7/(ABS(I151-J151)*IF(N(G151)&gt;0,G151,1)+2*(I151*IF(N(G151)&gt;0,G151,1)*'参数'!$C$12+'参数'!$C$13+'参数'!$C$14*IF(N(G151)&gt;0,G151,1)))/IF(N(H151)&gt;0,H151,1),6))*IF(N(H151)&gt;0,H151,1)&gt;0,INT(ROUND('参数'!$C$7/(ABS(I151-J151)*IF(N(G151)&gt;0,G151,1)+2*(I151*IF(N(G151)&gt;0,G151,1)*'参数'!$C$12+'参数'!$C$13+'参数'!$C$14*IF(N(G151)&gt;0,G151,1)))/IF(N(H151)&gt;0,H151,1),6))*IF(N(H151)&gt;0,H151,1),"预算不足，这笔不做")),"")</f>
        <v/>
      </c>
      <c r="N151" s="36" t="n"/>
      <c r="O151" s="20" t="str">
        <f>IF(AND(ISNUMBER(I151),ISNUMBER(J151),ISNUMBER(N151)),IF(AND(I151&lt;&gt;J151,N151&gt;0),ABS(I151-J151)*N151*IF(N(G151)&gt;0,G151,1),""),"")</f>
        <v/>
      </c>
      <c r="P151" s="31" t="n"/>
      <c r="Q151" s="32" t="n"/>
      <c r="R151" s="37" t="str">
        <f>IF(N(U151)&gt;0,SUMPRODUCT(LARGE(('成交明细'!$A$5:$A$804=A151)*('成交明细'!$D$5:$D$804=IF(F151="空","卖","买"))*'成交明细'!$B$5:$B$804,COUNTIFS('成交明细'!$A$5:$A$804,A151,'成交明细'!$D$5:$D$804,IF(F151="空","卖","买")))),"")</f>
        <v/>
      </c>
      <c r="S151" s="37" t="str">
        <f>IF(AND(N(U151)&gt;0,N(W151)&gt;=N(U151)),SUMPRODUCT(MAX(('成交明细'!$A$5:$A$804=A151)*('成交明细'!$D$5:$D$804=IF(F151="空","买","卖"))*'成交明细'!$B$5:$B$804)),"")</f>
        <v/>
      </c>
      <c r="T151" s="38" t="str">
        <f>IF(N(U151)=0,"",IF(SUMPRODUCT(('成交明细'!$A$5:$A$804=A151)*('成交明细'!$D$5:$D$804=IF(F151="空","卖","买"))*ISNUMBER('成交明细'!$C$5:$C$804))=0,"没填时间",IFERROR(VLOOKUP(MOD(SUMPRODUCT(LARGE(('成交明细'!$A$5:$A$804=A151)*('成交明细'!$D$5:$D$804=IF(F151="空","卖","买"))*('成交明细'!$B$5:$B$804+'成交明细'!$C$5:$C$804),COUNTIFS('成交明细'!$A$5:$A$804,A151,'成交明细'!$D$5:$D$804,IF(F151="空","卖","买")))),1),'参数'!$B$39:$C$48,2,TRUE),"")))</f>
        <v/>
      </c>
      <c r="U151" s="35" t="str">
        <f>IF(A151="","",SUMIFS('成交明细'!$F$5:$F$804,'成交明细'!$A$5:$A$804,A151,'成交明细'!$D$5:$D$804,IF(F151="空","卖","买")))</f>
        <v/>
      </c>
      <c r="V151" s="39" t="str">
        <f>IF(N(U151)&gt;0,SUMIFS('成交明细'!$H$5:$H$804,'成交明细'!$A$5:$A$804,A151,'成交明细'!$D$5:$D$804,IF(F151="空","卖","买"))/U151,"")</f>
        <v/>
      </c>
      <c r="W151" s="35" t="str">
        <f>IF(A151="","",SUMIFS('成交明细'!$F$5:$F$804,'成交明细'!$A$5:$A$804,A151,'成交明细'!$D$5:$D$804,IF(F151="空","买","卖")))</f>
        <v/>
      </c>
      <c r="X151" s="39" t="str">
        <f>IF(N(W151)&gt;0,SUMIFS('成交明细'!$H$5:$H$804,'成交明细'!$A$5:$A$804,A151,'成交明细'!$D$5:$D$804,IF(F151="空","买","卖"))/W151,"")</f>
        <v/>
      </c>
      <c r="Y151" s="40" t="str">
        <f>IF(A151="","",IF(Q151&lt;&gt;"已执行",IF(Q151="","未填执行情况",Q151),IF(N(U151)=0,"待录成交",IF(N(W151)&gt;N(U151),"平仓多于开仓",IF(N(W151)&lt;N(U151),"持仓中","已平仓")))))</f>
        <v/>
      </c>
      <c r="Z151" s="41" t="str">
        <f>IF(N(U151)=0,"",SUMIFS('成交明细'!$L$5:$L$804,'成交明细'!$A$5:$A$804,A151))</f>
        <v/>
      </c>
      <c r="AA151" s="42" t="str">
        <f>IF(Y151&lt;&gt;"已平仓","",(SUMIFS('成交明细'!$H$5:$H$804,'成交明细'!$A$5:$A$804,A151,'成交明细'!$D$5:$D$804,"卖")-SUMIFS('成交明细'!$H$5:$H$804,'成交明细'!$A$5:$A$804,A151,'成交明细'!$D$5:$D$804,"买"))*IF(N(G151)&gt;0,G151,1)-Z151)</f>
        <v/>
      </c>
      <c r="AB151" s="43" t="str">
        <f>IF(AND(Y151="已平仓",ISNUMBER(O151)),(SUMIFS('成交明细'!$H$5:$H$804,'成交明细'!$A$5:$A$804,A151,'成交明细'!$D$5:$D$804,"卖")-SUMIFS('成交明细'!$H$5:$H$804,'成交明细'!$A$5:$A$804,A151,'成交明细'!$D$5:$D$804,"买"))*IF(N(G151)&gt;0,G151,1)/O151,"")</f>
        <v/>
      </c>
      <c r="AC151" s="43" t="str">
        <f>IF(AND(Y151="已平仓",ISNUMBER(O151)),AA151/O151,"")</f>
        <v/>
      </c>
      <c r="AD151" s="44" t="str">
        <f>IF(AND(ISNUMBER(V151),ISNUMBER(I151)),IF(F151="空",I151-V151,V151-I151),"")</f>
        <v/>
      </c>
      <c r="AE151" s="44" t="str">
        <f>IF(OR(NOT(ISNUMBER(AA151)),NOT(ISNUMBER(X151))),"",IF(AA151&lt;0,IF(F151="空",X151-J151,J151-X151),IF(NOT(ISNUMBER(K151)),"",IF(F151="空",X151-K151,K151-X151))))</f>
        <v/>
      </c>
      <c r="AF151" s="32" t="n"/>
      <c r="AG151" s="32" t="n"/>
      <c r="AH151" s="31" t="n"/>
      <c r="AI151" s="43" t="str">
        <f>IF(A151="","",SUM(AC$5:AC151))</f>
        <v/>
      </c>
      <c r="AJ151" s="45" t="str">
        <f>IF(A151="","",MAX(0,MAX(AI$5:AI151))-AI151)</f>
        <v/>
      </c>
    </row>
    <row r="152">
      <c r="A152" s="29" t="n"/>
      <c r="B152" s="30" t="n"/>
      <c r="C152" s="31" t="n"/>
      <c r="D152" s="32" t="n"/>
      <c r="E152" s="32" t="n"/>
      <c r="F152" s="32" t="n"/>
      <c r="G152" s="32" t="n"/>
      <c r="H152" s="32" t="n"/>
      <c r="I152" s="33" t="n"/>
      <c r="J152" s="33" t="n"/>
      <c r="K152" s="33" t="n"/>
      <c r="L152" s="34" t="str">
        <f>IF(AND(ISNUMBER(I152),ISNUMBER(J152),ISNUMBER(K152)),IF(OR(AND(F152="多",I152&gt;J152),AND(F152="空",I152&lt;J152)),ABS(K152-I152)/ABS(I152-J152),"止损方向不对"),"")</f>
        <v/>
      </c>
      <c r="M152" s="35" t="str">
        <f>IF(AND(ISNUMBER(I152),ISNUMBER(J152)),IF(I152=J152,"",IF(INT(ROUND('参数'!$C$7/(ABS(I152-J152)*IF(N(G152)&gt;0,G152,1)+2*(I152*IF(N(G152)&gt;0,G152,1)*'参数'!$C$12+'参数'!$C$13+'参数'!$C$14*IF(N(G152)&gt;0,G152,1)))/IF(N(H152)&gt;0,H152,1),6))*IF(N(H152)&gt;0,H152,1)&gt;0,INT(ROUND('参数'!$C$7/(ABS(I152-J152)*IF(N(G152)&gt;0,G152,1)+2*(I152*IF(N(G152)&gt;0,G152,1)*'参数'!$C$12+'参数'!$C$13+'参数'!$C$14*IF(N(G152)&gt;0,G152,1)))/IF(N(H152)&gt;0,H152,1),6))*IF(N(H152)&gt;0,H152,1),"预算不足，这笔不做")),"")</f>
        <v/>
      </c>
      <c r="N152" s="36" t="n"/>
      <c r="O152" s="20" t="str">
        <f>IF(AND(ISNUMBER(I152),ISNUMBER(J152),ISNUMBER(N152)),IF(AND(I152&lt;&gt;J152,N152&gt;0),ABS(I152-J152)*N152*IF(N(G152)&gt;0,G152,1),""),"")</f>
        <v/>
      </c>
      <c r="P152" s="31" t="n"/>
      <c r="Q152" s="32" t="n"/>
      <c r="R152" s="37" t="str">
        <f>IF(N(U152)&gt;0,SUMPRODUCT(LARGE(('成交明细'!$A$5:$A$804=A152)*('成交明细'!$D$5:$D$804=IF(F152="空","卖","买"))*'成交明细'!$B$5:$B$804,COUNTIFS('成交明细'!$A$5:$A$804,A152,'成交明细'!$D$5:$D$804,IF(F152="空","卖","买")))),"")</f>
        <v/>
      </c>
      <c r="S152" s="37" t="str">
        <f>IF(AND(N(U152)&gt;0,N(W152)&gt;=N(U152)),SUMPRODUCT(MAX(('成交明细'!$A$5:$A$804=A152)*('成交明细'!$D$5:$D$804=IF(F152="空","买","卖"))*'成交明细'!$B$5:$B$804)),"")</f>
        <v/>
      </c>
      <c r="T152" s="38" t="str">
        <f>IF(N(U152)=0,"",IF(SUMPRODUCT(('成交明细'!$A$5:$A$804=A152)*('成交明细'!$D$5:$D$804=IF(F152="空","卖","买"))*ISNUMBER('成交明细'!$C$5:$C$804))=0,"没填时间",IFERROR(VLOOKUP(MOD(SUMPRODUCT(LARGE(('成交明细'!$A$5:$A$804=A152)*('成交明细'!$D$5:$D$804=IF(F152="空","卖","买"))*('成交明细'!$B$5:$B$804+'成交明细'!$C$5:$C$804),COUNTIFS('成交明细'!$A$5:$A$804,A152,'成交明细'!$D$5:$D$804,IF(F152="空","卖","买")))),1),'参数'!$B$39:$C$48,2,TRUE),"")))</f>
        <v/>
      </c>
      <c r="U152" s="35" t="str">
        <f>IF(A152="","",SUMIFS('成交明细'!$F$5:$F$804,'成交明细'!$A$5:$A$804,A152,'成交明细'!$D$5:$D$804,IF(F152="空","卖","买")))</f>
        <v/>
      </c>
      <c r="V152" s="39" t="str">
        <f>IF(N(U152)&gt;0,SUMIFS('成交明细'!$H$5:$H$804,'成交明细'!$A$5:$A$804,A152,'成交明细'!$D$5:$D$804,IF(F152="空","卖","买"))/U152,"")</f>
        <v/>
      </c>
      <c r="W152" s="35" t="str">
        <f>IF(A152="","",SUMIFS('成交明细'!$F$5:$F$804,'成交明细'!$A$5:$A$804,A152,'成交明细'!$D$5:$D$804,IF(F152="空","买","卖")))</f>
        <v/>
      </c>
      <c r="X152" s="39" t="str">
        <f>IF(N(W152)&gt;0,SUMIFS('成交明细'!$H$5:$H$804,'成交明细'!$A$5:$A$804,A152,'成交明细'!$D$5:$D$804,IF(F152="空","买","卖"))/W152,"")</f>
        <v/>
      </c>
      <c r="Y152" s="40" t="str">
        <f>IF(A152="","",IF(Q152&lt;&gt;"已执行",IF(Q152="","未填执行情况",Q152),IF(N(U152)=0,"待录成交",IF(N(W152)&gt;N(U152),"平仓多于开仓",IF(N(W152)&lt;N(U152),"持仓中","已平仓")))))</f>
        <v/>
      </c>
      <c r="Z152" s="41" t="str">
        <f>IF(N(U152)=0,"",SUMIFS('成交明细'!$L$5:$L$804,'成交明细'!$A$5:$A$804,A152))</f>
        <v/>
      </c>
      <c r="AA152" s="42" t="str">
        <f>IF(Y152&lt;&gt;"已平仓","",(SUMIFS('成交明细'!$H$5:$H$804,'成交明细'!$A$5:$A$804,A152,'成交明细'!$D$5:$D$804,"卖")-SUMIFS('成交明细'!$H$5:$H$804,'成交明细'!$A$5:$A$804,A152,'成交明细'!$D$5:$D$804,"买"))*IF(N(G152)&gt;0,G152,1)-Z152)</f>
        <v/>
      </c>
      <c r="AB152" s="43" t="str">
        <f>IF(AND(Y152="已平仓",ISNUMBER(O152)),(SUMIFS('成交明细'!$H$5:$H$804,'成交明细'!$A$5:$A$804,A152,'成交明细'!$D$5:$D$804,"卖")-SUMIFS('成交明细'!$H$5:$H$804,'成交明细'!$A$5:$A$804,A152,'成交明细'!$D$5:$D$804,"买"))*IF(N(G152)&gt;0,G152,1)/O152,"")</f>
        <v/>
      </c>
      <c r="AC152" s="43" t="str">
        <f>IF(AND(Y152="已平仓",ISNUMBER(O152)),AA152/O152,"")</f>
        <v/>
      </c>
      <c r="AD152" s="44" t="str">
        <f>IF(AND(ISNUMBER(V152),ISNUMBER(I152)),IF(F152="空",I152-V152,V152-I152),"")</f>
        <v/>
      </c>
      <c r="AE152" s="44" t="str">
        <f>IF(OR(NOT(ISNUMBER(AA152)),NOT(ISNUMBER(X152))),"",IF(AA152&lt;0,IF(F152="空",X152-J152,J152-X152),IF(NOT(ISNUMBER(K152)),"",IF(F152="空",X152-K152,K152-X152))))</f>
        <v/>
      </c>
      <c r="AF152" s="32" t="n"/>
      <c r="AG152" s="32" t="n"/>
      <c r="AH152" s="31" t="n"/>
      <c r="AI152" s="43" t="str">
        <f>IF(A152="","",SUM(AC$5:AC152))</f>
        <v/>
      </c>
      <c r="AJ152" s="45" t="str">
        <f>IF(A152="","",MAX(0,MAX(AI$5:AI152))-AI152)</f>
        <v/>
      </c>
    </row>
    <row r="153">
      <c r="A153" s="29" t="n"/>
      <c r="B153" s="30" t="n"/>
      <c r="C153" s="31" t="n"/>
      <c r="D153" s="32" t="n"/>
      <c r="E153" s="32" t="n"/>
      <c r="F153" s="32" t="n"/>
      <c r="G153" s="32" t="n"/>
      <c r="H153" s="32" t="n"/>
      <c r="I153" s="33" t="n"/>
      <c r="J153" s="33" t="n"/>
      <c r="K153" s="33" t="n"/>
      <c r="L153" s="34" t="str">
        <f>IF(AND(ISNUMBER(I153),ISNUMBER(J153),ISNUMBER(K153)),IF(OR(AND(F153="多",I153&gt;J153),AND(F153="空",I153&lt;J153)),ABS(K153-I153)/ABS(I153-J153),"止损方向不对"),"")</f>
        <v/>
      </c>
      <c r="M153" s="35" t="str">
        <f>IF(AND(ISNUMBER(I153),ISNUMBER(J153)),IF(I153=J153,"",IF(INT(ROUND('参数'!$C$7/(ABS(I153-J153)*IF(N(G153)&gt;0,G153,1)+2*(I153*IF(N(G153)&gt;0,G153,1)*'参数'!$C$12+'参数'!$C$13+'参数'!$C$14*IF(N(G153)&gt;0,G153,1)))/IF(N(H153)&gt;0,H153,1),6))*IF(N(H153)&gt;0,H153,1)&gt;0,INT(ROUND('参数'!$C$7/(ABS(I153-J153)*IF(N(G153)&gt;0,G153,1)+2*(I153*IF(N(G153)&gt;0,G153,1)*'参数'!$C$12+'参数'!$C$13+'参数'!$C$14*IF(N(G153)&gt;0,G153,1)))/IF(N(H153)&gt;0,H153,1),6))*IF(N(H153)&gt;0,H153,1),"预算不足，这笔不做")),"")</f>
        <v/>
      </c>
      <c r="N153" s="36" t="n"/>
      <c r="O153" s="20" t="str">
        <f>IF(AND(ISNUMBER(I153),ISNUMBER(J153),ISNUMBER(N153)),IF(AND(I153&lt;&gt;J153,N153&gt;0),ABS(I153-J153)*N153*IF(N(G153)&gt;0,G153,1),""),"")</f>
        <v/>
      </c>
      <c r="P153" s="31" t="n"/>
      <c r="Q153" s="32" t="n"/>
      <c r="R153" s="37" t="str">
        <f>IF(N(U153)&gt;0,SUMPRODUCT(LARGE(('成交明细'!$A$5:$A$804=A153)*('成交明细'!$D$5:$D$804=IF(F153="空","卖","买"))*'成交明细'!$B$5:$B$804,COUNTIFS('成交明细'!$A$5:$A$804,A153,'成交明细'!$D$5:$D$804,IF(F153="空","卖","买")))),"")</f>
        <v/>
      </c>
      <c r="S153" s="37" t="str">
        <f>IF(AND(N(U153)&gt;0,N(W153)&gt;=N(U153)),SUMPRODUCT(MAX(('成交明细'!$A$5:$A$804=A153)*('成交明细'!$D$5:$D$804=IF(F153="空","买","卖"))*'成交明细'!$B$5:$B$804)),"")</f>
        <v/>
      </c>
      <c r="T153" s="38" t="str">
        <f>IF(N(U153)=0,"",IF(SUMPRODUCT(('成交明细'!$A$5:$A$804=A153)*('成交明细'!$D$5:$D$804=IF(F153="空","卖","买"))*ISNUMBER('成交明细'!$C$5:$C$804))=0,"没填时间",IFERROR(VLOOKUP(MOD(SUMPRODUCT(LARGE(('成交明细'!$A$5:$A$804=A153)*('成交明细'!$D$5:$D$804=IF(F153="空","卖","买"))*('成交明细'!$B$5:$B$804+'成交明细'!$C$5:$C$804),COUNTIFS('成交明细'!$A$5:$A$804,A153,'成交明细'!$D$5:$D$804,IF(F153="空","卖","买")))),1),'参数'!$B$39:$C$48,2,TRUE),"")))</f>
        <v/>
      </c>
      <c r="U153" s="35" t="str">
        <f>IF(A153="","",SUMIFS('成交明细'!$F$5:$F$804,'成交明细'!$A$5:$A$804,A153,'成交明细'!$D$5:$D$804,IF(F153="空","卖","买")))</f>
        <v/>
      </c>
      <c r="V153" s="39" t="str">
        <f>IF(N(U153)&gt;0,SUMIFS('成交明细'!$H$5:$H$804,'成交明细'!$A$5:$A$804,A153,'成交明细'!$D$5:$D$804,IF(F153="空","卖","买"))/U153,"")</f>
        <v/>
      </c>
      <c r="W153" s="35" t="str">
        <f>IF(A153="","",SUMIFS('成交明细'!$F$5:$F$804,'成交明细'!$A$5:$A$804,A153,'成交明细'!$D$5:$D$804,IF(F153="空","买","卖")))</f>
        <v/>
      </c>
      <c r="X153" s="39" t="str">
        <f>IF(N(W153)&gt;0,SUMIFS('成交明细'!$H$5:$H$804,'成交明细'!$A$5:$A$804,A153,'成交明细'!$D$5:$D$804,IF(F153="空","买","卖"))/W153,"")</f>
        <v/>
      </c>
      <c r="Y153" s="40" t="str">
        <f>IF(A153="","",IF(Q153&lt;&gt;"已执行",IF(Q153="","未填执行情况",Q153),IF(N(U153)=0,"待录成交",IF(N(W153)&gt;N(U153),"平仓多于开仓",IF(N(W153)&lt;N(U153),"持仓中","已平仓")))))</f>
        <v/>
      </c>
      <c r="Z153" s="41" t="str">
        <f>IF(N(U153)=0,"",SUMIFS('成交明细'!$L$5:$L$804,'成交明细'!$A$5:$A$804,A153))</f>
        <v/>
      </c>
      <c r="AA153" s="42" t="str">
        <f>IF(Y153&lt;&gt;"已平仓","",(SUMIFS('成交明细'!$H$5:$H$804,'成交明细'!$A$5:$A$804,A153,'成交明细'!$D$5:$D$804,"卖")-SUMIFS('成交明细'!$H$5:$H$804,'成交明细'!$A$5:$A$804,A153,'成交明细'!$D$5:$D$804,"买"))*IF(N(G153)&gt;0,G153,1)-Z153)</f>
        <v/>
      </c>
      <c r="AB153" s="43" t="str">
        <f>IF(AND(Y153="已平仓",ISNUMBER(O153)),(SUMIFS('成交明细'!$H$5:$H$804,'成交明细'!$A$5:$A$804,A153,'成交明细'!$D$5:$D$804,"卖")-SUMIFS('成交明细'!$H$5:$H$804,'成交明细'!$A$5:$A$804,A153,'成交明细'!$D$5:$D$804,"买"))*IF(N(G153)&gt;0,G153,1)/O153,"")</f>
        <v/>
      </c>
      <c r="AC153" s="43" t="str">
        <f>IF(AND(Y153="已平仓",ISNUMBER(O153)),AA153/O153,"")</f>
        <v/>
      </c>
      <c r="AD153" s="44" t="str">
        <f>IF(AND(ISNUMBER(V153),ISNUMBER(I153)),IF(F153="空",I153-V153,V153-I153),"")</f>
        <v/>
      </c>
      <c r="AE153" s="44" t="str">
        <f>IF(OR(NOT(ISNUMBER(AA153)),NOT(ISNUMBER(X153))),"",IF(AA153&lt;0,IF(F153="空",X153-J153,J153-X153),IF(NOT(ISNUMBER(K153)),"",IF(F153="空",X153-K153,K153-X153))))</f>
        <v/>
      </c>
      <c r="AF153" s="32" t="n"/>
      <c r="AG153" s="32" t="n"/>
      <c r="AH153" s="31" t="n"/>
      <c r="AI153" s="43" t="str">
        <f>IF(A153="","",SUM(AC$5:AC153))</f>
        <v/>
      </c>
      <c r="AJ153" s="45" t="str">
        <f>IF(A153="","",MAX(0,MAX(AI$5:AI153))-AI153)</f>
        <v/>
      </c>
    </row>
    <row r="154">
      <c r="A154" s="29" t="n"/>
      <c r="B154" s="30" t="n"/>
      <c r="C154" s="31" t="n"/>
      <c r="D154" s="32" t="n"/>
      <c r="E154" s="32" t="n"/>
      <c r="F154" s="32" t="n"/>
      <c r="G154" s="32" t="n"/>
      <c r="H154" s="32" t="n"/>
      <c r="I154" s="33" t="n"/>
      <c r="J154" s="33" t="n"/>
      <c r="K154" s="33" t="n"/>
      <c r="L154" s="34" t="str">
        <f>IF(AND(ISNUMBER(I154),ISNUMBER(J154),ISNUMBER(K154)),IF(OR(AND(F154="多",I154&gt;J154),AND(F154="空",I154&lt;J154)),ABS(K154-I154)/ABS(I154-J154),"止损方向不对"),"")</f>
        <v/>
      </c>
      <c r="M154" s="35" t="str">
        <f>IF(AND(ISNUMBER(I154),ISNUMBER(J154)),IF(I154=J154,"",IF(INT(ROUND('参数'!$C$7/(ABS(I154-J154)*IF(N(G154)&gt;0,G154,1)+2*(I154*IF(N(G154)&gt;0,G154,1)*'参数'!$C$12+'参数'!$C$13+'参数'!$C$14*IF(N(G154)&gt;0,G154,1)))/IF(N(H154)&gt;0,H154,1),6))*IF(N(H154)&gt;0,H154,1)&gt;0,INT(ROUND('参数'!$C$7/(ABS(I154-J154)*IF(N(G154)&gt;0,G154,1)+2*(I154*IF(N(G154)&gt;0,G154,1)*'参数'!$C$12+'参数'!$C$13+'参数'!$C$14*IF(N(G154)&gt;0,G154,1)))/IF(N(H154)&gt;0,H154,1),6))*IF(N(H154)&gt;0,H154,1),"预算不足，这笔不做")),"")</f>
        <v/>
      </c>
      <c r="N154" s="36" t="n"/>
      <c r="O154" s="20" t="str">
        <f>IF(AND(ISNUMBER(I154),ISNUMBER(J154),ISNUMBER(N154)),IF(AND(I154&lt;&gt;J154,N154&gt;0),ABS(I154-J154)*N154*IF(N(G154)&gt;0,G154,1),""),"")</f>
        <v/>
      </c>
      <c r="P154" s="31" t="n"/>
      <c r="Q154" s="32" t="n"/>
      <c r="R154" s="37" t="str">
        <f>IF(N(U154)&gt;0,SUMPRODUCT(LARGE(('成交明细'!$A$5:$A$804=A154)*('成交明细'!$D$5:$D$804=IF(F154="空","卖","买"))*'成交明细'!$B$5:$B$804,COUNTIFS('成交明细'!$A$5:$A$804,A154,'成交明细'!$D$5:$D$804,IF(F154="空","卖","买")))),"")</f>
        <v/>
      </c>
      <c r="S154" s="37" t="str">
        <f>IF(AND(N(U154)&gt;0,N(W154)&gt;=N(U154)),SUMPRODUCT(MAX(('成交明细'!$A$5:$A$804=A154)*('成交明细'!$D$5:$D$804=IF(F154="空","买","卖"))*'成交明细'!$B$5:$B$804)),"")</f>
        <v/>
      </c>
      <c r="T154" s="38" t="str">
        <f>IF(N(U154)=0,"",IF(SUMPRODUCT(('成交明细'!$A$5:$A$804=A154)*('成交明细'!$D$5:$D$804=IF(F154="空","卖","买"))*ISNUMBER('成交明细'!$C$5:$C$804))=0,"没填时间",IFERROR(VLOOKUP(MOD(SUMPRODUCT(LARGE(('成交明细'!$A$5:$A$804=A154)*('成交明细'!$D$5:$D$804=IF(F154="空","卖","买"))*('成交明细'!$B$5:$B$804+'成交明细'!$C$5:$C$804),COUNTIFS('成交明细'!$A$5:$A$804,A154,'成交明细'!$D$5:$D$804,IF(F154="空","卖","买")))),1),'参数'!$B$39:$C$48,2,TRUE),"")))</f>
        <v/>
      </c>
      <c r="U154" s="35" t="str">
        <f>IF(A154="","",SUMIFS('成交明细'!$F$5:$F$804,'成交明细'!$A$5:$A$804,A154,'成交明细'!$D$5:$D$804,IF(F154="空","卖","买")))</f>
        <v/>
      </c>
      <c r="V154" s="39" t="str">
        <f>IF(N(U154)&gt;0,SUMIFS('成交明细'!$H$5:$H$804,'成交明细'!$A$5:$A$804,A154,'成交明细'!$D$5:$D$804,IF(F154="空","卖","买"))/U154,"")</f>
        <v/>
      </c>
      <c r="W154" s="35" t="str">
        <f>IF(A154="","",SUMIFS('成交明细'!$F$5:$F$804,'成交明细'!$A$5:$A$804,A154,'成交明细'!$D$5:$D$804,IF(F154="空","买","卖")))</f>
        <v/>
      </c>
      <c r="X154" s="39" t="str">
        <f>IF(N(W154)&gt;0,SUMIFS('成交明细'!$H$5:$H$804,'成交明细'!$A$5:$A$804,A154,'成交明细'!$D$5:$D$804,IF(F154="空","买","卖"))/W154,"")</f>
        <v/>
      </c>
      <c r="Y154" s="40" t="str">
        <f>IF(A154="","",IF(Q154&lt;&gt;"已执行",IF(Q154="","未填执行情况",Q154),IF(N(U154)=0,"待录成交",IF(N(W154)&gt;N(U154),"平仓多于开仓",IF(N(W154)&lt;N(U154),"持仓中","已平仓")))))</f>
        <v/>
      </c>
      <c r="Z154" s="41" t="str">
        <f>IF(N(U154)=0,"",SUMIFS('成交明细'!$L$5:$L$804,'成交明细'!$A$5:$A$804,A154))</f>
        <v/>
      </c>
      <c r="AA154" s="42" t="str">
        <f>IF(Y154&lt;&gt;"已平仓","",(SUMIFS('成交明细'!$H$5:$H$804,'成交明细'!$A$5:$A$804,A154,'成交明细'!$D$5:$D$804,"卖")-SUMIFS('成交明细'!$H$5:$H$804,'成交明细'!$A$5:$A$804,A154,'成交明细'!$D$5:$D$804,"买"))*IF(N(G154)&gt;0,G154,1)-Z154)</f>
        <v/>
      </c>
      <c r="AB154" s="43" t="str">
        <f>IF(AND(Y154="已平仓",ISNUMBER(O154)),(SUMIFS('成交明细'!$H$5:$H$804,'成交明细'!$A$5:$A$804,A154,'成交明细'!$D$5:$D$804,"卖")-SUMIFS('成交明细'!$H$5:$H$804,'成交明细'!$A$5:$A$804,A154,'成交明细'!$D$5:$D$804,"买"))*IF(N(G154)&gt;0,G154,1)/O154,"")</f>
        <v/>
      </c>
      <c r="AC154" s="43" t="str">
        <f>IF(AND(Y154="已平仓",ISNUMBER(O154)),AA154/O154,"")</f>
        <v/>
      </c>
      <c r="AD154" s="44" t="str">
        <f>IF(AND(ISNUMBER(V154),ISNUMBER(I154)),IF(F154="空",I154-V154,V154-I154),"")</f>
        <v/>
      </c>
      <c r="AE154" s="44" t="str">
        <f>IF(OR(NOT(ISNUMBER(AA154)),NOT(ISNUMBER(X154))),"",IF(AA154&lt;0,IF(F154="空",X154-J154,J154-X154),IF(NOT(ISNUMBER(K154)),"",IF(F154="空",X154-K154,K154-X154))))</f>
        <v/>
      </c>
      <c r="AF154" s="32" t="n"/>
      <c r="AG154" s="32" t="n"/>
      <c r="AH154" s="31" t="n"/>
      <c r="AI154" s="43" t="str">
        <f>IF(A154="","",SUM(AC$5:AC154))</f>
        <v/>
      </c>
      <c r="AJ154" s="45" t="str">
        <f>IF(A154="","",MAX(0,MAX(AI$5:AI154))-AI154)</f>
        <v/>
      </c>
    </row>
    <row r="155">
      <c r="A155" s="29" t="n"/>
      <c r="B155" s="30" t="n"/>
      <c r="C155" s="31" t="n"/>
      <c r="D155" s="32" t="n"/>
      <c r="E155" s="32" t="n"/>
      <c r="F155" s="32" t="n"/>
      <c r="G155" s="32" t="n"/>
      <c r="H155" s="32" t="n"/>
      <c r="I155" s="33" t="n"/>
      <c r="J155" s="33" t="n"/>
      <c r="K155" s="33" t="n"/>
      <c r="L155" s="34" t="str">
        <f>IF(AND(ISNUMBER(I155),ISNUMBER(J155),ISNUMBER(K155)),IF(OR(AND(F155="多",I155&gt;J155),AND(F155="空",I155&lt;J155)),ABS(K155-I155)/ABS(I155-J155),"止损方向不对"),"")</f>
        <v/>
      </c>
      <c r="M155" s="35" t="str">
        <f>IF(AND(ISNUMBER(I155),ISNUMBER(J155)),IF(I155=J155,"",IF(INT(ROUND('参数'!$C$7/(ABS(I155-J155)*IF(N(G155)&gt;0,G155,1)+2*(I155*IF(N(G155)&gt;0,G155,1)*'参数'!$C$12+'参数'!$C$13+'参数'!$C$14*IF(N(G155)&gt;0,G155,1)))/IF(N(H155)&gt;0,H155,1),6))*IF(N(H155)&gt;0,H155,1)&gt;0,INT(ROUND('参数'!$C$7/(ABS(I155-J155)*IF(N(G155)&gt;0,G155,1)+2*(I155*IF(N(G155)&gt;0,G155,1)*'参数'!$C$12+'参数'!$C$13+'参数'!$C$14*IF(N(G155)&gt;0,G155,1)))/IF(N(H155)&gt;0,H155,1),6))*IF(N(H155)&gt;0,H155,1),"预算不足，这笔不做")),"")</f>
        <v/>
      </c>
      <c r="N155" s="36" t="n"/>
      <c r="O155" s="20" t="str">
        <f>IF(AND(ISNUMBER(I155),ISNUMBER(J155),ISNUMBER(N155)),IF(AND(I155&lt;&gt;J155,N155&gt;0),ABS(I155-J155)*N155*IF(N(G155)&gt;0,G155,1),""),"")</f>
        <v/>
      </c>
      <c r="P155" s="31" t="n"/>
      <c r="Q155" s="32" t="n"/>
      <c r="R155" s="37" t="str">
        <f>IF(N(U155)&gt;0,SUMPRODUCT(LARGE(('成交明细'!$A$5:$A$804=A155)*('成交明细'!$D$5:$D$804=IF(F155="空","卖","买"))*'成交明细'!$B$5:$B$804,COUNTIFS('成交明细'!$A$5:$A$804,A155,'成交明细'!$D$5:$D$804,IF(F155="空","卖","买")))),"")</f>
        <v/>
      </c>
      <c r="S155" s="37" t="str">
        <f>IF(AND(N(U155)&gt;0,N(W155)&gt;=N(U155)),SUMPRODUCT(MAX(('成交明细'!$A$5:$A$804=A155)*('成交明细'!$D$5:$D$804=IF(F155="空","买","卖"))*'成交明细'!$B$5:$B$804)),"")</f>
        <v/>
      </c>
      <c r="T155" s="38" t="str">
        <f>IF(N(U155)=0,"",IF(SUMPRODUCT(('成交明细'!$A$5:$A$804=A155)*('成交明细'!$D$5:$D$804=IF(F155="空","卖","买"))*ISNUMBER('成交明细'!$C$5:$C$804))=0,"没填时间",IFERROR(VLOOKUP(MOD(SUMPRODUCT(LARGE(('成交明细'!$A$5:$A$804=A155)*('成交明细'!$D$5:$D$804=IF(F155="空","卖","买"))*('成交明细'!$B$5:$B$804+'成交明细'!$C$5:$C$804),COUNTIFS('成交明细'!$A$5:$A$804,A155,'成交明细'!$D$5:$D$804,IF(F155="空","卖","买")))),1),'参数'!$B$39:$C$48,2,TRUE),"")))</f>
        <v/>
      </c>
      <c r="U155" s="35" t="str">
        <f>IF(A155="","",SUMIFS('成交明细'!$F$5:$F$804,'成交明细'!$A$5:$A$804,A155,'成交明细'!$D$5:$D$804,IF(F155="空","卖","买")))</f>
        <v/>
      </c>
      <c r="V155" s="39" t="str">
        <f>IF(N(U155)&gt;0,SUMIFS('成交明细'!$H$5:$H$804,'成交明细'!$A$5:$A$804,A155,'成交明细'!$D$5:$D$804,IF(F155="空","卖","买"))/U155,"")</f>
        <v/>
      </c>
      <c r="W155" s="35" t="str">
        <f>IF(A155="","",SUMIFS('成交明细'!$F$5:$F$804,'成交明细'!$A$5:$A$804,A155,'成交明细'!$D$5:$D$804,IF(F155="空","买","卖")))</f>
        <v/>
      </c>
      <c r="X155" s="39" t="str">
        <f>IF(N(W155)&gt;0,SUMIFS('成交明细'!$H$5:$H$804,'成交明细'!$A$5:$A$804,A155,'成交明细'!$D$5:$D$804,IF(F155="空","买","卖"))/W155,"")</f>
        <v/>
      </c>
      <c r="Y155" s="40" t="str">
        <f>IF(A155="","",IF(Q155&lt;&gt;"已执行",IF(Q155="","未填执行情况",Q155),IF(N(U155)=0,"待录成交",IF(N(W155)&gt;N(U155),"平仓多于开仓",IF(N(W155)&lt;N(U155),"持仓中","已平仓")))))</f>
        <v/>
      </c>
      <c r="Z155" s="41" t="str">
        <f>IF(N(U155)=0,"",SUMIFS('成交明细'!$L$5:$L$804,'成交明细'!$A$5:$A$804,A155))</f>
        <v/>
      </c>
      <c r="AA155" s="42" t="str">
        <f>IF(Y155&lt;&gt;"已平仓","",(SUMIFS('成交明细'!$H$5:$H$804,'成交明细'!$A$5:$A$804,A155,'成交明细'!$D$5:$D$804,"卖")-SUMIFS('成交明细'!$H$5:$H$804,'成交明细'!$A$5:$A$804,A155,'成交明细'!$D$5:$D$804,"买"))*IF(N(G155)&gt;0,G155,1)-Z155)</f>
        <v/>
      </c>
      <c r="AB155" s="43" t="str">
        <f>IF(AND(Y155="已平仓",ISNUMBER(O155)),(SUMIFS('成交明细'!$H$5:$H$804,'成交明细'!$A$5:$A$804,A155,'成交明细'!$D$5:$D$804,"卖")-SUMIFS('成交明细'!$H$5:$H$804,'成交明细'!$A$5:$A$804,A155,'成交明细'!$D$5:$D$804,"买"))*IF(N(G155)&gt;0,G155,1)/O155,"")</f>
        <v/>
      </c>
      <c r="AC155" s="43" t="str">
        <f>IF(AND(Y155="已平仓",ISNUMBER(O155)),AA155/O155,"")</f>
        <v/>
      </c>
      <c r="AD155" s="44" t="str">
        <f>IF(AND(ISNUMBER(V155),ISNUMBER(I155)),IF(F155="空",I155-V155,V155-I155),"")</f>
        <v/>
      </c>
      <c r="AE155" s="44" t="str">
        <f>IF(OR(NOT(ISNUMBER(AA155)),NOT(ISNUMBER(X155))),"",IF(AA155&lt;0,IF(F155="空",X155-J155,J155-X155),IF(NOT(ISNUMBER(K155)),"",IF(F155="空",X155-K155,K155-X155))))</f>
        <v/>
      </c>
      <c r="AF155" s="32" t="n"/>
      <c r="AG155" s="32" t="n"/>
      <c r="AH155" s="31" t="n"/>
      <c r="AI155" s="43" t="str">
        <f>IF(A155="","",SUM(AC$5:AC155))</f>
        <v/>
      </c>
      <c r="AJ155" s="45" t="str">
        <f>IF(A155="","",MAX(0,MAX(AI$5:AI155))-AI155)</f>
        <v/>
      </c>
    </row>
    <row r="156">
      <c r="A156" s="29" t="n"/>
      <c r="B156" s="30" t="n"/>
      <c r="C156" s="31" t="n"/>
      <c r="D156" s="32" t="n"/>
      <c r="E156" s="32" t="n"/>
      <c r="F156" s="32" t="n"/>
      <c r="G156" s="32" t="n"/>
      <c r="H156" s="32" t="n"/>
      <c r="I156" s="33" t="n"/>
      <c r="J156" s="33" t="n"/>
      <c r="K156" s="33" t="n"/>
      <c r="L156" s="34" t="str">
        <f>IF(AND(ISNUMBER(I156),ISNUMBER(J156),ISNUMBER(K156)),IF(OR(AND(F156="多",I156&gt;J156),AND(F156="空",I156&lt;J156)),ABS(K156-I156)/ABS(I156-J156),"止损方向不对"),"")</f>
        <v/>
      </c>
      <c r="M156" s="35" t="str">
        <f>IF(AND(ISNUMBER(I156),ISNUMBER(J156)),IF(I156=J156,"",IF(INT(ROUND('参数'!$C$7/(ABS(I156-J156)*IF(N(G156)&gt;0,G156,1)+2*(I156*IF(N(G156)&gt;0,G156,1)*'参数'!$C$12+'参数'!$C$13+'参数'!$C$14*IF(N(G156)&gt;0,G156,1)))/IF(N(H156)&gt;0,H156,1),6))*IF(N(H156)&gt;0,H156,1)&gt;0,INT(ROUND('参数'!$C$7/(ABS(I156-J156)*IF(N(G156)&gt;0,G156,1)+2*(I156*IF(N(G156)&gt;0,G156,1)*'参数'!$C$12+'参数'!$C$13+'参数'!$C$14*IF(N(G156)&gt;0,G156,1)))/IF(N(H156)&gt;0,H156,1),6))*IF(N(H156)&gt;0,H156,1),"预算不足，这笔不做")),"")</f>
        <v/>
      </c>
      <c r="N156" s="36" t="n"/>
      <c r="O156" s="20" t="str">
        <f>IF(AND(ISNUMBER(I156),ISNUMBER(J156),ISNUMBER(N156)),IF(AND(I156&lt;&gt;J156,N156&gt;0),ABS(I156-J156)*N156*IF(N(G156)&gt;0,G156,1),""),"")</f>
        <v/>
      </c>
      <c r="P156" s="31" t="n"/>
      <c r="Q156" s="32" t="n"/>
      <c r="R156" s="37" t="str">
        <f>IF(N(U156)&gt;0,SUMPRODUCT(LARGE(('成交明细'!$A$5:$A$804=A156)*('成交明细'!$D$5:$D$804=IF(F156="空","卖","买"))*'成交明细'!$B$5:$B$804,COUNTIFS('成交明细'!$A$5:$A$804,A156,'成交明细'!$D$5:$D$804,IF(F156="空","卖","买")))),"")</f>
        <v/>
      </c>
      <c r="S156" s="37" t="str">
        <f>IF(AND(N(U156)&gt;0,N(W156)&gt;=N(U156)),SUMPRODUCT(MAX(('成交明细'!$A$5:$A$804=A156)*('成交明细'!$D$5:$D$804=IF(F156="空","买","卖"))*'成交明细'!$B$5:$B$804)),"")</f>
        <v/>
      </c>
      <c r="T156" s="38" t="str">
        <f>IF(N(U156)=0,"",IF(SUMPRODUCT(('成交明细'!$A$5:$A$804=A156)*('成交明细'!$D$5:$D$804=IF(F156="空","卖","买"))*ISNUMBER('成交明细'!$C$5:$C$804))=0,"没填时间",IFERROR(VLOOKUP(MOD(SUMPRODUCT(LARGE(('成交明细'!$A$5:$A$804=A156)*('成交明细'!$D$5:$D$804=IF(F156="空","卖","买"))*('成交明细'!$B$5:$B$804+'成交明细'!$C$5:$C$804),COUNTIFS('成交明细'!$A$5:$A$804,A156,'成交明细'!$D$5:$D$804,IF(F156="空","卖","买")))),1),'参数'!$B$39:$C$48,2,TRUE),"")))</f>
        <v/>
      </c>
      <c r="U156" s="35" t="str">
        <f>IF(A156="","",SUMIFS('成交明细'!$F$5:$F$804,'成交明细'!$A$5:$A$804,A156,'成交明细'!$D$5:$D$804,IF(F156="空","卖","买")))</f>
        <v/>
      </c>
      <c r="V156" s="39" t="str">
        <f>IF(N(U156)&gt;0,SUMIFS('成交明细'!$H$5:$H$804,'成交明细'!$A$5:$A$804,A156,'成交明细'!$D$5:$D$804,IF(F156="空","卖","买"))/U156,"")</f>
        <v/>
      </c>
      <c r="W156" s="35" t="str">
        <f>IF(A156="","",SUMIFS('成交明细'!$F$5:$F$804,'成交明细'!$A$5:$A$804,A156,'成交明细'!$D$5:$D$804,IF(F156="空","买","卖")))</f>
        <v/>
      </c>
      <c r="X156" s="39" t="str">
        <f>IF(N(W156)&gt;0,SUMIFS('成交明细'!$H$5:$H$804,'成交明细'!$A$5:$A$804,A156,'成交明细'!$D$5:$D$804,IF(F156="空","买","卖"))/W156,"")</f>
        <v/>
      </c>
      <c r="Y156" s="40" t="str">
        <f>IF(A156="","",IF(Q156&lt;&gt;"已执行",IF(Q156="","未填执行情况",Q156),IF(N(U156)=0,"待录成交",IF(N(W156)&gt;N(U156),"平仓多于开仓",IF(N(W156)&lt;N(U156),"持仓中","已平仓")))))</f>
        <v/>
      </c>
      <c r="Z156" s="41" t="str">
        <f>IF(N(U156)=0,"",SUMIFS('成交明细'!$L$5:$L$804,'成交明细'!$A$5:$A$804,A156))</f>
        <v/>
      </c>
      <c r="AA156" s="42" t="str">
        <f>IF(Y156&lt;&gt;"已平仓","",(SUMIFS('成交明细'!$H$5:$H$804,'成交明细'!$A$5:$A$804,A156,'成交明细'!$D$5:$D$804,"卖")-SUMIFS('成交明细'!$H$5:$H$804,'成交明细'!$A$5:$A$804,A156,'成交明细'!$D$5:$D$804,"买"))*IF(N(G156)&gt;0,G156,1)-Z156)</f>
        <v/>
      </c>
      <c r="AB156" s="43" t="str">
        <f>IF(AND(Y156="已平仓",ISNUMBER(O156)),(SUMIFS('成交明细'!$H$5:$H$804,'成交明细'!$A$5:$A$804,A156,'成交明细'!$D$5:$D$804,"卖")-SUMIFS('成交明细'!$H$5:$H$804,'成交明细'!$A$5:$A$804,A156,'成交明细'!$D$5:$D$804,"买"))*IF(N(G156)&gt;0,G156,1)/O156,"")</f>
        <v/>
      </c>
      <c r="AC156" s="43" t="str">
        <f>IF(AND(Y156="已平仓",ISNUMBER(O156)),AA156/O156,"")</f>
        <v/>
      </c>
      <c r="AD156" s="44" t="str">
        <f>IF(AND(ISNUMBER(V156),ISNUMBER(I156)),IF(F156="空",I156-V156,V156-I156),"")</f>
        <v/>
      </c>
      <c r="AE156" s="44" t="str">
        <f>IF(OR(NOT(ISNUMBER(AA156)),NOT(ISNUMBER(X156))),"",IF(AA156&lt;0,IF(F156="空",X156-J156,J156-X156),IF(NOT(ISNUMBER(K156)),"",IF(F156="空",X156-K156,K156-X156))))</f>
        <v/>
      </c>
      <c r="AF156" s="32" t="n"/>
      <c r="AG156" s="32" t="n"/>
      <c r="AH156" s="31" t="n"/>
      <c r="AI156" s="43" t="str">
        <f>IF(A156="","",SUM(AC$5:AC156))</f>
        <v/>
      </c>
      <c r="AJ156" s="45" t="str">
        <f>IF(A156="","",MAX(0,MAX(AI$5:AI156))-AI156)</f>
        <v/>
      </c>
    </row>
    <row r="157">
      <c r="A157" s="29" t="n"/>
      <c r="B157" s="30" t="n"/>
      <c r="C157" s="31" t="n"/>
      <c r="D157" s="32" t="n"/>
      <c r="E157" s="32" t="n"/>
      <c r="F157" s="32" t="n"/>
      <c r="G157" s="32" t="n"/>
      <c r="H157" s="32" t="n"/>
      <c r="I157" s="33" t="n"/>
      <c r="J157" s="33" t="n"/>
      <c r="K157" s="33" t="n"/>
      <c r="L157" s="34" t="str">
        <f>IF(AND(ISNUMBER(I157),ISNUMBER(J157),ISNUMBER(K157)),IF(OR(AND(F157="多",I157&gt;J157),AND(F157="空",I157&lt;J157)),ABS(K157-I157)/ABS(I157-J157),"止损方向不对"),"")</f>
        <v/>
      </c>
      <c r="M157" s="35" t="str">
        <f>IF(AND(ISNUMBER(I157),ISNUMBER(J157)),IF(I157=J157,"",IF(INT(ROUND('参数'!$C$7/(ABS(I157-J157)*IF(N(G157)&gt;0,G157,1)+2*(I157*IF(N(G157)&gt;0,G157,1)*'参数'!$C$12+'参数'!$C$13+'参数'!$C$14*IF(N(G157)&gt;0,G157,1)))/IF(N(H157)&gt;0,H157,1),6))*IF(N(H157)&gt;0,H157,1)&gt;0,INT(ROUND('参数'!$C$7/(ABS(I157-J157)*IF(N(G157)&gt;0,G157,1)+2*(I157*IF(N(G157)&gt;0,G157,1)*'参数'!$C$12+'参数'!$C$13+'参数'!$C$14*IF(N(G157)&gt;0,G157,1)))/IF(N(H157)&gt;0,H157,1),6))*IF(N(H157)&gt;0,H157,1),"预算不足，这笔不做")),"")</f>
        <v/>
      </c>
      <c r="N157" s="36" t="n"/>
      <c r="O157" s="20" t="str">
        <f>IF(AND(ISNUMBER(I157),ISNUMBER(J157),ISNUMBER(N157)),IF(AND(I157&lt;&gt;J157,N157&gt;0),ABS(I157-J157)*N157*IF(N(G157)&gt;0,G157,1),""),"")</f>
        <v/>
      </c>
      <c r="P157" s="31" t="n"/>
      <c r="Q157" s="32" t="n"/>
      <c r="R157" s="37" t="str">
        <f>IF(N(U157)&gt;0,SUMPRODUCT(LARGE(('成交明细'!$A$5:$A$804=A157)*('成交明细'!$D$5:$D$804=IF(F157="空","卖","买"))*'成交明细'!$B$5:$B$804,COUNTIFS('成交明细'!$A$5:$A$804,A157,'成交明细'!$D$5:$D$804,IF(F157="空","卖","买")))),"")</f>
        <v/>
      </c>
      <c r="S157" s="37" t="str">
        <f>IF(AND(N(U157)&gt;0,N(W157)&gt;=N(U157)),SUMPRODUCT(MAX(('成交明细'!$A$5:$A$804=A157)*('成交明细'!$D$5:$D$804=IF(F157="空","买","卖"))*'成交明细'!$B$5:$B$804)),"")</f>
        <v/>
      </c>
      <c r="T157" s="38" t="str">
        <f>IF(N(U157)=0,"",IF(SUMPRODUCT(('成交明细'!$A$5:$A$804=A157)*('成交明细'!$D$5:$D$804=IF(F157="空","卖","买"))*ISNUMBER('成交明细'!$C$5:$C$804))=0,"没填时间",IFERROR(VLOOKUP(MOD(SUMPRODUCT(LARGE(('成交明细'!$A$5:$A$804=A157)*('成交明细'!$D$5:$D$804=IF(F157="空","卖","买"))*('成交明细'!$B$5:$B$804+'成交明细'!$C$5:$C$804),COUNTIFS('成交明细'!$A$5:$A$804,A157,'成交明细'!$D$5:$D$804,IF(F157="空","卖","买")))),1),'参数'!$B$39:$C$48,2,TRUE),"")))</f>
        <v/>
      </c>
      <c r="U157" s="35" t="str">
        <f>IF(A157="","",SUMIFS('成交明细'!$F$5:$F$804,'成交明细'!$A$5:$A$804,A157,'成交明细'!$D$5:$D$804,IF(F157="空","卖","买")))</f>
        <v/>
      </c>
      <c r="V157" s="39" t="str">
        <f>IF(N(U157)&gt;0,SUMIFS('成交明细'!$H$5:$H$804,'成交明细'!$A$5:$A$804,A157,'成交明细'!$D$5:$D$804,IF(F157="空","卖","买"))/U157,"")</f>
        <v/>
      </c>
      <c r="W157" s="35" t="str">
        <f>IF(A157="","",SUMIFS('成交明细'!$F$5:$F$804,'成交明细'!$A$5:$A$804,A157,'成交明细'!$D$5:$D$804,IF(F157="空","买","卖")))</f>
        <v/>
      </c>
      <c r="X157" s="39" t="str">
        <f>IF(N(W157)&gt;0,SUMIFS('成交明细'!$H$5:$H$804,'成交明细'!$A$5:$A$804,A157,'成交明细'!$D$5:$D$804,IF(F157="空","买","卖"))/W157,"")</f>
        <v/>
      </c>
      <c r="Y157" s="40" t="str">
        <f>IF(A157="","",IF(Q157&lt;&gt;"已执行",IF(Q157="","未填执行情况",Q157),IF(N(U157)=0,"待录成交",IF(N(W157)&gt;N(U157),"平仓多于开仓",IF(N(W157)&lt;N(U157),"持仓中","已平仓")))))</f>
        <v/>
      </c>
      <c r="Z157" s="41" t="str">
        <f>IF(N(U157)=0,"",SUMIFS('成交明细'!$L$5:$L$804,'成交明细'!$A$5:$A$804,A157))</f>
        <v/>
      </c>
      <c r="AA157" s="42" t="str">
        <f>IF(Y157&lt;&gt;"已平仓","",(SUMIFS('成交明细'!$H$5:$H$804,'成交明细'!$A$5:$A$804,A157,'成交明细'!$D$5:$D$804,"卖")-SUMIFS('成交明细'!$H$5:$H$804,'成交明细'!$A$5:$A$804,A157,'成交明细'!$D$5:$D$804,"买"))*IF(N(G157)&gt;0,G157,1)-Z157)</f>
        <v/>
      </c>
      <c r="AB157" s="43" t="str">
        <f>IF(AND(Y157="已平仓",ISNUMBER(O157)),(SUMIFS('成交明细'!$H$5:$H$804,'成交明细'!$A$5:$A$804,A157,'成交明细'!$D$5:$D$804,"卖")-SUMIFS('成交明细'!$H$5:$H$804,'成交明细'!$A$5:$A$804,A157,'成交明细'!$D$5:$D$804,"买"))*IF(N(G157)&gt;0,G157,1)/O157,"")</f>
        <v/>
      </c>
      <c r="AC157" s="43" t="str">
        <f>IF(AND(Y157="已平仓",ISNUMBER(O157)),AA157/O157,"")</f>
        <v/>
      </c>
      <c r="AD157" s="44" t="str">
        <f>IF(AND(ISNUMBER(V157),ISNUMBER(I157)),IF(F157="空",I157-V157,V157-I157),"")</f>
        <v/>
      </c>
      <c r="AE157" s="44" t="str">
        <f>IF(OR(NOT(ISNUMBER(AA157)),NOT(ISNUMBER(X157))),"",IF(AA157&lt;0,IF(F157="空",X157-J157,J157-X157),IF(NOT(ISNUMBER(K157)),"",IF(F157="空",X157-K157,K157-X157))))</f>
        <v/>
      </c>
      <c r="AF157" s="32" t="n"/>
      <c r="AG157" s="32" t="n"/>
      <c r="AH157" s="31" t="n"/>
      <c r="AI157" s="43" t="str">
        <f>IF(A157="","",SUM(AC$5:AC157))</f>
        <v/>
      </c>
      <c r="AJ157" s="45" t="str">
        <f>IF(A157="","",MAX(0,MAX(AI$5:AI157))-AI157)</f>
        <v/>
      </c>
    </row>
    <row r="158">
      <c r="A158" s="29" t="n"/>
      <c r="B158" s="30" t="n"/>
      <c r="C158" s="31" t="n"/>
      <c r="D158" s="32" t="n"/>
      <c r="E158" s="32" t="n"/>
      <c r="F158" s="32" t="n"/>
      <c r="G158" s="32" t="n"/>
      <c r="H158" s="32" t="n"/>
      <c r="I158" s="33" t="n"/>
      <c r="J158" s="33" t="n"/>
      <c r="K158" s="33" t="n"/>
      <c r="L158" s="34" t="str">
        <f>IF(AND(ISNUMBER(I158),ISNUMBER(J158),ISNUMBER(K158)),IF(OR(AND(F158="多",I158&gt;J158),AND(F158="空",I158&lt;J158)),ABS(K158-I158)/ABS(I158-J158),"止损方向不对"),"")</f>
        <v/>
      </c>
      <c r="M158" s="35" t="str">
        <f>IF(AND(ISNUMBER(I158),ISNUMBER(J158)),IF(I158=J158,"",IF(INT(ROUND('参数'!$C$7/(ABS(I158-J158)*IF(N(G158)&gt;0,G158,1)+2*(I158*IF(N(G158)&gt;0,G158,1)*'参数'!$C$12+'参数'!$C$13+'参数'!$C$14*IF(N(G158)&gt;0,G158,1)))/IF(N(H158)&gt;0,H158,1),6))*IF(N(H158)&gt;0,H158,1)&gt;0,INT(ROUND('参数'!$C$7/(ABS(I158-J158)*IF(N(G158)&gt;0,G158,1)+2*(I158*IF(N(G158)&gt;0,G158,1)*'参数'!$C$12+'参数'!$C$13+'参数'!$C$14*IF(N(G158)&gt;0,G158,1)))/IF(N(H158)&gt;0,H158,1),6))*IF(N(H158)&gt;0,H158,1),"预算不足，这笔不做")),"")</f>
        <v/>
      </c>
      <c r="N158" s="36" t="n"/>
      <c r="O158" s="20" t="str">
        <f>IF(AND(ISNUMBER(I158),ISNUMBER(J158),ISNUMBER(N158)),IF(AND(I158&lt;&gt;J158,N158&gt;0),ABS(I158-J158)*N158*IF(N(G158)&gt;0,G158,1),""),"")</f>
        <v/>
      </c>
      <c r="P158" s="31" t="n"/>
      <c r="Q158" s="32" t="n"/>
      <c r="R158" s="37" t="str">
        <f>IF(N(U158)&gt;0,SUMPRODUCT(LARGE(('成交明细'!$A$5:$A$804=A158)*('成交明细'!$D$5:$D$804=IF(F158="空","卖","买"))*'成交明细'!$B$5:$B$804,COUNTIFS('成交明细'!$A$5:$A$804,A158,'成交明细'!$D$5:$D$804,IF(F158="空","卖","买")))),"")</f>
        <v/>
      </c>
      <c r="S158" s="37" t="str">
        <f>IF(AND(N(U158)&gt;0,N(W158)&gt;=N(U158)),SUMPRODUCT(MAX(('成交明细'!$A$5:$A$804=A158)*('成交明细'!$D$5:$D$804=IF(F158="空","买","卖"))*'成交明细'!$B$5:$B$804)),"")</f>
        <v/>
      </c>
      <c r="T158" s="38" t="str">
        <f>IF(N(U158)=0,"",IF(SUMPRODUCT(('成交明细'!$A$5:$A$804=A158)*('成交明细'!$D$5:$D$804=IF(F158="空","卖","买"))*ISNUMBER('成交明细'!$C$5:$C$804))=0,"没填时间",IFERROR(VLOOKUP(MOD(SUMPRODUCT(LARGE(('成交明细'!$A$5:$A$804=A158)*('成交明细'!$D$5:$D$804=IF(F158="空","卖","买"))*('成交明细'!$B$5:$B$804+'成交明细'!$C$5:$C$804),COUNTIFS('成交明细'!$A$5:$A$804,A158,'成交明细'!$D$5:$D$804,IF(F158="空","卖","买")))),1),'参数'!$B$39:$C$48,2,TRUE),"")))</f>
        <v/>
      </c>
      <c r="U158" s="35" t="str">
        <f>IF(A158="","",SUMIFS('成交明细'!$F$5:$F$804,'成交明细'!$A$5:$A$804,A158,'成交明细'!$D$5:$D$804,IF(F158="空","卖","买")))</f>
        <v/>
      </c>
      <c r="V158" s="39" t="str">
        <f>IF(N(U158)&gt;0,SUMIFS('成交明细'!$H$5:$H$804,'成交明细'!$A$5:$A$804,A158,'成交明细'!$D$5:$D$804,IF(F158="空","卖","买"))/U158,"")</f>
        <v/>
      </c>
      <c r="W158" s="35" t="str">
        <f>IF(A158="","",SUMIFS('成交明细'!$F$5:$F$804,'成交明细'!$A$5:$A$804,A158,'成交明细'!$D$5:$D$804,IF(F158="空","买","卖")))</f>
        <v/>
      </c>
      <c r="X158" s="39" t="str">
        <f>IF(N(W158)&gt;0,SUMIFS('成交明细'!$H$5:$H$804,'成交明细'!$A$5:$A$804,A158,'成交明细'!$D$5:$D$804,IF(F158="空","买","卖"))/W158,"")</f>
        <v/>
      </c>
      <c r="Y158" s="40" t="str">
        <f>IF(A158="","",IF(Q158&lt;&gt;"已执行",IF(Q158="","未填执行情况",Q158),IF(N(U158)=0,"待录成交",IF(N(W158)&gt;N(U158),"平仓多于开仓",IF(N(W158)&lt;N(U158),"持仓中","已平仓")))))</f>
        <v/>
      </c>
      <c r="Z158" s="41" t="str">
        <f>IF(N(U158)=0,"",SUMIFS('成交明细'!$L$5:$L$804,'成交明细'!$A$5:$A$804,A158))</f>
        <v/>
      </c>
      <c r="AA158" s="42" t="str">
        <f>IF(Y158&lt;&gt;"已平仓","",(SUMIFS('成交明细'!$H$5:$H$804,'成交明细'!$A$5:$A$804,A158,'成交明细'!$D$5:$D$804,"卖")-SUMIFS('成交明细'!$H$5:$H$804,'成交明细'!$A$5:$A$804,A158,'成交明细'!$D$5:$D$804,"买"))*IF(N(G158)&gt;0,G158,1)-Z158)</f>
        <v/>
      </c>
      <c r="AB158" s="43" t="str">
        <f>IF(AND(Y158="已平仓",ISNUMBER(O158)),(SUMIFS('成交明细'!$H$5:$H$804,'成交明细'!$A$5:$A$804,A158,'成交明细'!$D$5:$D$804,"卖")-SUMIFS('成交明细'!$H$5:$H$804,'成交明细'!$A$5:$A$804,A158,'成交明细'!$D$5:$D$804,"买"))*IF(N(G158)&gt;0,G158,1)/O158,"")</f>
        <v/>
      </c>
      <c r="AC158" s="43" t="str">
        <f>IF(AND(Y158="已平仓",ISNUMBER(O158)),AA158/O158,"")</f>
        <v/>
      </c>
      <c r="AD158" s="44" t="str">
        <f>IF(AND(ISNUMBER(V158),ISNUMBER(I158)),IF(F158="空",I158-V158,V158-I158),"")</f>
        <v/>
      </c>
      <c r="AE158" s="44" t="str">
        <f>IF(OR(NOT(ISNUMBER(AA158)),NOT(ISNUMBER(X158))),"",IF(AA158&lt;0,IF(F158="空",X158-J158,J158-X158),IF(NOT(ISNUMBER(K158)),"",IF(F158="空",X158-K158,K158-X158))))</f>
        <v/>
      </c>
      <c r="AF158" s="32" t="n"/>
      <c r="AG158" s="32" t="n"/>
      <c r="AH158" s="31" t="n"/>
      <c r="AI158" s="43" t="str">
        <f>IF(A158="","",SUM(AC$5:AC158))</f>
        <v/>
      </c>
      <c r="AJ158" s="45" t="str">
        <f>IF(A158="","",MAX(0,MAX(AI$5:AI158))-AI158)</f>
        <v/>
      </c>
    </row>
    <row r="159">
      <c r="A159" s="29" t="n"/>
      <c r="B159" s="30" t="n"/>
      <c r="C159" s="31" t="n"/>
      <c r="D159" s="32" t="n"/>
      <c r="E159" s="32" t="n"/>
      <c r="F159" s="32" t="n"/>
      <c r="G159" s="32" t="n"/>
      <c r="H159" s="32" t="n"/>
      <c r="I159" s="33" t="n"/>
      <c r="J159" s="33" t="n"/>
      <c r="K159" s="33" t="n"/>
      <c r="L159" s="34" t="str">
        <f>IF(AND(ISNUMBER(I159),ISNUMBER(J159),ISNUMBER(K159)),IF(OR(AND(F159="多",I159&gt;J159),AND(F159="空",I159&lt;J159)),ABS(K159-I159)/ABS(I159-J159),"止损方向不对"),"")</f>
        <v/>
      </c>
      <c r="M159" s="35" t="str">
        <f>IF(AND(ISNUMBER(I159),ISNUMBER(J159)),IF(I159=J159,"",IF(INT(ROUND('参数'!$C$7/(ABS(I159-J159)*IF(N(G159)&gt;0,G159,1)+2*(I159*IF(N(G159)&gt;0,G159,1)*'参数'!$C$12+'参数'!$C$13+'参数'!$C$14*IF(N(G159)&gt;0,G159,1)))/IF(N(H159)&gt;0,H159,1),6))*IF(N(H159)&gt;0,H159,1)&gt;0,INT(ROUND('参数'!$C$7/(ABS(I159-J159)*IF(N(G159)&gt;0,G159,1)+2*(I159*IF(N(G159)&gt;0,G159,1)*'参数'!$C$12+'参数'!$C$13+'参数'!$C$14*IF(N(G159)&gt;0,G159,1)))/IF(N(H159)&gt;0,H159,1),6))*IF(N(H159)&gt;0,H159,1),"预算不足，这笔不做")),"")</f>
        <v/>
      </c>
      <c r="N159" s="36" t="n"/>
      <c r="O159" s="20" t="str">
        <f>IF(AND(ISNUMBER(I159),ISNUMBER(J159),ISNUMBER(N159)),IF(AND(I159&lt;&gt;J159,N159&gt;0),ABS(I159-J159)*N159*IF(N(G159)&gt;0,G159,1),""),"")</f>
        <v/>
      </c>
      <c r="P159" s="31" t="n"/>
      <c r="Q159" s="32" t="n"/>
      <c r="R159" s="37" t="str">
        <f>IF(N(U159)&gt;0,SUMPRODUCT(LARGE(('成交明细'!$A$5:$A$804=A159)*('成交明细'!$D$5:$D$804=IF(F159="空","卖","买"))*'成交明细'!$B$5:$B$804,COUNTIFS('成交明细'!$A$5:$A$804,A159,'成交明细'!$D$5:$D$804,IF(F159="空","卖","买")))),"")</f>
        <v/>
      </c>
      <c r="S159" s="37" t="str">
        <f>IF(AND(N(U159)&gt;0,N(W159)&gt;=N(U159)),SUMPRODUCT(MAX(('成交明细'!$A$5:$A$804=A159)*('成交明细'!$D$5:$D$804=IF(F159="空","买","卖"))*'成交明细'!$B$5:$B$804)),"")</f>
        <v/>
      </c>
      <c r="T159" s="38" t="str">
        <f>IF(N(U159)=0,"",IF(SUMPRODUCT(('成交明细'!$A$5:$A$804=A159)*('成交明细'!$D$5:$D$804=IF(F159="空","卖","买"))*ISNUMBER('成交明细'!$C$5:$C$804))=0,"没填时间",IFERROR(VLOOKUP(MOD(SUMPRODUCT(LARGE(('成交明细'!$A$5:$A$804=A159)*('成交明细'!$D$5:$D$804=IF(F159="空","卖","买"))*('成交明细'!$B$5:$B$804+'成交明细'!$C$5:$C$804),COUNTIFS('成交明细'!$A$5:$A$804,A159,'成交明细'!$D$5:$D$804,IF(F159="空","卖","买")))),1),'参数'!$B$39:$C$48,2,TRUE),"")))</f>
        <v/>
      </c>
      <c r="U159" s="35" t="str">
        <f>IF(A159="","",SUMIFS('成交明细'!$F$5:$F$804,'成交明细'!$A$5:$A$804,A159,'成交明细'!$D$5:$D$804,IF(F159="空","卖","买")))</f>
        <v/>
      </c>
      <c r="V159" s="39" t="str">
        <f>IF(N(U159)&gt;0,SUMIFS('成交明细'!$H$5:$H$804,'成交明细'!$A$5:$A$804,A159,'成交明细'!$D$5:$D$804,IF(F159="空","卖","买"))/U159,"")</f>
        <v/>
      </c>
      <c r="W159" s="35" t="str">
        <f>IF(A159="","",SUMIFS('成交明细'!$F$5:$F$804,'成交明细'!$A$5:$A$804,A159,'成交明细'!$D$5:$D$804,IF(F159="空","买","卖")))</f>
        <v/>
      </c>
      <c r="X159" s="39" t="str">
        <f>IF(N(W159)&gt;0,SUMIFS('成交明细'!$H$5:$H$804,'成交明细'!$A$5:$A$804,A159,'成交明细'!$D$5:$D$804,IF(F159="空","买","卖"))/W159,"")</f>
        <v/>
      </c>
      <c r="Y159" s="40" t="str">
        <f>IF(A159="","",IF(Q159&lt;&gt;"已执行",IF(Q159="","未填执行情况",Q159),IF(N(U159)=0,"待录成交",IF(N(W159)&gt;N(U159),"平仓多于开仓",IF(N(W159)&lt;N(U159),"持仓中","已平仓")))))</f>
        <v/>
      </c>
      <c r="Z159" s="41" t="str">
        <f>IF(N(U159)=0,"",SUMIFS('成交明细'!$L$5:$L$804,'成交明细'!$A$5:$A$804,A159))</f>
        <v/>
      </c>
      <c r="AA159" s="42" t="str">
        <f>IF(Y159&lt;&gt;"已平仓","",(SUMIFS('成交明细'!$H$5:$H$804,'成交明细'!$A$5:$A$804,A159,'成交明细'!$D$5:$D$804,"卖")-SUMIFS('成交明细'!$H$5:$H$804,'成交明细'!$A$5:$A$804,A159,'成交明细'!$D$5:$D$804,"买"))*IF(N(G159)&gt;0,G159,1)-Z159)</f>
        <v/>
      </c>
      <c r="AB159" s="43" t="str">
        <f>IF(AND(Y159="已平仓",ISNUMBER(O159)),(SUMIFS('成交明细'!$H$5:$H$804,'成交明细'!$A$5:$A$804,A159,'成交明细'!$D$5:$D$804,"卖")-SUMIFS('成交明细'!$H$5:$H$804,'成交明细'!$A$5:$A$804,A159,'成交明细'!$D$5:$D$804,"买"))*IF(N(G159)&gt;0,G159,1)/O159,"")</f>
        <v/>
      </c>
      <c r="AC159" s="43" t="str">
        <f>IF(AND(Y159="已平仓",ISNUMBER(O159)),AA159/O159,"")</f>
        <v/>
      </c>
      <c r="AD159" s="44" t="str">
        <f>IF(AND(ISNUMBER(V159),ISNUMBER(I159)),IF(F159="空",I159-V159,V159-I159),"")</f>
        <v/>
      </c>
      <c r="AE159" s="44" t="str">
        <f>IF(OR(NOT(ISNUMBER(AA159)),NOT(ISNUMBER(X159))),"",IF(AA159&lt;0,IF(F159="空",X159-J159,J159-X159),IF(NOT(ISNUMBER(K159)),"",IF(F159="空",X159-K159,K159-X159))))</f>
        <v/>
      </c>
      <c r="AF159" s="32" t="n"/>
      <c r="AG159" s="32" t="n"/>
      <c r="AH159" s="31" t="n"/>
      <c r="AI159" s="43" t="str">
        <f>IF(A159="","",SUM(AC$5:AC159))</f>
        <v/>
      </c>
      <c r="AJ159" s="45" t="str">
        <f>IF(A159="","",MAX(0,MAX(AI$5:AI159))-AI159)</f>
        <v/>
      </c>
    </row>
    <row r="160">
      <c r="A160" s="29" t="n"/>
      <c r="B160" s="30" t="n"/>
      <c r="C160" s="31" t="n"/>
      <c r="D160" s="32" t="n"/>
      <c r="E160" s="32" t="n"/>
      <c r="F160" s="32" t="n"/>
      <c r="G160" s="32" t="n"/>
      <c r="H160" s="32" t="n"/>
      <c r="I160" s="33" t="n"/>
      <c r="J160" s="33" t="n"/>
      <c r="K160" s="33" t="n"/>
      <c r="L160" s="34" t="str">
        <f>IF(AND(ISNUMBER(I160),ISNUMBER(J160),ISNUMBER(K160)),IF(OR(AND(F160="多",I160&gt;J160),AND(F160="空",I160&lt;J160)),ABS(K160-I160)/ABS(I160-J160),"止损方向不对"),"")</f>
        <v/>
      </c>
      <c r="M160" s="35" t="str">
        <f>IF(AND(ISNUMBER(I160),ISNUMBER(J160)),IF(I160=J160,"",IF(INT(ROUND('参数'!$C$7/(ABS(I160-J160)*IF(N(G160)&gt;0,G160,1)+2*(I160*IF(N(G160)&gt;0,G160,1)*'参数'!$C$12+'参数'!$C$13+'参数'!$C$14*IF(N(G160)&gt;0,G160,1)))/IF(N(H160)&gt;0,H160,1),6))*IF(N(H160)&gt;0,H160,1)&gt;0,INT(ROUND('参数'!$C$7/(ABS(I160-J160)*IF(N(G160)&gt;0,G160,1)+2*(I160*IF(N(G160)&gt;0,G160,1)*'参数'!$C$12+'参数'!$C$13+'参数'!$C$14*IF(N(G160)&gt;0,G160,1)))/IF(N(H160)&gt;0,H160,1),6))*IF(N(H160)&gt;0,H160,1),"预算不足，这笔不做")),"")</f>
        <v/>
      </c>
      <c r="N160" s="36" t="n"/>
      <c r="O160" s="20" t="str">
        <f>IF(AND(ISNUMBER(I160),ISNUMBER(J160),ISNUMBER(N160)),IF(AND(I160&lt;&gt;J160,N160&gt;0),ABS(I160-J160)*N160*IF(N(G160)&gt;0,G160,1),""),"")</f>
        <v/>
      </c>
      <c r="P160" s="31" t="n"/>
      <c r="Q160" s="32" t="n"/>
      <c r="R160" s="37" t="str">
        <f>IF(N(U160)&gt;0,SUMPRODUCT(LARGE(('成交明细'!$A$5:$A$804=A160)*('成交明细'!$D$5:$D$804=IF(F160="空","卖","买"))*'成交明细'!$B$5:$B$804,COUNTIFS('成交明细'!$A$5:$A$804,A160,'成交明细'!$D$5:$D$804,IF(F160="空","卖","买")))),"")</f>
        <v/>
      </c>
      <c r="S160" s="37" t="str">
        <f>IF(AND(N(U160)&gt;0,N(W160)&gt;=N(U160)),SUMPRODUCT(MAX(('成交明细'!$A$5:$A$804=A160)*('成交明细'!$D$5:$D$804=IF(F160="空","买","卖"))*'成交明细'!$B$5:$B$804)),"")</f>
        <v/>
      </c>
      <c r="T160" s="38" t="str">
        <f>IF(N(U160)=0,"",IF(SUMPRODUCT(('成交明细'!$A$5:$A$804=A160)*('成交明细'!$D$5:$D$804=IF(F160="空","卖","买"))*ISNUMBER('成交明细'!$C$5:$C$804))=0,"没填时间",IFERROR(VLOOKUP(MOD(SUMPRODUCT(LARGE(('成交明细'!$A$5:$A$804=A160)*('成交明细'!$D$5:$D$804=IF(F160="空","卖","买"))*('成交明细'!$B$5:$B$804+'成交明细'!$C$5:$C$804),COUNTIFS('成交明细'!$A$5:$A$804,A160,'成交明细'!$D$5:$D$804,IF(F160="空","卖","买")))),1),'参数'!$B$39:$C$48,2,TRUE),"")))</f>
        <v/>
      </c>
      <c r="U160" s="35" t="str">
        <f>IF(A160="","",SUMIFS('成交明细'!$F$5:$F$804,'成交明细'!$A$5:$A$804,A160,'成交明细'!$D$5:$D$804,IF(F160="空","卖","买")))</f>
        <v/>
      </c>
      <c r="V160" s="39" t="str">
        <f>IF(N(U160)&gt;0,SUMIFS('成交明细'!$H$5:$H$804,'成交明细'!$A$5:$A$804,A160,'成交明细'!$D$5:$D$804,IF(F160="空","卖","买"))/U160,"")</f>
        <v/>
      </c>
      <c r="W160" s="35" t="str">
        <f>IF(A160="","",SUMIFS('成交明细'!$F$5:$F$804,'成交明细'!$A$5:$A$804,A160,'成交明细'!$D$5:$D$804,IF(F160="空","买","卖")))</f>
        <v/>
      </c>
      <c r="X160" s="39" t="str">
        <f>IF(N(W160)&gt;0,SUMIFS('成交明细'!$H$5:$H$804,'成交明细'!$A$5:$A$804,A160,'成交明细'!$D$5:$D$804,IF(F160="空","买","卖"))/W160,"")</f>
        <v/>
      </c>
      <c r="Y160" s="40" t="str">
        <f>IF(A160="","",IF(Q160&lt;&gt;"已执行",IF(Q160="","未填执行情况",Q160),IF(N(U160)=0,"待录成交",IF(N(W160)&gt;N(U160),"平仓多于开仓",IF(N(W160)&lt;N(U160),"持仓中","已平仓")))))</f>
        <v/>
      </c>
      <c r="Z160" s="41" t="str">
        <f>IF(N(U160)=0,"",SUMIFS('成交明细'!$L$5:$L$804,'成交明细'!$A$5:$A$804,A160))</f>
        <v/>
      </c>
      <c r="AA160" s="42" t="str">
        <f>IF(Y160&lt;&gt;"已平仓","",(SUMIFS('成交明细'!$H$5:$H$804,'成交明细'!$A$5:$A$804,A160,'成交明细'!$D$5:$D$804,"卖")-SUMIFS('成交明细'!$H$5:$H$804,'成交明细'!$A$5:$A$804,A160,'成交明细'!$D$5:$D$804,"买"))*IF(N(G160)&gt;0,G160,1)-Z160)</f>
        <v/>
      </c>
      <c r="AB160" s="43" t="str">
        <f>IF(AND(Y160="已平仓",ISNUMBER(O160)),(SUMIFS('成交明细'!$H$5:$H$804,'成交明细'!$A$5:$A$804,A160,'成交明细'!$D$5:$D$804,"卖")-SUMIFS('成交明细'!$H$5:$H$804,'成交明细'!$A$5:$A$804,A160,'成交明细'!$D$5:$D$804,"买"))*IF(N(G160)&gt;0,G160,1)/O160,"")</f>
        <v/>
      </c>
      <c r="AC160" s="43" t="str">
        <f>IF(AND(Y160="已平仓",ISNUMBER(O160)),AA160/O160,"")</f>
        <v/>
      </c>
      <c r="AD160" s="44" t="str">
        <f>IF(AND(ISNUMBER(V160),ISNUMBER(I160)),IF(F160="空",I160-V160,V160-I160),"")</f>
        <v/>
      </c>
      <c r="AE160" s="44" t="str">
        <f>IF(OR(NOT(ISNUMBER(AA160)),NOT(ISNUMBER(X160))),"",IF(AA160&lt;0,IF(F160="空",X160-J160,J160-X160),IF(NOT(ISNUMBER(K160)),"",IF(F160="空",X160-K160,K160-X160))))</f>
        <v/>
      </c>
      <c r="AF160" s="32" t="n"/>
      <c r="AG160" s="32" t="n"/>
      <c r="AH160" s="31" t="n"/>
      <c r="AI160" s="43" t="str">
        <f>IF(A160="","",SUM(AC$5:AC160))</f>
        <v/>
      </c>
      <c r="AJ160" s="45" t="str">
        <f>IF(A160="","",MAX(0,MAX(AI$5:AI160))-AI160)</f>
        <v/>
      </c>
    </row>
    <row r="161">
      <c r="A161" s="29" t="n"/>
      <c r="B161" s="30" t="n"/>
      <c r="C161" s="31" t="n"/>
      <c r="D161" s="32" t="n"/>
      <c r="E161" s="32" t="n"/>
      <c r="F161" s="32" t="n"/>
      <c r="G161" s="32" t="n"/>
      <c r="H161" s="32" t="n"/>
      <c r="I161" s="33" t="n"/>
      <c r="J161" s="33" t="n"/>
      <c r="K161" s="33" t="n"/>
      <c r="L161" s="34" t="str">
        <f>IF(AND(ISNUMBER(I161),ISNUMBER(J161),ISNUMBER(K161)),IF(OR(AND(F161="多",I161&gt;J161),AND(F161="空",I161&lt;J161)),ABS(K161-I161)/ABS(I161-J161),"止损方向不对"),"")</f>
        <v/>
      </c>
      <c r="M161" s="35" t="str">
        <f>IF(AND(ISNUMBER(I161),ISNUMBER(J161)),IF(I161=J161,"",IF(INT(ROUND('参数'!$C$7/(ABS(I161-J161)*IF(N(G161)&gt;0,G161,1)+2*(I161*IF(N(G161)&gt;0,G161,1)*'参数'!$C$12+'参数'!$C$13+'参数'!$C$14*IF(N(G161)&gt;0,G161,1)))/IF(N(H161)&gt;0,H161,1),6))*IF(N(H161)&gt;0,H161,1)&gt;0,INT(ROUND('参数'!$C$7/(ABS(I161-J161)*IF(N(G161)&gt;0,G161,1)+2*(I161*IF(N(G161)&gt;0,G161,1)*'参数'!$C$12+'参数'!$C$13+'参数'!$C$14*IF(N(G161)&gt;0,G161,1)))/IF(N(H161)&gt;0,H161,1),6))*IF(N(H161)&gt;0,H161,1),"预算不足，这笔不做")),"")</f>
        <v/>
      </c>
      <c r="N161" s="36" t="n"/>
      <c r="O161" s="20" t="str">
        <f>IF(AND(ISNUMBER(I161),ISNUMBER(J161),ISNUMBER(N161)),IF(AND(I161&lt;&gt;J161,N161&gt;0),ABS(I161-J161)*N161*IF(N(G161)&gt;0,G161,1),""),"")</f>
        <v/>
      </c>
      <c r="P161" s="31" t="n"/>
      <c r="Q161" s="32" t="n"/>
      <c r="R161" s="37" t="str">
        <f>IF(N(U161)&gt;0,SUMPRODUCT(LARGE(('成交明细'!$A$5:$A$804=A161)*('成交明细'!$D$5:$D$804=IF(F161="空","卖","买"))*'成交明细'!$B$5:$B$804,COUNTIFS('成交明细'!$A$5:$A$804,A161,'成交明细'!$D$5:$D$804,IF(F161="空","卖","买")))),"")</f>
        <v/>
      </c>
      <c r="S161" s="37" t="str">
        <f>IF(AND(N(U161)&gt;0,N(W161)&gt;=N(U161)),SUMPRODUCT(MAX(('成交明细'!$A$5:$A$804=A161)*('成交明细'!$D$5:$D$804=IF(F161="空","买","卖"))*'成交明细'!$B$5:$B$804)),"")</f>
        <v/>
      </c>
      <c r="T161" s="38" t="str">
        <f>IF(N(U161)=0,"",IF(SUMPRODUCT(('成交明细'!$A$5:$A$804=A161)*('成交明细'!$D$5:$D$804=IF(F161="空","卖","买"))*ISNUMBER('成交明细'!$C$5:$C$804))=0,"没填时间",IFERROR(VLOOKUP(MOD(SUMPRODUCT(LARGE(('成交明细'!$A$5:$A$804=A161)*('成交明细'!$D$5:$D$804=IF(F161="空","卖","买"))*('成交明细'!$B$5:$B$804+'成交明细'!$C$5:$C$804),COUNTIFS('成交明细'!$A$5:$A$804,A161,'成交明细'!$D$5:$D$804,IF(F161="空","卖","买")))),1),'参数'!$B$39:$C$48,2,TRUE),"")))</f>
        <v/>
      </c>
      <c r="U161" s="35" t="str">
        <f>IF(A161="","",SUMIFS('成交明细'!$F$5:$F$804,'成交明细'!$A$5:$A$804,A161,'成交明细'!$D$5:$D$804,IF(F161="空","卖","买")))</f>
        <v/>
      </c>
      <c r="V161" s="39" t="str">
        <f>IF(N(U161)&gt;0,SUMIFS('成交明细'!$H$5:$H$804,'成交明细'!$A$5:$A$804,A161,'成交明细'!$D$5:$D$804,IF(F161="空","卖","买"))/U161,"")</f>
        <v/>
      </c>
      <c r="W161" s="35" t="str">
        <f>IF(A161="","",SUMIFS('成交明细'!$F$5:$F$804,'成交明细'!$A$5:$A$804,A161,'成交明细'!$D$5:$D$804,IF(F161="空","买","卖")))</f>
        <v/>
      </c>
      <c r="X161" s="39" t="str">
        <f>IF(N(W161)&gt;0,SUMIFS('成交明细'!$H$5:$H$804,'成交明细'!$A$5:$A$804,A161,'成交明细'!$D$5:$D$804,IF(F161="空","买","卖"))/W161,"")</f>
        <v/>
      </c>
      <c r="Y161" s="40" t="str">
        <f>IF(A161="","",IF(Q161&lt;&gt;"已执行",IF(Q161="","未填执行情况",Q161),IF(N(U161)=0,"待录成交",IF(N(W161)&gt;N(U161),"平仓多于开仓",IF(N(W161)&lt;N(U161),"持仓中","已平仓")))))</f>
        <v/>
      </c>
      <c r="Z161" s="41" t="str">
        <f>IF(N(U161)=0,"",SUMIFS('成交明细'!$L$5:$L$804,'成交明细'!$A$5:$A$804,A161))</f>
        <v/>
      </c>
      <c r="AA161" s="42" t="str">
        <f>IF(Y161&lt;&gt;"已平仓","",(SUMIFS('成交明细'!$H$5:$H$804,'成交明细'!$A$5:$A$804,A161,'成交明细'!$D$5:$D$804,"卖")-SUMIFS('成交明细'!$H$5:$H$804,'成交明细'!$A$5:$A$804,A161,'成交明细'!$D$5:$D$804,"买"))*IF(N(G161)&gt;0,G161,1)-Z161)</f>
        <v/>
      </c>
      <c r="AB161" s="43" t="str">
        <f>IF(AND(Y161="已平仓",ISNUMBER(O161)),(SUMIFS('成交明细'!$H$5:$H$804,'成交明细'!$A$5:$A$804,A161,'成交明细'!$D$5:$D$804,"卖")-SUMIFS('成交明细'!$H$5:$H$804,'成交明细'!$A$5:$A$804,A161,'成交明细'!$D$5:$D$804,"买"))*IF(N(G161)&gt;0,G161,1)/O161,"")</f>
        <v/>
      </c>
      <c r="AC161" s="43" t="str">
        <f>IF(AND(Y161="已平仓",ISNUMBER(O161)),AA161/O161,"")</f>
        <v/>
      </c>
      <c r="AD161" s="44" t="str">
        <f>IF(AND(ISNUMBER(V161),ISNUMBER(I161)),IF(F161="空",I161-V161,V161-I161),"")</f>
        <v/>
      </c>
      <c r="AE161" s="44" t="str">
        <f>IF(OR(NOT(ISNUMBER(AA161)),NOT(ISNUMBER(X161))),"",IF(AA161&lt;0,IF(F161="空",X161-J161,J161-X161),IF(NOT(ISNUMBER(K161)),"",IF(F161="空",X161-K161,K161-X161))))</f>
        <v/>
      </c>
      <c r="AF161" s="32" t="n"/>
      <c r="AG161" s="32" t="n"/>
      <c r="AH161" s="31" t="n"/>
      <c r="AI161" s="43" t="str">
        <f>IF(A161="","",SUM(AC$5:AC161))</f>
        <v/>
      </c>
      <c r="AJ161" s="45" t="str">
        <f>IF(A161="","",MAX(0,MAX(AI$5:AI161))-AI161)</f>
        <v/>
      </c>
    </row>
    <row r="162">
      <c r="A162" s="29" t="n"/>
      <c r="B162" s="30" t="n"/>
      <c r="C162" s="31" t="n"/>
      <c r="D162" s="32" t="n"/>
      <c r="E162" s="32" t="n"/>
      <c r="F162" s="32" t="n"/>
      <c r="G162" s="32" t="n"/>
      <c r="H162" s="32" t="n"/>
      <c r="I162" s="33" t="n"/>
      <c r="J162" s="33" t="n"/>
      <c r="K162" s="33" t="n"/>
      <c r="L162" s="34" t="str">
        <f>IF(AND(ISNUMBER(I162),ISNUMBER(J162),ISNUMBER(K162)),IF(OR(AND(F162="多",I162&gt;J162),AND(F162="空",I162&lt;J162)),ABS(K162-I162)/ABS(I162-J162),"止损方向不对"),"")</f>
        <v/>
      </c>
      <c r="M162" s="35" t="str">
        <f>IF(AND(ISNUMBER(I162),ISNUMBER(J162)),IF(I162=J162,"",IF(INT(ROUND('参数'!$C$7/(ABS(I162-J162)*IF(N(G162)&gt;0,G162,1)+2*(I162*IF(N(G162)&gt;0,G162,1)*'参数'!$C$12+'参数'!$C$13+'参数'!$C$14*IF(N(G162)&gt;0,G162,1)))/IF(N(H162)&gt;0,H162,1),6))*IF(N(H162)&gt;0,H162,1)&gt;0,INT(ROUND('参数'!$C$7/(ABS(I162-J162)*IF(N(G162)&gt;0,G162,1)+2*(I162*IF(N(G162)&gt;0,G162,1)*'参数'!$C$12+'参数'!$C$13+'参数'!$C$14*IF(N(G162)&gt;0,G162,1)))/IF(N(H162)&gt;0,H162,1),6))*IF(N(H162)&gt;0,H162,1),"预算不足，这笔不做")),"")</f>
        <v/>
      </c>
      <c r="N162" s="36" t="n"/>
      <c r="O162" s="20" t="str">
        <f>IF(AND(ISNUMBER(I162),ISNUMBER(J162),ISNUMBER(N162)),IF(AND(I162&lt;&gt;J162,N162&gt;0),ABS(I162-J162)*N162*IF(N(G162)&gt;0,G162,1),""),"")</f>
        <v/>
      </c>
      <c r="P162" s="31" t="n"/>
      <c r="Q162" s="32" t="n"/>
      <c r="R162" s="37" t="str">
        <f>IF(N(U162)&gt;0,SUMPRODUCT(LARGE(('成交明细'!$A$5:$A$804=A162)*('成交明细'!$D$5:$D$804=IF(F162="空","卖","买"))*'成交明细'!$B$5:$B$804,COUNTIFS('成交明细'!$A$5:$A$804,A162,'成交明细'!$D$5:$D$804,IF(F162="空","卖","买")))),"")</f>
        <v/>
      </c>
      <c r="S162" s="37" t="str">
        <f>IF(AND(N(U162)&gt;0,N(W162)&gt;=N(U162)),SUMPRODUCT(MAX(('成交明细'!$A$5:$A$804=A162)*('成交明细'!$D$5:$D$804=IF(F162="空","买","卖"))*'成交明细'!$B$5:$B$804)),"")</f>
        <v/>
      </c>
      <c r="T162" s="38" t="str">
        <f>IF(N(U162)=0,"",IF(SUMPRODUCT(('成交明细'!$A$5:$A$804=A162)*('成交明细'!$D$5:$D$804=IF(F162="空","卖","买"))*ISNUMBER('成交明细'!$C$5:$C$804))=0,"没填时间",IFERROR(VLOOKUP(MOD(SUMPRODUCT(LARGE(('成交明细'!$A$5:$A$804=A162)*('成交明细'!$D$5:$D$804=IF(F162="空","卖","买"))*('成交明细'!$B$5:$B$804+'成交明细'!$C$5:$C$804),COUNTIFS('成交明细'!$A$5:$A$804,A162,'成交明细'!$D$5:$D$804,IF(F162="空","卖","买")))),1),'参数'!$B$39:$C$48,2,TRUE),"")))</f>
        <v/>
      </c>
      <c r="U162" s="35" t="str">
        <f>IF(A162="","",SUMIFS('成交明细'!$F$5:$F$804,'成交明细'!$A$5:$A$804,A162,'成交明细'!$D$5:$D$804,IF(F162="空","卖","买")))</f>
        <v/>
      </c>
      <c r="V162" s="39" t="str">
        <f>IF(N(U162)&gt;0,SUMIFS('成交明细'!$H$5:$H$804,'成交明细'!$A$5:$A$804,A162,'成交明细'!$D$5:$D$804,IF(F162="空","卖","买"))/U162,"")</f>
        <v/>
      </c>
      <c r="W162" s="35" t="str">
        <f>IF(A162="","",SUMIFS('成交明细'!$F$5:$F$804,'成交明细'!$A$5:$A$804,A162,'成交明细'!$D$5:$D$804,IF(F162="空","买","卖")))</f>
        <v/>
      </c>
      <c r="X162" s="39" t="str">
        <f>IF(N(W162)&gt;0,SUMIFS('成交明细'!$H$5:$H$804,'成交明细'!$A$5:$A$804,A162,'成交明细'!$D$5:$D$804,IF(F162="空","买","卖"))/W162,"")</f>
        <v/>
      </c>
      <c r="Y162" s="40" t="str">
        <f>IF(A162="","",IF(Q162&lt;&gt;"已执行",IF(Q162="","未填执行情况",Q162),IF(N(U162)=0,"待录成交",IF(N(W162)&gt;N(U162),"平仓多于开仓",IF(N(W162)&lt;N(U162),"持仓中","已平仓")))))</f>
        <v/>
      </c>
      <c r="Z162" s="41" t="str">
        <f>IF(N(U162)=0,"",SUMIFS('成交明细'!$L$5:$L$804,'成交明细'!$A$5:$A$804,A162))</f>
        <v/>
      </c>
      <c r="AA162" s="42" t="str">
        <f>IF(Y162&lt;&gt;"已平仓","",(SUMIFS('成交明细'!$H$5:$H$804,'成交明细'!$A$5:$A$804,A162,'成交明细'!$D$5:$D$804,"卖")-SUMIFS('成交明细'!$H$5:$H$804,'成交明细'!$A$5:$A$804,A162,'成交明细'!$D$5:$D$804,"买"))*IF(N(G162)&gt;0,G162,1)-Z162)</f>
        <v/>
      </c>
      <c r="AB162" s="43" t="str">
        <f>IF(AND(Y162="已平仓",ISNUMBER(O162)),(SUMIFS('成交明细'!$H$5:$H$804,'成交明细'!$A$5:$A$804,A162,'成交明细'!$D$5:$D$804,"卖")-SUMIFS('成交明细'!$H$5:$H$804,'成交明细'!$A$5:$A$804,A162,'成交明细'!$D$5:$D$804,"买"))*IF(N(G162)&gt;0,G162,1)/O162,"")</f>
        <v/>
      </c>
      <c r="AC162" s="43" t="str">
        <f>IF(AND(Y162="已平仓",ISNUMBER(O162)),AA162/O162,"")</f>
        <v/>
      </c>
      <c r="AD162" s="44" t="str">
        <f>IF(AND(ISNUMBER(V162),ISNUMBER(I162)),IF(F162="空",I162-V162,V162-I162),"")</f>
        <v/>
      </c>
      <c r="AE162" s="44" t="str">
        <f>IF(OR(NOT(ISNUMBER(AA162)),NOT(ISNUMBER(X162))),"",IF(AA162&lt;0,IF(F162="空",X162-J162,J162-X162),IF(NOT(ISNUMBER(K162)),"",IF(F162="空",X162-K162,K162-X162))))</f>
        <v/>
      </c>
      <c r="AF162" s="32" t="n"/>
      <c r="AG162" s="32" t="n"/>
      <c r="AH162" s="31" t="n"/>
      <c r="AI162" s="43" t="str">
        <f>IF(A162="","",SUM(AC$5:AC162))</f>
        <v/>
      </c>
      <c r="AJ162" s="45" t="str">
        <f>IF(A162="","",MAX(0,MAX(AI$5:AI162))-AI162)</f>
        <v/>
      </c>
    </row>
    <row r="163">
      <c r="A163" s="29" t="n"/>
      <c r="B163" s="30" t="n"/>
      <c r="C163" s="31" t="n"/>
      <c r="D163" s="32" t="n"/>
      <c r="E163" s="32" t="n"/>
      <c r="F163" s="32" t="n"/>
      <c r="G163" s="32" t="n"/>
      <c r="H163" s="32" t="n"/>
      <c r="I163" s="33" t="n"/>
      <c r="J163" s="33" t="n"/>
      <c r="K163" s="33" t="n"/>
      <c r="L163" s="34" t="str">
        <f>IF(AND(ISNUMBER(I163),ISNUMBER(J163),ISNUMBER(K163)),IF(OR(AND(F163="多",I163&gt;J163),AND(F163="空",I163&lt;J163)),ABS(K163-I163)/ABS(I163-J163),"止损方向不对"),"")</f>
        <v/>
      </c>
      <c r="M163" s="35" t="str">
        <f>IF(AND(ISNUMBER(I163),ISNUMBER(J163)),IF(I163=J163,"",IF(INT(ROUND('参数'!$C$7/(ABS(I163-J163)*IF(N(G163)&gt;0,G163,1)+2*(I163*IF(N(G163)&gt;0,G163,1)*'参数'!$C$12+'参数'!$C$13+'参数'!$C$14*IF(N(G163)&gt;0,G163,1)))/IF(N(H163)&gt;0,H163,1),6))*IF(N(H163)&gt;0,H163,1)&gt;0,INT(ROUND('参数'!$C$7/(ABS(I163-J163)*IF(N(G163)&gt;0,G163,1)+2*(I163*IF(N(G163)&gt;0,G163,1)*'参数'!$C$12+'参数'!$C$13+'参数'!$C$14*IF(N(G163)&gt;0,G163,1)))/IF(N(H163)&gt;0,H163,1),6))*IF(N(H163)&gt;0,H163,1),"预算不足，这笔不做")),"")</f>
        <v/>
      </c>
      <c r="N163" s="36" t="n"/>
      <c r="O163" s="20" t="str">
        <f>IF(AND(ISNUMBER(I163),ISNUMBER(J163),ISNUMBER(N163)),IF(AND(I163&lt;&gt;J163,N163&gt;0),ABS(I163-J163)*N163*IF(N(G163)&gt;0,G163,1),""),"")</f>
        <v/>
      </c>
      <c r="P163" s="31" t="n"/>
      <c r="Q163" s="32" t="n"/>
      <c r="R163" s="37" t="str">
        <f>IF(N(U163)&gt;0,SUMPRODUCT(LARGE(('成交明细'!$A$5:$A$804=A163)*('成交明细'!$D$5:$D$804=IF(F163="空","卖","买"))*'成交明细'!$B$5:$B$804,COUNTIFS('成交明细'!$A$5:$A$804,A163,'成交明细'!$D$5:$D$804,IF(F163="空","卖","买")))),"")</f>
        <v/>
      </c>
      <c r="S163" s="37" t="str">
        <f>IF(AND(N(U163)&gt;0,N(W163)&gt;=N(U163)),SUMPRODUCT(MAX(('成交明细'!$A$5:$A$804=A163)*('成交明细'!$D$5:$D$804=IF(F163="空","买","卖"))*'成交明细'!$B$5:$B$804)),"")</f>
        <v/>
      </c>
      <c r="T163" s="38" t="str">
        <f>IF(N(U163)=0,"",IF(SUMPRODUCT(('成交明细'!$A$5:$A$804=A163)*('成交明细'!$D$5:$D$804=IF(F163="空","卖","买"))*ISNUMBER('成交明细'!$C$5:$C$804))=0,"没填时间",IFERROR(VLOOKUP(MOD(SUMPRODUCT(LARGE(('成交明细'!$A$5:$A$804=A163)*('成交明细'!$D$5:$D$804=IF(F163="空","卖","买"))*('成交明细'!$B$5:$B$804+'成交明细'!$C$5:$C$804),COUNTIFS('成交明细'!$A$5:$A$804,A163,'成交明细'!$D$5:$D$804,IF(F163="空","卖","买")))),1),'参数'!$B$39:$C$48,2,TRUE),"")))</f>
        <v/>
      </c>
      <c r="U163" s="35" t="str">
        <f>IF(A163="","",SUMIFS('成交明细'!$F$5:$F$804,'成交明细'!$A$5:$A$804,A163,'成交明细'!$D$5:$D$804,IF(F163="空","卖","买")))</f>
        <v/>
      </c>
      <c r="V163" s="39" t="str">
        <f>IF(N(U163)&gt;0,SUMIFS('成交明细'!$H$5:$H$804,'成交明细'!$A$5:$A$804,A163,'成交明细'!$D$5:$D$804,IF(F163="空","卖","买"))/U163,"")</f>
        <v/>
      </c>
      <c r="W163" s="35" t="str">
        <f>IF(A163="","",SUMIFS('成交明细'!$F$5:$F$804,'成交明细'!$A$5:$A$804,A163,'成交明细'!$D$5:$D$804,IF(F163="空","买","卖")))</f>
        <v/>
      </c>
      <c r="X163" s="39" t="str">
        <f>IF(N(W163)&gt;0,SUMIFS('成交明细'!$H$5:$H$804,'成交明细'!$A$5:$A$804,A163,'成交明细'!$D$5:$D$804,IF(F163="空","买","卖"))/W163,"")</f>
        <v/>
      </c>
      <c r="Y163" s="40" t="str">
        <f>IF(A163="","",IF(Q163&lt;&gt;"已执行",IF(Q163="","未填执行情况",Q163),IF(N(U163)=0,"待录成交",IF(N(W163)&gt;N(U163),"平仓多于开仓",IF(N(W163)&lt;N(U163),"持仓中","已平仓")))))</f>
        <v/>
      </c>
      <c r="Z163" s="41" t="str">
        <f>IF(N(U163)=0,"",SUMIFS('成交明细'!$L$5:$L$804,'成交明细'!$A$5:$A$804,A163))</f>
        <v/>
      </c>
      <c r="AA163" s="42" t="str">
        <f>IF(Y163&lt;&gt;"已平仓","",(SUMIFS('成交明细'!$H$5:$H$804,'成交明细'!$A$5:$A$804,A163,'成交明细'!$D$5:$D$804,"卖")-SUMIFS('成交明细'!$H$5:$H$804,'成交明细'!$A$5:$A$804,A163,'成交明细'!$D$5:$D$804,"买"))*IF(N(G163)&gt;0,G163,1)-Z163)</f>
        <v/>
      </c>
      <c r="AB163" s="43" t="str">
        <f>IF(AND(Y163="已平仓",ISNUMBER(O163)),(SUMIFS('成交明细'!$H$5:$H$804,'成交明细'!$A$5:$A$804,A163,'成交明细'!$D$5:$D$804,"卖")-SUMIFS('成交明细'!$H$5:$H$804,'成交明细'!$A$5:$A$804,A163,'成交明细'!$D$5:$D$804,"买"))*IF(N(G163)&gt;0,G163,1)/O163,"")</f>
        <v/>
      </c>
      <c r="AC163" s="43" t="str">
        <f>IF(AND(Y163="已平仓",ISNUMBER(O163)),AA163/O163,"")</f>
        <v/>
      </c>
      <c r="AD163" s="44" t="str">
        <f>IF(AND(ISNUMBER(V163),ISNUMBER(I163)),IF(F163="空",I163-V163,V163-I163),"")</f>
        <v/>
      </c>
      <c r="AE163" s="44" t="str">
        <f>IF(OR(NOT(ISNUMBER(AA163)),NOT(ISNUMBER(X163))),"",IF(AA163&lt;0,IF(F163="空",X163-J163,J163-X163),IF(NOT(ISNUMBER(K163)),"",IF(F163="空",X163-K163,K163-X163))))</f>
        <v/>
      </c>
      <c r="AF163" s="32" t="n"/>
      <c r="AG163" s="32" t="n"/>
      <c r="AH163" s="31" t="n"/>
      <c r="AI163" s="43" t="str">
        <f>IF(A163="","",SUM(AC$5:AC163))</f>
        <v/>
      </c>
      <c r="AJ163" s="45" t="str">
        <f>IF(A163="","",MAX(0,MAX(AI$5:AI163))-AI163)</f>
        <v/>
      </c>
    </row>
    <row r="164">
      <c r="A164" s="29" t="n"/>
      <c r="B164" s="30" t="n"/>
      <c r="C164" s="31" t="n"/>
      <c r="D164" s="32" t="n"/>
      <c r="E164" s="32" t="n"/>
      <c r="F164" s="32" t="n"/>
      <c r="G164" s="32" t="n"/>
      <c r="H164" s="32" t="n"/>
      <c r="I164" s="33" t="n"/>
      <c r="J164" s="33" t="n"/>
      <c r="K164" s="33" t="n"/>
      <c r="L164" s="34" t="str">
        <f>IF(AND(ISNUMBER(I164),ISNUMBER(J164),ISNUMBER(K164)),IF(OR(AND(F164="多",I164&gt;J164),AND(F164="空",I164&lt;J164)),ABS(K164-I164)/ABS(I164-J164),"止损方向不对"),"")</f>
        <v/>
      </c>
      <c r="M164" s="35" t="str">
        <f>IF(AND(ISNUMBER(I164),ISNUMBER(J164)),IF(I164=J164,"",IF(INT(ROUND('参数'!$C$7/(ABS(I164-J164)*IF(N(G164)&gt;0,G164,1)+2*(I164*IF(N(G164)&gt;0,G164,1)*'参数'!$C$12+'参数'!$C$13+'参数'!$C$14*IF(N(G164)&gt;0,G164,1)))/IF(N(H164)&gt;0,H164,1),6))*IF(N(H164)&gt;0,H164,1)&gt;0,INT(ROUND('参数'!$C$7/(ABS(I164-J164)*IF(N(G164)&gt;0,G164,1)+2*(I164*IF(N(G164)&gt;0,G164,1)*'参数'!$C$12+'参数'!$C$13+'参数'!$C$14*IF(N(G164)&gt;0,G164,1)))/IF(N(H164)&gt;0,H164,1),6))*IF(N(H164)&gt;0,H164,1),"预算不足，这笔不做")),"")</f>
        <v/>
      </c>
      <c r="N164" s="36" t="n"/>
      <c r="O164" s="20" t="str">
        <f>IF(AND(ISNUMBER(I164),ISNUMBER(J164),ISNUMBER(N164)),IF(AND(I164&lt;&gt;J164,N164&gt;0),ABS(I164-J164)*N164*IF(N(G164)&gt;0,G164,1),""),"")</f>
        <v/>
      </c>
      <c r="P164" s="31" t="n"/>
      <c r="Q164" s="32" t="n"/>
      <c r="R164" s="37" t="str">
        <f>IF(N(U164)&gt;0,SUMPRODUCT(LARGE(('成交明细'!$A$5:$A$804=A164)*('成交明细'!$D$5:$D$804=IF(F164="空","卖","买"))*'成交明细'!$B$5:$B$804,COUNTIFS('成交明细'!$A$5:$A$804,A164,'成交明细'!$D$5:$D$804,IF(F164="空","卖","买")))),"")</f>
        <v/>
      </c>
      <c r="S164" s="37" t="str">
        <f>IF(AND(N(U164)&gt;0,N(W164)&gt;=N(U164)),SUMPRODUCT(MAX(('成交明细'!$A$5:$A$804=A164)*('成交明细'!$D$5:$D$804=IF(F164="空","买","卖"))*'成交明细'!$B$5:$B$804)),"")</f>
        <v/>
      </c>
      <c r="T164" s="38" t="str">
        <f>IF(N(U164)=0,"",IF(SUMPRODUCT(('成交明细'!$A$5:$A$804=A164)*('成交明细'!$D$5:$D$804=IF(F164="空","卖","买"))*ISNUMBER('成交明细'!$C$5:$C$804))=0,"没填时间",IFERROR(VLOOKUP(MOD(SUMPRODUCT(LARGE(('成交明细'!$A$5:$A$804=A164)*('成交明细'!$D$5:$D$804=IF(F164="空","卖","买"))*('成交明细'!$B$5:$B$804+'成交明细'!$C$5:$C$804),COUNTIFS('成交明细'!$A$5:$A$804,A164,'成交明细'!$D$5:$D$804,IF(F164="空","卖","买")))),1),'参数'!$B$39:$C$48,2,TRUE),"")))</f>
        <v/>
      </c>
      <c r="U164" s="35" t="str">
        <f>IF(A164="","",SUMIFS('成交明细'!$F$5:$F$804,'成交明细'!$A$5:$A$804,A164,'成交明细'!$D$5:$D$804,IF(F164="空","卖","买")))</f>
        <v/>
      </c>
      <c r="V164" s="39" t="str">
        <f>IF(N(U164)&gt;0,SUMIFS('成交明细'!$H$5:$H$804,'成交明细'!$A$5:$A$804,A164,'成交明细'!$D$5:$D$804,IF(F164="空","卖","买"))/U164,"")</f>
        <v/>
      </c>
      <c r="W164" s="35" t="str">
        <f>IF(A164="","",SUMIFS('成交明细'!$F$5:$F$804,'成交明细'!$A$5:$A$804,A164,'成交明细'!$D$5:$D$804,IF(F164="空","买","卖")))</f>
        <v/>
      </c>
      <c r="X164" s="39" t="str">
        <f>IF(N(W164)&gt;0,SUMIFS('成交明细'!$H$5:$H$804,'成交明细'!$A$5:$A$804,A164,'成交明细'!$D$5:$D$804,IF(F164="空","买","卖"))/W164,"")</f>
        <v/>
      </c>
      <c r="Y164" s="40" t="str">
        <f>IF(A164="","",IF(Q164&lt;&gt;"已执行",IF(Q164="","未填执行情况",Q164),IF(N(U164)=0,"待录成交",IF(N(W164)&gt;N(U164),"平仓多于开仓",IF(N(W164)&lt;N(U164),"持仓中","已平仓")))))</f>
        <v/>
      </c>
      <c r="Z164" s="41" t="str">
        <f>IF(N(U164)=0,"",SUMIFS('成交明细'!$L$5:$L$804,'成交明细'!$A$5:$A$804,A164))</f>
        <v/>
      </c>
      <c r="AA164" s="42" t="str">
        <f>IF(Y164&lt;&gt;"已平仓","",(SUMIFS('成交明细'!$H$5:$H$804,'成交明细'!$A$5:$A$804,A164,'成交明细'!$D$5:$D$804,"卖")-SUMIFS('成交明细'!$H$5:$H$804,'成交明细'!$A$5:$A$804,A164,'成交明细'!$D$5:$D$804,"买"))*IF(N(G164)&gt;0,G164,1)-Z164)</f>
        <v/>
      </c>
      <c r="AB164" s="43" t="str">
        <f>IF(AND(Y164="已平仓",ISNUMBER(O164)),(SUMIFS('成交明细'!$H$5:$H$804,'成交明细'!$A$5:$A$804,A164,'成交明细'!$D$5:$D$804,"卖")-SUMIFS('成交明细'!$H$5:$H$804,'成交明细'!$A$5:$A$804,A164,'成交明细'!$D$5:$D$804,"买"))*IF(N(G164)&gt;0,G164,1)/O164,"")</f>
        <v/>
      </c>
      <c r="AC164" s="43" t="str">
        <f>IF(AND(Y164="已平仓",ISNUMBER(O164)),AA164/O164,"")</f>
        <v/>
      </c>
      <c r="AD164" s="44" t="str">
        <f>IF(AND(ISNUMBER(V164),ISNUMBER(I164)),IF(F164="空",I164-V164,V164-I164),"")</f>
        <v/>
      </c>
      <c r="AE164" s="44" t="str">
        <f>IF(OR(NOT(ISNUMBER(AA164)),NOT(ISNUMBER(X164))),"",IF(AA164&lt;0,IF(F164="空",X164-J164,J164-X164),IF(NOT(ISNUMBER(K164)),"",IF(F164="空",X164-K164,K164-X164))))</f>
        <v/>
      </c>
      <c r="AF164" s="32" t="n"/>
      <c r="AG164" s="32" t="n"/>
      <c r="AH164" s="31" t="n"/>
      <c r="AI164" s="43" t="str">
        <f>IF(A164="","",SUM(AC$5:AC164))</f>
        <v/>
      </c>
      <c r="AJ164" s="45" t="str">
        <f>IF(A164="","",MAX(0,MAX(AI$5:AI164))-AI164)</f>
        <v/>
      </c>
    </row>
    <row r="165">
      <c r="A165" s="29" t="n"/>
      <c r="B165" s="30" t="n"/>
      <c r="C165" s="31" t="n"/>
      <c r="D165" s="32" t="n"/>
      <c r="E165" s="32" t="n"/>
      <c r="F165" s="32" t="n"/>
      <c r="G165" s="32" t="n"/>
      <c r="H165" s="32" t="n"/>
      <c r="I165" s="33" t="n"/>
      <c r="J165" s="33" t="n"/>
      <c r="K165" s="33" t="n"/>
      <c r="L165" s="34" t="str">
        <f>IF(AND(ISNUMBER(I165),ISNUMBER(J165),ISNUMBER(K165)),IF(OR(AND(F165="多",I165&gt;J165),AND(F165="空",I165&lt;J165)),ABS(K165-I165)/ABS(I165-J165),"止损方向不对"),"")</f>
        <v/>
      </c>
      <c r="M165" s="35" t="str">
        <f>IF(AND(ISNUMBER(I165),ISNUMBER(J165)),IF(I165=J165,"",IF(INT(ROUND('参数'!$C$7/(ABS(I165-J165)*IF(N(G165)&gt;0,G165,1)+2*(I165*IF(N(G165)&gt;0,G165,1)*'参数'!$C$12+'参数'!$C$13+'参数'!$C$14*IF(N(G165)&gt;0,G165,1)))/IF(N(H165)&gt;0,H165,1),6))*IF(N(H165)&gt;0,H165,1)&gt;0,INT(ROUND('参数'!$C$7/(ABS(I165-J165)*IF(N(G165)&gt;0,G165,1)+2*(I165*IF(N(G165)&gt;0,G165,1)*'参数'!$C$12+'参数'!$C$13+'参数'!$C$14*IF(N(G165)&gt;0,G165,1)))/IF(N(H165)&gt;0,H165,1),6))*IF(N(H165)&gt;0,H165,1),"预算不足，这笔不做")),"")</f>
        <v/>
      </c>
      <c r="N165" s="36" t="n"/>
      <c r="O165" s="20" t="str">
        <f>IF(AND(ISNUMBER(I165),ISNUMBER(J165),ISNUMBER(N165)),IF(AND(I165&lt;&gt;J165,N165&gt;0),ABS(I165-J165)*N165*IF(N(G165)&gt;0,G165,1),""),"")</f>
        <v/>
      </c>
      <c r="P165" s="31" t="n"/>
      <c r="Q165" s="32" t="n"/>
      <c r="R165" s="37" t="str">
        <f>IF(N(U165)&gt;0,SUMPRODUCT(LARGE(('成交明细'!$A$5:$A$804=A165)*('成交明细'!$D$5:$D$804=IF(F165="空","卖","买"))*'成交明细'!$B$5:$B$804,COUNTIFS('成交明细'!$A$5:$A$804,A165,'成交明细'!$D$5:$D$804,IF(F165="空","卖","买")))),"")</f>
        <v/>
      </c>
      <c r="S165" s="37" t="str">
        <f>IF(AND(N(U165)&gt;0,N(W165)&gt;=N(U165)),SUMPRODUCT(MAX(('成交明细'!$A$5:$A$804=A165)*('成交明细'!$D$5:$D$804=IF(F165="空","买","卖"))*'成交明细'!$B$5:$B$804)),"")</f>
        <v/>
      </c>
      <c r="T165" s="38" t="str">
        <f>IF(N(U165)=0,"",IF(SUMPRODUCT(('成交明细'!$A$5:$A$804=A165)*('成交明细'!$D$5:$D$804=IF(F165="空","卖","买"))*ISNUMBER('成交明细'!$C$5:$C$804))=0,"没填时间",IFERROR(VLOOKUP(MOD(SUMPRODUCT(LARGE(('成交明细'!$A$5:$A$804=A165)*('成交明细'!$D$5:$D$804=IF(F165="空","卖","买"))*('成交明细'!$B$5:$B$804+'成交明细'!$C$5:$C$804),COUNTIFS('成交明细'!$A$5:$A$804,A165,'成交明细'!$D$5:$D$804,IF(F165="空","卖","买")))),1),'参数'!$B$39:$C$48,2,TRUE),"")))</f>
        <v/>
      </c>
      <c r="U165" s="35" t="str">
        <f>IF(A165="","",SUMIFS('成交明细'!$F$5:$F$804,'成交明细'!$A$5:$A$804,A165,'成交明细'!$D$5:$D$804,IF(F165="空","卖","买")))</f>
        <v/>
      </c>
      <c r="V165" s="39" t="str">
        <f>IF(N(U165)&gt;0,SUMIFS('成交明细'!$H$5:$H$804,'成交明细'!$A$5:$A$804,A165,'成交明细'!$D$5:$D$804,IF(F165="空","卖","买"))/U165,"")</f>
        <v/>
      </c>
      <c r="W165" s="35" t="str">
        <f>IF(A165="","",SUMIFS('成交明细'!$F$5:$F$804,'成交明细'!$A$5:$A$804,A165,'成交明细'!$D$5:$D$804,IF(F165="空","买","卖")))</f>
        <v/>
      </c>
      <c r="X165" s="39" t="str">
        <f>IF(N(W165)&gt;0,SUMIFS('成交明细'!$H$5:$H$804,'成交明细'!$A$5:$A$804,A165,'成交明细'!$D$5:$D$804,IF(F165="空","买","卖"))/W165,"")</f>
        <v/>
      </c>
      <c r="Y165" s="40" t="str">
        <f>IF(A165="","",IF(Q165&lt;&gt;"已执行",IF(Q165="","未填执行情况",Q165),IF(N(U165)=0,"待录成交",IF(N(W165)&gt;N(U165),"平仓多于开仓",IF(N(W165)&lt;N(U165),"持仓中","已平仓")))))</f>
        <v/>
      </c>
      <c r="Z165" s="41" t="str">
        <f>IF(N(U165)=0,"",SUMIFS('成交明细'!$L$5:$L$804,'成交明细'!$A$5:$A$804,A165))</f>
        <v/>
      </c>
      <c r="AA165" s="42" t="str">
        <f>IF(Y165&lt;&gt;"已平仓","",(SUMIFS('成交明细'!$H$5:$H$804,'成交明细'!$A$5:$A$804,A165,'成交明细'!$D$5:$D$804,"卖")-SUMIFS('成交明细'!$H$5:$H$804,'成交明细'!$A$5:$A$804,A165,'成交明细'!$D$5:$D$804,"买"))*IF(N(G165)&gt;0,G165,1)-Z165)</f>
        <v/>
      </c>
      <c r="AB165" s="43" t="str">
        <f>IF(AND(Y165="已平仓",ISNUMBER(O165)),(SUMIFS('成交明细'!$H$5:$H$804,'成交明细'!$A$5:$A$804,A165,'成交明细'!$D$5:$D$804,"卖")-SUMIFS('成交明细'!$H$5:$H$804,'成交明细'!$A$5:$A$804,A165,'成交明细'!$D$5:$D$804,"买"))*IF(N(G165)&gt;0,G165,1)/O165,"")</f>
        <v/>
      </c>
      <c r="AC165" s="43" t="str">
        <f>IF(AND(Y165="已平仓",ISNUMBER(O165)),AA165/O165,"")</f>
        <v/>
      </c>
      <c r="AD165" s="44" t="str">
        <f>IF(AND(ISNUMBER(V165),ISNUMBER(I165)),IF(F165="空",I165-V165,V165-I165),"")</f>
        <v/>
      </c>
      <c r="AE165" s="44" t="str">
        <f>IF(OR(NOT(ISNUMBER(AA165)),NOT(ISNUMBER(X165))),"",IF(AA165&lt;0,IF(F165="空",X165-J165,J165-X165),IF(NOT(ISNUMBER(K165)),"",IF(F165="空",X165-K165,K165-X165))))</f>
        <v/>
      </c>
      <c r="AF165" s="32" t="n"/>
      <c r="AG165" s="32" t="n"/>
      <c r="AH165" s="31" t="n"/>
      <c r="AI165" s="43" t="str">
        <f>IF(A165="","",SUM(AC$5:AC165))</f>
        <v/>
      </c>
      <c r="AJ165" s="45" t="str">
        <f>IF(A165="","",MAX(0,MAX(AI$5:AI165))-AI165)</f>
        <v/>
      </c>
    </row>
    <row r="166">
      <c r="A166" s="29" t="n"/>
      <c r="B166" s="30" t="n"/>
      <c r="C166" s="31" t="n"/>
      <c r="D166" s="32" t="n"/>
      <c r="E166" s="32" t="n"/>
      <c r="F166" s="32" t="n"/>
      <c r="G166" s="32" t="n"/>
      <c r="H166" s="32" t="n"/>
      <c r="I166" s="33" t="n"/>
      <c r="J166" s="33" t="n"/>
      <c r="K166" s="33" t="n"/>
      <c r="L166" s="34" t="str">
        <f>IF(AND(ISNUMBER(I166),ISNUMBER(J166),ISNUMBER(K166)),IF(OR(AND(F166="多",I166&gt;J166),AND(F166="空",I166&lt;J166)),ABS(K166-I166)/ABS(I166-J166),"止损方向不对"),"")</f>
        <v/>
      </c>
      <c r="M166" s="35" t="str">
        <f>IF(AND(ISNUMBER(I166),ISNUMBER(J166)),IF(I166=J166,"",IF(INT(ROUND('参数'!$C$7/(ABS(I166-J166)*IF(N(G166)&gt;0,G166,1)+2*(I166*IF(N(G166)&gt;0,G166,1)*'参数'!$C$12+'参数'!$C$13+'参数'!$C$14*IF(N(G166)&gt;0,G166,1)))/IF(N(H166)&gt;0,H166,1),6))*IF(N(H166)&gt;0,H166,1)&gt;0,INT(ROUND('参数'!$C$7/(ABS(I166-J166)*IF(N(G166)&gt;0,G166,1)+2*(I166*IF(N(G166)&gt;0,G166,1)*'参数'!$C$12+'参数'!$C$13+'参数'!$C$14*IF(N(G166)&gt;0,G166,1)))/IF(N(H166)&gt;0,H166,1),6))*IF(N(H166)&gt;0,H166,1),"预算不足，这笔不做")),"")</f>
        <v/>
      </c>
      <c r="N166" s="36" t="n"/>
      <c r="O166" s="20" t="str">
        <f>IF(AND(ISNUMBER(I166),ISNUMBER(J166),ISNUMBER(N166)),IF(AND(I166&lt;&gt;J166,N166&gt;0),ABS(I166-J166)*N166*IF(N(G166)&gt;0,G166,1),""),"")</f>
        <v/>
      </c>
      <c r="P166" s="31" t="n"/>
      <c r="Q166" s="32" t="n"/>
      <c r="R166" s="37" t="str">
        <f>IF(N(U166)&gt;0,SUMPRODUCT(LARGE(('成交明细'!$A$5:$A$804=A166)*('成交明细'!$D$5:$D$804=IF(F166="空","卖","买"))*'成交明细'!$B$5:$B$804,COUNTIFS('成交明细'!$A$5:$A$804,A166,'成交明细'!$D$5:$D$804,IF(F166="空","卖","买")))),"")</f>
        <v/>
      </c>
      <c r="S166" s="37" t="str">
        <f>IF(AND(N(U166)&gt;0,N(W166)&gt;=N(U166)),SUMPRODUCT(MAX(('成交明细'!$A$5:$A$804=A166)*('成交明细'!$D$5:$D$804=IF(F166="空","买","卖"))*'成交明细'!$B$5:$B$804)),"")</f>
        <v/>
      </c>
      <c r="T166" s="38" t="str">
        <f>IF(N(U166)=0,"",IF(SUMPRODUCT(('成交明细'!$A$5:$A$804=A166)*('成交明细'!$D$5:$D$804=IF(F166="空","卖","买"))*ISNUMBER('成交明细'!$C$5:$C$804))=0,"没填时间",IFERROR(VLOOKUP(MOD(SUMPRODUCT(LARGE(('成交明细'!$A$5:$A$804=A166)*('成交明细'!$D$5:$D$804=IF(F166="空","卖","买"))*('成交明细'!$B$5:$B$804+'成交明细'!$C$5:$C$804),COUNTIFS('成交明细'!$A$5:$A$804,A166,'成交明细'!$D$5:$D$804,IF(F166="空","卖","买")))),1),'参数'!$B$39:$C$48,2,TRUE),"")))</f>
        <v/>
      </c>
      <c r="U166" s="35" t="str">
        <f>IF(A166="","",SUMIFS('成交明细'!$F$5:$F$804,'成交明细'!$A$5:$A$804,A166,'成交明细'!$D$5:$D$804,IF(F166="空","卖","买")))</f>
        <v/>
      </c>
      <c r="V166" s="39" t="str">
        <f>IF(N(U166)&gt;0,SUMIFS('成交明细'!$H$5:$H$804,'成交明细'!$A$5:$A$804,A166,'成交明细'!$D$5:$D$804,IF(F166="空","卖","买"))/U166,"")</f>
        <v/>
      </c>
      <c r="W166" s="35" t="str">
        <f>IF(A166="","",SUMIFS('成交明细'!$F$5:$F$804,'成交明细'!$A$5:$A$804,A166,'成交明细'!$D$5:$D$804,IF(F166="空","买","卖")))</f>
        <v/>
      </c>
      <c r="X166" s="39" t="str">
        <f>IF(N(W166)&gt;0,SUMIFS('成交明细'!$H$5:$H$804,'成交明细'!$A$5:$A$804,A166,'成交明细'!$D$5:$D$804,IF(F166="空","买","卖"))/W166,"")</f>
        <v/>
      </c>
      <c r="Y166" s="40" t="str">
        <f>IF(A166="","",IF(Q166&lt;&gt;"已执行",IF(Q166="","未填执行情况",Q166),IF(N(U166)=0,"待录成交",IF(N(W166)&gt;N(U166),"平仓多于开仓",IF(N(W166)&lt;N(U166),"持仓中","已平仓")))))</f>
        <v/>
      </c>
      <c r="Z166" s="41" t="str">
        <f>IF(N(U166)=0,"",SUMIFS('成交明细'!$L$5:$L$804,'成交明细'!$A$5:$A$804,A166))</f>
        <v/>
      </c>
      <c r="AA166" s="42" t="str">
        <f>IF(Y166&lt;&gt;"已平仓","",(SUMIFS('成交明细'!$H$5:$H$804,'成交明细'!$A$5:$A$804,A166,'成交明细'!$D$5:$D$804,"卖")-SUMIFS('成交明细'!$H$5:$H$804,'成交明细'!$A$5:$A$804,A166,'成交明细'!$D$5:$D$804,"买"))*IF(N(G166)&gt;0,G166,1)-Z166)</f>
        <v/>
      </c>
      <c r="AB166" s="43" t="str">
        <f>IF(AND(Y166="已平仓",ISNUMBER(O166)),(SUMIFS('成交明细'!$H$5:$H$804,'成交明细'!$A$5:$A$804,A166,'成交明细'!$D$5:$D$804,"卖")-SUMIFS('成交明细'!$H$5:$H$804,'成交明细'!$A$5:$A$804,A166,'成交明细'!$D$5:$D$804,"买"))*IF(N(G166)&gt;0,G166,1)/O166,"")</f>
        <v/>
      </c>
      <c r="AC166" s="43" t="str">
        <f>IF(AND(Y166="已平仓",ISNUMBER(O166)),AA166/O166,"")</f>
        <v/>
      </c>
      <c r="AD166" s="44" t="str">
        <f>IF(AND(ISNUMBER(V166),ISNUMBER(I166)),IF(F166="空",I166-V166,V166-I166),"")</f>
        <v/>
      </c>
      <c r="AE166" s="44" t="str">
        <f>IF(OR(NOT(ISNUMBER(AA166)),NOT(ISNUMBER(X166))),"",IF(AA166&lt;0,IF(F166="空",X166-J166,J166-X166),IF(NOT(ISNUMBER(K166)),"",IF(F166="空",X166-K166,K166-X166))))</f>
        <v/>
      </c>
      <c r="AF166" s="32" t="n"/>
      <c r="AG166" s="32" t="n"/>
      <c r="AH166" s="31" t="n"/>
      <c r="AI166" s="43" t="str">
        <f>IF(A166="","",SUM(AC$5:AC166))</f>
        <v/>
      </c>
      <c r="AJ166" s="45" t="str">
        <f>IF(A166="","",MAX(0,MAX(AI$5:AI166))-AI166)</f>
        <v/>
      </c>
    </row>
    <row r="167">
      <c r="A167" s="29" t="n"/>
      <c r="B167" s="30" t="n"/>
      <c r="C167" s="31" t="n"/>
      <c r="D167" s="32" t="n"/>
      <c r="E167" s="32" t="n"/>
      <c r="F167" s="32" t="n"/>
      <c r="G167" s="32" t="n"/>
      <c r="H167" s="32" t="n"/>
      <c r="I167" s="33" t="n"/>
      <c r="J167" s="33" t="n"/>
      <c r="K167" s="33" t="n"/>
      <c r="L167" s="34" t="str">
        <f>IF(AND(ISNUMBER(I167),ISNUMBER(J167),ISNUMBER(K167)),IF(OR(AND(F167="多",I167&gt;J167),AND(F167="空",I167&lt;J167)),ABS(K167-I167)/ABS(I167-J167),"止损方向不对"),"")</f>
        <v/>
      </c>
      <c r="M167" s="35" t="str">
        <f>IF(AND(ISNUMBER(I167),ISNUMBER(J167)),IF(I167=J167,"",IF(INT(ROUND('参数'!$C$7/(ABS(I167-J167)*IF(N(G167)&gt;0,G167,1)+2*(I167*IF(N(G167)&gt;0,G167,1)*'参数'!$C$12+'参数'!$C$13+'参数'!$C$14*IF(N(G167)&gt;0,G167,1)))/IF(N(H167)&gt;0,H167,1),6))*IF(N(H167)&gt;0,H167,1)&gt;0,INT(ROUND('参数'!$C$7/(ABS(I167-J167)*IF(N(G167)&gt;0,G167,1)+2*(I167*IF(N(G167)&gt;0,G167,1)*'参数'!$C$12+'参数'!$C$13+'参数'!$C$14*IF(N(G167)&gt;0,G167,1)))/IF(N(H167)&gt;0,H167,1),6))*IF(N(H167)&gt;0,H167,1),"预算不足，这笔不做")),"")</f>
        <v/>
      </c>
      <c r="N167" s="36" t="n"/>
      <c r="O167" s="20" t="str">
        <f>IF(AND(ISNUMBER(I167),ISNUMBER(J167),ISNUMBER(N167)),IF(AND(I167&lt;&gt;J167,N167&gt;0),ABS(I167-J167)*N167*IF(N(G167)&gt;0,G167,1),""),"")</f>
        <v/>
      </c>
      <c r="P167" s="31" t="n"/>
      <c r="Q167" s="32" t="n"/>
      <c r="R167" s="37" t="str">
        <f>IF(N(U167)&gt;0,SUMPRODUCT(LARGE(('成交明细'!$A$5:$A$804=A167)*('成交明细'!$D$5:$D$804=IF(F167="空","卖","买"))*'成交明细'!$B$5:$B$804,COUNTIFS('成交明细'!$A$5:$A$804,A167,'成交明细'!$D$5:$D$804,IF(F167="空","卖","买")))),"")</f>
        <v/>
      </c>
      <c r="S167" s="37" t="str">
        <f>IF(AND(N(U167)&gt;0,N(W167)&gt;=N(U167)),SUMPRODUCT(MAX(('成交明细'!$A$5:$A$804=A167)*('成交明细'!$D$5:$D$804=IF(F167="空","买","卖"))*'成交明细'!$B$5:$B$804)),"")</f>
        <v/>
      </c>
      <c r="T167" s="38" t="str">
        <f>IF(N(U167)=0,"",IF(SUMPRODUCT(('成交明细'!$A$5:$A$804=A167)*('成交明细'!$D$5:$D$804=IF(F167="空","卖","买"))*ISNUMBER('成交明细'!$C$5:$C$804))=0,"没填时间",IFERROR(VLOOKUP(MOD(SUMPRODUCT(LARGE(('成交明细'!$A$5:$A$804=A167)*('成交明细'!$D$5:$D$804=IF(F167="空","卖","买"))*('成交明细'!$B$5:$B$804+'成交明细'!$C$5:$C$804),COUNTIFS('成交明细'!$A$5:$A$804,A167,'成交明细'!$D$5:$D$804,IF(F167="空","卖","买")))),1),'参数'!$B$39:$C$48,2,TRUE),"")))</f>
        <v/>
      </c>
      <c r="U167" s="35" t="str">
        <f>IF(A167="","",SUMIFS('成交明细'!$F$5:$F$804,'成交明细'!$A$5:$A$804,A167,'成交明细'!$D$5:$D$804,IF(F167="空","卖","买")))</f>
        <v/>
      </c>
      <c r="V167" s="39" t="str">
        <f>IF(N(U167)&gt;0,SUMIFS('成交明细'!$H$5:$H$804,'成交明细'!$A$5:$A$804,A167,'成交明细'!$D$5:$D$804,IF(F167="空","卖","买"))/U167,"")</f>
        <v/>
      </c>
      <c r="W167" s="35" t="str">
        <f>IF(A167="","",SUMIFS('成交明细'!$F$5:$F$804,'成交明细'!$A$5:$A$804,A167,'成交明细'!$D$5:$D$804,IF(F167="空","买","卖")))</f>
        <v/>
      </c>
      <c r="X167" s="39" t="str">
        <f>IF(N(W167)&gt;0,SUMIFS('成交明细'!$H$5:$H$804,'成交明细'!$A$5:$A$804,A167,'成交明细'!$D$5:$D$804,IF(F167="空","买","卖"))/W167,"")</f>
        <v/>
      </c>
      <c r="Y167" s="40" t="str">
        <f>IF(A167="","",IF(Q167&lt;&gt;"已执行",IF(Q167="","未填执行情况",Q167),IF(N(U167)=0,"待录成交",IF(N(W167)&gt;N(U167),"平仓多于开仓",IF(N(W167)&lt;N(U167),"持仓中","已平仓")))))</f>
        <v/>
      </c>
      <c r="Z167" s="41" t="str">
        <f>IF(N(U167)=0,"",SUMIFS('成交明细'!$L$5:$L$804,'成交明细'!$A$5:$A$804,A167))</f>
        <v/>
      </c>
      <c r="AA167" s="42" t="str">
        <f>IF(Y167&lt;&gt;"已平仓","",(SUMIFS('成交明细'!$H$5:$H$804,'成交明细'!$A$5:$A$804,A167,'成交明细'!$D$5:$D$804,"卖")-SUMIFS('成交明细'!$H$5:$H$804,'成交明细'!$A$5:$A$804,A167,'成交明细'!$D$5:$D$804,"买"))*IF(N(G167)&gt;0,G167,1)-Z167)</f>
        <v/>
      </c>
      <c r="AB167" s="43" t="str">
        <f>IF(AND(Y167="已平仓",ISNUMBER(O167)),(SUMIFS('成交明细'!$H$5:$H$804,'成交明细'!$A$5:$A$804,A167,'成交明细'!$D$5:$D$804,"卖")-SUMIFS('成交明细'!$H$5:$H$804,'成交明细'!$A$5:$A$804,A167,'成交明细'!$D$5:$D$804,"买"))*IF(N(G167)&gt;0,G167,1)/O167,"")</f>
        <v/>
      </c>
      <c r="AC167" s="43" t="str">
        <f>IF(AND(Y167="已平仓",ISNUMBER(O167)),AA167/O167,"")</f>
        <v/>
      </c>
      <c r="AD167" s="44" t="str">
        <f>IF(AND(ISNUMBER(V167),ISNUMBER(I167)),IF(F167="空",I167-V167,V167-I167),"")</f>
        <v/>
      </c>
      <c r="AE167" s="44" t="str">
        <f>IF(OR(NOT(ISNUMBER(AA167)),NOT(ISNUMBER(X167))),"",IF(AA167&lt;0,IF(F167="空",X167-J167,J167-X167),IF(NOT(ISNUMBER(K167)),"",IF(F167="空",X167-K167,K167-X167))))</f>
        <v/>
      </c>
      <c r="AF167" s="32" t="n"/>
      <c r="AG167" s="32" t="n"/>
      <c r="AH167" s="31" t="n"/>
      <c r="AI167" s="43" t="str">
        <f>IF(A167="","",SUM(AC$5:AC167))</f>
        <v/>
      </c>
      <c r="AJ167" s="45" t="str">
        <f>IF(A167="","",MAX(0,MAX(AI$5:AI167))-AI167)</f>
        <v/>
      </c>
    </row>
    <row r="168">
      <c r="A168" s="29" t="n"/>
      <c r="B168" s="30" t="n"/>
      <c r="C168" s="31" t="n"/>
      <c r="D168" s="32" t="n"/>
      <c r="E168" s="32" t="n"/>
      <c r="F168" s="32" t="n"/>
      <c r="G168" s="32" t="n"/>
      <c r="H168" s="32" t="n"/>
      <c r="I168" s="33" t="n"/>
      <c r="J168" s="33" t="n"/>
      <c r="K168" s="33" t="n"/>
      <c r="L168" s="34" t="str">
        <f>IF(AND(ISNUMBER(I168),ISNUMBER(J168),ISNUMBER(K168)),IF(OR(AND(F168="多",I168&gt;J168),AND(F168="空",I168&lt;J168)),ABS(K168-I168)/ABS(I168-J168),"止损方向不对"),"")</f>
        <v/>
      </c>
      <c r="M168" s="35" t="str">
        <f>IF(AND(ISNUMBER(I168),ISNUMBER(J168)),IF(I168=J168,"",IF(INT(ROUND('参数'!$C$7/(ABS(I168-J168)*IF(N(G168)&gt;0,G168,1)+2*(I168*IF(N(G168)&gt;0,G168,1)*'参数'!$C$12+'参数'!$C$13+'参数'!$C$14*IF(N(G168)&gt;0,G168,1)))/IF(N(H168)&gt;0,H168,1),6))*IF(N(H168)&gt;0,H168,1)&gt;0,INT(ROUND('参数'!$C$7/(ABS(I168-J168)*IF(N(G168)&gt;0,G168,1)+2*(I168*IF(N(G168)&gt;0,G168,1)*'参数'!$C$12+'参数'!$C$13+'参数'!$C$14*IF(N(G168)&gt;0,G168,1)))/IF(N(H168)&gt;0,H168,1),6))*IF(N(H168)&gt;0,H168,1),"预算不足，这笔不做")),"")</f>
        <v/>
      </c>
      <c r="N168" s="36" t="n"/>
      <c r="O168" s="20" t="str">
        <f>IF(AND(ISNUMBER(I168),ISNUMBER(J168),ISNUMBER(N168)),IF(AND(I168&lt;&gt;J168,N168&gt;0),ABS(I168-J168)*N168*IF(N(G168)&gt;0,G168,1),""),"")</f>
        <v/>
      </c>
      <c r="P168" s="31" t="n"/>
      <c r="Q168" s="32" t="n"/>
      <c r="R168" s="37" t="str">
        <f>IF(N(U168)&gt;0,SUMPRODUCT(LARGE(('成交明细'!$A$5:$A$804=A168)*('成交明细'!$D$5:$D$804=IF(F168="空","卖","买"))*'成交明细'!$B$5:$B$804,COUNTIFS('成交明细'!$A$5:$A$804,A168,'成交明细'!$D$5:$D$804,IF(F168="空","卖","买")))),"")</f>
        <v/>
      </c>
      <c r="S168" s="37" t="str">
        <f>IF(AND(N(U168)&gt;0,N(W168)&gt;=N(U168)),SUMPRODUCT(MAX(('成交明细'!$A$5:$A$804=A168)*('成交明细'!$D$5:$D$804=IF(F168="空","买","卖"))*'成交明细'!$B$5:$B$804)),"")</f>
        <v/>
      </c>
      <c r="T168" s="38" t="str">
        <f>IF(N(U168)=0,"",IF(SUMPRODUCT(('成交明细'!$A$5:$A$804=A168)*('成交明细'!$D$5:$D$804=IF(F168="空","卖","买"))*ISNUMBER('成交明细'!$C$5:$C$804))=0,"没填时间",IFERROR(VLOOKUP(MOD(SUMPRODUCT(LARGE(('成交明细'!$A$5:$A$804=A168)*('成交明细'!$D$5:$D$804=IF(F168="空","卖","买"))*('成交明细'!$B$5:$B$804+'成交明细'!$C$5:$C$804),COUNTIFS('成交明细'!$A$5:$A$804,A168,'成交明细'!$D$5:$D$804,IF(F168="空","卖","买")))),1),'参数'!$B$39:$C$48,2,TRUE),"")))</f>
        <v/>
      </c>
      <c r="U168" s="35" t="str">
        <f>IF(A168="","",SUMIFS('成交明细'!$F$5:$F$804,'成交明细'!$A$5:$A$804,A168,'成交明细'!$D$5:$D$804,IF(F168="空","卖","买")))</f>
        <v/>
      </c>
      <c r="V168" s="39" t="str">
        <f>IF(N(U168)&gt;0,SUMIFS('成交明细'!$H$5:$H$804,'成交明细'!$A$5:$A$804,A168,'成交明细'!$D$5:$D$804,IF(F168="空","卖","买"))/U168,"")</f>
        <v/>
      </c>
      <c r="W168" s="35" t="str">
        <f>IF(A168="","",SUMIFS('成交明细'!$F$5:$F$804,'成交明细'!$A$5:$A$804,A168,'成交明细'!$D$5:$D$804,IF(F168="空","买","卖")))</f>
        <v/>
      </c>
      <c r="X168" s="39" t="str">
        <f>IF(N(W168)&gt;0,SUMIFS('成交明细'!$H$5:$H$804,'成交明细'!$A$5:$A$804,A168,'成交明细'!$D$5:$D$804,IF(F168="空","买","卖"))/W168,"")</f>
        <v/>
      </c>
      <c r="Y168" s="40" t="str">
        <f>IF(A168="","",IF(Q168&lt;&gt;"已执行",IF(Q168="","未填执行情况",Q168),IF(N(U168)=0,"待录成交",IF(N(W168)&gt;N(U168),"平仓多于开仓",IF(N(W168)&lt;N(U168),"持仓中","已平仓")))))</f>
        <v/>
      </c>
      <c r="Z168" s="41" t="str">
        <f>IF(N(U168)=0,"",SUMIFS('成交明细'!$L$5:$L$804,'成交明细'!$A$5:$A$804,A168))</f>
        <v/>
      </c>
      <c r="AA168" s="42" t="str">
        <f>IF(Y168&lt;&gt;"已平仓","",(SUMIFS('成交明细'!$H$5:$H$804,'成交明细'!$A$5:$A$804,A168,'成交明细'!$D$5:$D$804,"卖")-SUMIFS('成交明细'!$H$5:$H$804,'成交明细'!$A$5:$A$804,A168,'成交明细'!$D$5:$D$804,"买"))*IF(N(G168)&gt;0,G168,1)-Z168)</f>
        <v/>
      </c>
      <c r="AB168" s="43" t="str">
        <f>IF(AND(Y168="已平仓",ISNUMBER(O168)),(SUMIFS('成交明细'!$H$5:$H$804,'成交明细'!$A$5:$A$804,A168,'成交明细'!$D$5:$D$804,"卖")-SUMIFS('成交明细'!$H$5:$H$804,'成交明细'!$A$5:$A$804,A168,'成交明细'!$D$5:$D$804,"买"))*IF(N(G168)&gt;0,G168,1)/O168,"")</f>
        <v/>
      </c>
      <c r="AC168" s="43" t="str">
        <f>IF(AND(Y168="已平仓",ISNUMBER(O168)),AA168/O168,"")</f>
        <v/>
      </c>
      <c r="AD168" s="44" t="str">
        <f>IF(AND(ISNUMBER(V168),ISNUMBER(I168)),IF(F168="空",I168-V168,V168-I168),"")</f>
        <v/>
      </c>
      <c r="AE168" s="44" t="str">
        <f>IF(OR(NOT(ISNUMBER(AA168)),NOT(ISNUMBER(X168))),"",IF(AA168&lt;0,IF(F168="空",X168-J168,J168-X168),IF(NOT(ISNUMBER(K168)),"",IF(F168="空",X168-K168,K168-X168))))</f>
        <v/>
      </c>
      <c r="AF168" s="32" t="n"/>
      <c r="AG168" s="32" t="n"/>
      <c r="AH168" s="31" t="n"/>
      <c r="AI168" s="43" t="str">
        <f>IF(A168="","",SUM(AC$5:AC168))</f>
        <v/>
      </c>
      <c r="AJ168" s="45" t="str">
        <f>IF(A168="","",MAX(0,MAX(AI$5:AI168))-AI168)</f>
        <v/>
      </c>
    </row>
    <row r="169">
      <c r="A169" s="29" t="n"/>
      <c r="B169" s="30" t="n"/>
      <c r="C169" s="31" t="n"/>
      <c r="D169" s="32" t="n"/>
      <c r="E169" s="32" t="n"/>
      <c r="F169" s="32" t="n"/>
      <c r="G169" s="32" t="n"/>
      <c r="H169" s="32" t="n"/>
      <c r="I169" s="33" t="n"/>
      <c r="J169" s="33" t="n"/>
      <c r="K169" s="33" t="n"/>
      <c r="L169" s="34" t="str">
        <f>IF(AND(ISNUMBER(I169),ISNUMBER(J169),ISNUMBER(K169)),IF(OR(AND(F169="多",I169&gt;J169),AND(F169="空",I169&lt;J169)),ABS(K169-I169)/ABS(I169-J169),"止损方向不对"),"")</f>
        <v/>
      </c>
      <c r="M169" s="35" t="str">
        <f>IF(AND(ISNUMBER(I169),ISNUMBER(J169)),IF(I169=J169,"",IF(INT(ROUND('参数'!$C$7/(ABS(I169-J169)*IF(N(G169)&gt;0,G169,1)+2*(I169*IF(N(G169)&gt;0,G169,1)*'参数'!$C$12+'参数'!$C$13+'参数'!$C$14*IF(N(G169)&gt;0,G169,1)))/IF(N(H169)&gt;0,H169,1),6))*IF(N(H169)&gt;0,H169,1)&gt;0,INT(ROUND('参数'!$C$7/(ABS(I169-J169)*IF(N(G169)&gt;0,G169,1)+2*(I169*IF(N(G169)&gt;0,G169,1)*'参数'!$C$12+'参数'!$C$13+'参数'!$C$14*IF(N(G169)&gt;0,G169,1)))/IF(N(H169)&gt;0,H169,1),6))*IF(N(H169)&gt;0,H169,1),"预算不足，这笔不做")),"")</f>
        <v/>
      </c>
      <c r="N169" s="36" t="n"/>
      <c r="O169" s="20" t="str">
        <f>IF(AND(ISNUMBER(I169),ISNUMBER(J169),ISNUMBER(N169)),IF(AND(I169&lt;&gt;J169,N169&gt;0),ABS(I169-J169)*N169*IF(N(G169)&gt;0,G169,1),""),"")</f>
        <v/>
      </c>
      <c r="P169" s="31" t="n"/>
      <c r="Q169" s="32" t="n"/>
      <c r="R169" s="37" t="str">
        <f>IF(N(U169)&gt;0,SUMPRODUCT(LARGE(('成交明细'!$A$5:$A$804=A169)*('成交明细'!$D$5:$D$804=IF(F169="空","卖","买"))*'成交明细'!$B$5:$B$804,COUNTIFS('成交明细'!$A$5:$A$804,A169,'成交明细'!$D$5:$D$804,IF(F169="空","卖","买")))),"")</f>
        <v/>
      </c>
      <c r="S169" s="37" t="str">
        <f>IF(AND(N(U169)&gt;0,N(W169)&gt;=N(U169)),SUMPRODUCT(MAX(('成交明细'!$A$5:$A$804=A169)*('成交明细'!$D$5:$D$804=IF(F169="空","买","卖"))*'成交明细'!$B$5:$B$804)),"")</f>
        <v/>
      </c>
      <c r="T169" s="38" t="str">
        <f>IF(N(U169)=0,"",IF(SUMPRODUCT(('成交明细'!$A$5:$A$804=A169)*('成交明细'!$D$5:$D$804=IF(F169="空","卖","买"))*ISNUMBER('成交明细'!$C$5:$C$804))=0,"没填时间",IFERROR(VLOOKUP(MOD(SUMPRODUCT(LARGE(('成交明细'!$A$5:$A$804=A169)*('成交明细'!$D$5:$D$804=IF(F169="空","卖","买"))*('成交明细'!$B$5:$B$804+'成交明细'!$C$5:$C$804),COUNTIFS('成交明细'!$A$5:$A$804,A169,'成交明细'!$D$5:$D$804,IF(F169="空","卖","买")))),1),'参数'!$B$39:$C$48,2,TRUE),"")))</f>
        <v/>
      </c>
      <c r="U169" s="35" t="str">
        <f>IF(A169="","",SUMIFS('成交明细'!$F$5:$F$804,'成交明细'!$A$5:$A$804,A169,'成交明细'!$D$5:$D$804,IF(F169="空","卖","买")))</f>
        <v/>
      </c>
      <c r="V169" s="39" t="str">
        <f>IF(N(U169)&gt;0,SUMIFS('成交明细'!$H$5:$H$804,'成交明细'!$A$5:$A$804,A169,'成交明细'!$D$5:$D$804,IF(F169="空","卖","买"))/U169,"")</f>
        <v/>
      </c>
      <c r="W169" s="35" t="str">
        <f>IF(A169="","",SUMIFS('成交明细'!$F$5:$F$804,'成交明细'!$A$5:$A$804,A169,'成交明细'!$D$5:$D$804,IF(F169="空","买","卖")))</f>
        <v/>
      </c>
      <c r="X169" s="39" t="str">
        <f>IF(N(W169)&gt;0,SUMIFS('成交明细'!$H$5:$H$804,'成交明细'!$A$5:$A$804,A169,'成交明细'!$D$5:$D$804,IF(F169="空","买","卖"))/W169,"")</f>
        <v/>
      </c>
      <c r="Y169" s="40" t="str">
        <f>IF(A169="","",IF(Q169&lt;&gt;"已执行",IF(Q169="","未填执行情况",Q169),IF(N(U169)=0,"待录成交",IF(N(W169)&gt;N(U169),"平仓多于开仓",IF(N(W169)&lt;N(U169),"持仓中","已平仓")))))</f>
        <v/>
      </c>
      <c r="Z169" s="41" t="str">
        <f>IF(N(U169)=0,"",SUMIFS('成交明细'!$L$5:$L$804,'成交明细'!$A$5:$A$804,A169))</f>
        <v/>
      </c>
      <c r="AA169" s="42" t="str">
        <f>IF(Y169&lt;&gt;"已平仓","",(SUMIFS('成交明细'!$H$5:$H$804,'成交明细'!$A$5:$A$804,A169,'成交明细'!$D$5:$D$804,"卖")-SUMIFS('成交明细'!$H$5:$H$804,'成交明细'!$A$5:$A$804,A169,'成交明细'!$D$5:$D$804,"买"))*IF(N(G169)&gt;0,G169,1)-Z169)</f>
        <v/>
      </c>
      <c r="AB169" s="43" t="str">
        <f>IF(AND(Y169="已平仓",ISNUMBER(O169)),(SUMIFS('成交明细'!$H$5:$H$804,'成交明细'!$A$5:$A$804,A169,'成交明细'!$D$5:$D$804,"卖")-SUMIFS('成交明细'!$H$5:$H$804,'成交明细'!$A$5:$A$804,A169,'成交明细'!$D$5:$D$804,"买"))*IF(N(G169)&gt;0,G169,1)/O169,"")</f>
        <v/>
      </c>
      <c r="AC169" s="43" t="str">
        <f>IF(AND(Y169="已平仓",ISNUMBER(O169)),AA169/O169,"")</f>
        <v/>
      </c>
      <c r="AD169" s="44" t="str">
        <f>IF(AND(ISNUMBER(V169),ISNUMBER(I169)),IF(F169="空",I169-V169,V169-I169),"")</f>
        <v/>
      </c>
      <c r="AE169" s="44" t="str">
        <f>IF(OR(NOT(ISNUMBER(AA169)),NOT(ISNUMBER(X169))),"",IF(AA169&lt;0,IF(F169="空",X169-J169,J169-X169),IF(NOT(ISNUMBER(K169)),"",IF(F169="空",X169-K169,K169-X169))))</f>
        <v/>
      </c>
      <c r="AF169" s="32" t="n"/>
      <c r="AG169" s="32" t="n"/>
      <c r="AH169" s="31" t="n"/>
      <c r="AI169" s="43" t="str">
        <f>IF(A169="","",SUM(AC$5:AC169))</f>
        <v/>
      </c>
      <c r="AJ169" s="45" t="str">
        <f>IF(A169="","",MAX(0,MAX(AI$5:AI169))-AI169)</f>
        <v/>
      </c>
    </row>
    <row r="170">
      <c r="A170" s="29" t="n"/>
      <c r="B170" s="30" t="n"/>
      <c r="C170" s="31" t="n"/>
      <c r="D170" s="32" t="n"/>
      <c r="E170" s="32" t="n"/>
      <c r="F170" s="32" t="n"/>
      <c r="G170" s="32" t="n"/>
      <c r="H170" s="32" t="n"/>
      <c r="I170" s="33" t="n"/>
      <c r="J170" s="33" t="n"/>
      <c r="K170" s="33" t="n"/>
      <c r="L170" s="34" t="str">
        <f>IF(AND(ISNUMBER(I170),ISNUMBER(J170),ISNUMBER(K170)),IF(OR(AND(F170="多",I170&gt;J170),AND(F170="空",I170&lt;J170)),ABS(K170-I170)/ABS(I170-J170),"止损方向不对"),"")</f>
        <v/>
      </c>
      <c r="M170" s="35" t="str">
        <f>IF(AND(ISNUMBER(I170),ISNUMBER(J170)),IF(I170=J170,"",IF(INT(ROUND('参数'!$C$7/(ABS(I170-J170)*IF(N(G170)&gt;0,G170,1)+2*(I170*IF(N(G170)&gt;0,G170,1)*'参数'!$C$12+'参数'!$C$13+'参数'!$C$14*IF(N(G170)&gt;0,G170,1)))/IF(N(H170)&gt;0,H170,1),6))*IF(N(H170)&gt;0,H170,1)&gt;0,INT(ROUND('参数'!$C$7/(ABS(I170-J170)*IF(N(G170)&gt;0,G170,1)+2*(I170*IF(N(G170)&gt;0,G170,1)*'参数'!$C$12+'参数'!$C$13+'参数'!$C$14*IF(N(G170)&gt;0,G170,1)))/IF(N(H170)&gt;0,H170,1),6))*IF(N(H170)&gt;0,H170,1),"预算不足，这笔不做")),"")</f>
        <v/>
      </c>
      <c r="N170" s="36" t="n"/>
      <c r="O170" s="20" t="str">
        <f>IF(AND(ISNUMBER(I170),ISNUMBER(J170),ISNUMBER(N170)),IF(AND(I170&lt;&gt;J170,N170&gt;0),ABS(I170-J170)*N170*IF(N(G170)&gt;0,G170,1),""),"")</f>
        <v/>
      </c>
      <c r="P170" s="31" t="n"/>
      <c r="Q170" s="32" t="n"/>
      <c r="R170" s="37" t="str">
        <f>IF(N(U170)&gt;0,SUMPRODUCT(LARGE(('成交明细'!$A$5:$A$804=A170)*('成交明细'!$D$5:$D$804=IF(F170="空","卖","买"))*'成交明细'!$B$5:$B$804,COUNTIFS('成交明细'!$A$5:$A$804,A170,'成交明细'!$D$5:$D$804,IF(F170="空","卖","买")))),"")</f>
        <v/>
      </c>
      <c r="S170" s="37" t="str">
        <f>IF(AND(N(U170)&gt;0,N(W170)&gt;=N(U170)),SUMPRODUCT(MAX(('成交明细'!$A$5:$A$804=A170)*('成交明细'!$D$5:$D$804=IF(F170="空","买","卖"))*'成交明细'!$B$5:$B$804)),"")</f>
        <v/>
      </c>
      <c r="T170" s="38" t="str">
        <f>IF(N(U170)=0,"",IF(SUMPRODUCT(('成交明细'!$A$5:$A$804=A170)*('成交明细'!$D$5:$D$804=IF(F170="空","卖","买"))*ISNUMBER('成交明细'!$C$5:$C$804))=0,"没填时间",IFERROR(VLOOKUP(MOD(SUMPRODUCT(LARGE(('成交明细'!$A$5:$A$804=A170)*('成交明细'!$D$5:$D$804=IF(F170="空","卖","买"))*('成交明细'!$B$5:$B$804+'成交明细'!$C$5:$C$804),COUNTIFS('成交明细'!$A$5:$A$804,A170,'成交明细'!$D$5:$D$804,IF(F170="空","卖","买")))),1),'参数'!$B$39:$C$48,2,TRUE),"")))</f>
        <v/>
      </c>
      <c r="U170" s="35" t="str">
        <f>IF(A170="","",SUMIFS('成交明细'!$F$5:$F$804,'成交明细'!$A$5:$A$804,A170,'成交明细'!$D$5:$D$804,IF(F170="空","卖","买")))</f>
        <v/>
      </c>
      <c r="V170" s="39" t="str">
        <f>IF(N(U170)&gt;0,SUMIFS('成交明细'!$H$5:$H$804,'成交明细'!$A$5:$A$804,A170,'成交明细'!$D$5:$D$804,IF(F170="空","卖","买"))/U170,"")</f>
        <v/>
      </c>
      <c r="W170" s="35" t="str">
        <f>IF(A170="","",SUMIFS('成交明细'!$F$5:$F$804,'成交明细'!$A$5:$A$804,A170,'成交明细'!$D$5:$D$804,IF(F170="空","买","卖")))</f>
        <v/>
      </c>
      <c r="X170" s="39" t="str">
        <f>IF(N(W170)&gt;0,SUMIFS('成交明细'!$H$5:$H$804,'成交明细'!$A$5:$A$804,A170,'成交明细'!$D$5:$D$804,IF(F170="空","买","卖"))/W170,"")</f>
        <v/>
      </c>
      <c r="Y170" s="40" t="str">
        <f>IF(A170="","",IF(Q170&lt;&gt;"已执行",IF(Q170="","未填执行情况",Q170),IF(N(U170)=0,"待录成交",IF(N(W170)&gt;N(U170),"平仓多于开仓",IF(N(W170)&lt;N(U170),"持仓中","已平仓")))))</f>
        <v/>
      </c>
      <c r="Z170" s="41" t="str">
        <f>IF(N(U170)=0,"",SUMIFS('成交明细'!$L$5:$L$804,'成交明细'!$A$5:$A$804,A170))</f>
        <v/>
      </c>
      <c r="AA170" s="42" t="str">
        <f>IF(Y170&lt;&gt;"已平仓","",(SUMIFS('成交明细'!$H$5:$H$804,'成交明细'!$A$5:$A$804,A170,'成交明细'!$D$5:$D$804,"卖")-SUMIFS('成交明细'!$H$5:$H$804,'成交明细'!$A$5:$A$804,A170,'成交明细'!$D$5:$D$804,"买"))*IF(N(G170)&gt;0,G170,1)-Z170)</f>
        <v/>
      </c>
      <c r="AB170" s="43" t="str">
        <f>IF(AND(Y170="已平仓",ISNUMBER(O170)),(SUMIFS('成交明细'!$H$5:$H$804,'成交明细'!$A$5:$A$804,A170,'成交明细'!$D$5:$D$804,"卖")-SUMIFS('成交明细'!$H$5:$H$804,'成交明细'!$A$5:$A$804,A170,'成交明细'!$D$5:$D$804,"买"))*IF(N(G170)&gt;0,G170,1)/O170,"")</f>
        <v/>
      </c>
      <c r="AC170" s="43" t="str">
        <f>IF(AND(Y170="已平仓",ISNUMBER(O170)),AA170/O170,"")</f>
        <v/>
      </c>
      <c r="AD170" s="44" t="str">
        <f>IF(AND(ISNUMBER(V170),ISNUMBER(I170)),IF(F170="空",I170-V170,V170-I170),"")</f>
        <v/>
      </c>
      <c r="AE170" s="44" t="str">
        <f>IF(OR(NOT(ISNUMBER(AA170)),NOT(ISNUMBER(X170))),"",IF(AA170&lt;0,IF(F170="空",X170-J170,J170-X170),IF(NOT(ISNUMBER(K170)),"",IF(F170="空",X170-K170,K170-X170))))</f>
        <v/>
      </c>
      <c r="AF170" s="32" t="n"/>
      <c r="AG170" s="32" t="n"/>
      <c r="AH170" s="31" t="n"/>
      <c r="AI170" s="43" t="str">
        <f>IF(A170="","",SUM(AC$5:AC170))</f>
        <v/>
      </c>
      <c r="AJ170" s="45" t="str">
        <f>IF(A170="","",MAX(0,MAX(AI$5:AI170))-AI170)</f>
        <v/>
      </c>
    </row>
    <row r="171">
      <c r="A171" s="29" t="n"/>
      <c r="B171" s="30" t="n"/>
      <c r="C171" s="31" t="n"/>
      <c r="D171" s="32" t="n"/>
      <c r="E171" s="32" t="n"/>
      <c r="F171" s="32" t="n"/>
      <c r="G171" s="32" t="n"/>
      <c r="H171" s="32" t="n"/>
      <c r="I171" s="33" t="n"/>
      <c r="J171" s="33" t="n"/>
      <c r="K171" s="33" t="n"/>
      <c r="L171" s="34" t="str">
        <f>IF(AND(ISNUMBER(I171),ISNUMBER(J171),ISNUMBER(K171)),IF(OR(AND(F171="多",I171&gt;J171),AND(F171="空",I171&lt;J171)),ABS(K171-I171)/ABS(I171-J171),"止损方向不对"),"")</f>
        <v/>
      </c>
      <c r="M171" s="35" t="str">
        <f>IF(AND(ISNUMBER(I171),ISNUMBER(J171)),IF(I171=J171,"",IF(INT(ROUND('参数'!$C$7/(ABS(I171-J171)*IF(N(G171)&gt;0,G171,1)+2*(I171*IF(N(G171)&gt;0,G171,1)*'参数'!$C$12+'参数'!$C$13+'参数'!$C$14*IF(N(G171)&gt;0,G171,1)))/IF(N(H171)&gt;0,H171,1),6))*IF(N(H171)&gt;0,H171,1)&gt;0,INT(ROUND('参数'!$C$7/(ABS(I171-J171)*IF(N(G171)&gt;0,G171,1)+2*(I171*IF(N(G171)&gt;0,G171,1)*'参数'!$C$12+'参数'!$C$13+'参数'!$C$14*IF(N(G171)&gt;0,G171,1)))/IF(N(H171)&gt;0,H171,1),6))*IF(N(H171)&gt;0,H171,1),"预算不足，这笔不做")),"")</f>
        <v/>
      </c>
      <c r="N171" s="36" t="n"/>
      <c r="O171" s="20" t="str">
        <f>IF(AND(ISNUMBER(I171),ISNUMBER(J171),ISNUMBER(N171)),IF(AND(I171&lt;&gt;J171,N171&gt;0),ABS(I171-J171)*N171*IF(N(G171)&gt;0,G171,1),""),"")</f>
        <v/>
      </c>
      <c r="P171" s="31" t="n"/>
      <c r="Q171" s="32" t="n"/>
      <c r="R171" s="37" t="str">
        <f>IF(N(U171)&gt;0,SUMPRODUCT(LARGE(('成交明细'!$A$5:$A$804=A171)*('成交明细'!$D$5:$D$804=IF(F171="空","卖","买"))*'成交明细'!$B$5:$B$804,COUNTIFS('成交明细'!$A$5:$A$804,A171,'成交明细'!$D$5:$D$804,IF(F171="空","卖","买")))),"")</f>
        <v/>
      </c>
      <c r="S171" s="37" t="str">
        <f>IF(AND(N(U171)&gt;0,N(W171)&gt;=N(U171)),SUMPRODUCT(MAX(('成交明细'!$A$5:$A$804=A171)*('成交明细'!$D$5:$D$804=IF(F171="空","买","卖"))*'成交明细'!$B$5:$B$804)),"")</f>
        <v/>
      </c>
      <c r="T171" s="38" t="str">
        <f>IF(N(U171)=0,"",IF(SUMPRODUCT(('成交明细'!$A$5:$A$804=A171)*('成交明细'!$D$5:$D$804=IF(F171="空","卖","买"))*ISNUMBER('成交明细'!$C$5:$C$804))=0,"没填时间",IFERROR(VLOOKUP(MOD(SUMPRODUCT(LARGE(('成交明细'!$A$5:$A$804=A171)*('成交明细'!$D$5:$D$804=IF(F171="空","卖","买"))*('成交明细'!$B$5:$B$804+'成交明细'!$C$5:$C$804),COUNTIFS('成交明细'!$A$5:$A$804,A171,'成交明细'!$D$5:$D$804,IF(F171="空","卖","买")))),1),'参数'!$B$39:$C$48,2,TRUE),"")))</f>
        <v/>
      </c>
      <c r="U171" s="35" t="str">
        <f>IF(A171="","",SUMIFS('成交明细'!$F$5:$F$804,'成交明细'!$A$5:$A$804,A171,'成交明细'!$D$5:$D$804,IF(F171="空","卖","买")))</f>
        <v/>
      </c>
      <c r="V171" s="39" t="str">
        <f>IF(N(U171)&gt;0,SUMIFS('成交明细'!$H$5:$H$804,'成交明细'!$A$5:$A$804,A171,'成交明细'!$D$5:$D$804,IF(F171="空","卖","买"))/U171,"")</f>
        <v/>
      </c>
      <c r="W171" s="35" t="str">
        <f>IF(A171="","",SUMIFS('成交明细'!$F$5:$F$804,'成交明细'!$A$5:$A$804,A171,'成交明细'!$D$5:$D$804,IF(F171="空","买","卖")))</f>
        <v/>
      </c>
      <c r="X171" s="39" t="str">
        <f>IF(N(W171)&gt;0,SUMIFS('成交明细'!$H$5:$H$804,'成交明细'!$A$5:$A$804,A171,'成交明细'!$D$5:$D$804,IF(F171="空","买","卖"))/W171,"")</f>
        <v/>
      </c>
      <c r="Y171" s="40" t="str">
        <f>IF(A171="","",IF(Q171&lt;&gt;"已执行",IF(Q171="","未填执行情况",Q171),IF(N(U171)=0,"待录成交",IF(N(W171)&gt;N(U171),"平仓多于开仓",IF(N(W171)&lt;N(U171),"持仓中","已平仓")))))</f>
        <v/>
      </c>
      <c r="Z171" s="41" t="str">
        <f>IF(N(U171)=0,"",SUMIFS('成交明细'!$L$5:$L$804,'成交明细'!$A$5:$A$804,A171))</f>
        <v/>
      </c>
      <c r="AA171" s="42" t="str">
        <f>IF(Y171&lt;&gt;"已平仓","",(SUMIFS('成交明细'!$H$5:$H$804,'成交明细'!$A$5:$A$804,A171,'成交明细'!$D$5:$D$804,"卖")-SUMIFS('成交明细'!$H$5:$H$804,'成交明细'!$A$5:$A$804,A171,'成交明细'!$D$5:$D$804,"买"))*IF(N(G171)&gt;0,G171,1)-Z171)</f>
        <v/>
      </c>
      <c r="AB171" s="43" t="str">
        <f>IF(AND(Y171="已平仓",ISNUMBER(O171)),(SUMIFS('成交明细'!$H$5:$H$804,'成交明细'!$A$5:$A$804,A171,'成交明细'!$D$5:$D$804,"卖")-SUMIFS('成交明细'!$H$5:$H$804,'成交明细'!$A$5:$A$804,A171,'成交明细'!$D$5:$D$804,"买"))*IF(N(G171)&gt;0,G171,1)/O171,"")</f>
        <v/>
      </c>
      <c r="AC171" s="43" t="str">
        <f>IF(AND(Y171="已平仓",ISNUMBER(O171)),AA171/O171,"")</f>
        <v/>
      </c>
      <c r="AD171" s="44" t="str">
        <f>IF(AND(ISNUMBER(V171),ISNUMBER(I171)),IF(F171="空",I171-V171,V171-I171),"")</f>
        <v/>
      </c>
      <c r="AE171" s="44" t="str">
        <f>IF(OR(NOT(ISNUMBER(AA171)),NOT(ISNUMBER(X171))),"",IF(AA171&lt;0,IF(F171="空",X171-J171,J171-X171),IF(NOT(ISNUMBER(K171)),"",IF(F171="空",X171-K171,K171-X171))))</f>
        <v/>
      </c>
      <c r="AF171" s="32" t="n"/>
      <c r="AG171" s="32" t="n"/>
      <c r="AH171" s="31" t="n"/>
      <c r="AI171" s="43" t="str">
        <f>IF(A171="","",SUM(AC$5:AC171))</f>
        <v/>
      </c>
      <c r="AJ171" s="45" t="str">
        <f>IF(A171="","",MAX(0,MAX(AI$5:AI171))-AI171)</f>
        <v/>
      </c>
    </row>
    <row r="172">
      <c r="A172" s="29" t="n"/>
      <c r="B172" s="30" t="n"/>
      <c r="C172" s="31" t="n"/>
      <c r="D172" s="32" t="n"/>
      <c r="E172" s="32" t="n"/>
      <c r="F172" s="32" t="n"/>
      <c r="G172" s="32" t="n"/>
      <c r="H172" s="32" t="n"/>
      <c r="I172" s="33" t="n"/>
      <c r="J172" s="33" t="n"/>
      <c r="K172" s="33" t="n"/>
      <c r="L172" s="34" t="str">
        <f>IF(AND(ISNUMBER(I172),ISNUMBER(J172),ISNUMBER(K172)),IF(OR(AND(F172="多",I172&gt;J172),AND(F172="空",I172&lt;J172)),ABS(K172-I172)/ABS(I172-J172),"止损方向不对"),"")</f>
        <v/>
      </c>
      <c r="M172" s="35" t="str">
        <f>IF(AND(ISNUMBER(I172),ISNUMBER(J172)),IF(I172=J172,"",IF(INT(ROUND('参数'!$C$7/(ABS(I172-J172)*IF(N(G172)&gt;0,G172,1)+2*(I172*IF(N(G172)&gt;0,G172,1)*'参数'!$C$12+'参数'!$C$13+'参数'!$C$14*IF(N(G172)&gt;0,G172,1)))/IF(N(H172)&gt;0,H172,1),6))*IF(N(H172)&gt;0,H172,1)&gt;0,INT(ROUND('参数'!$C$7/(ABS(I172-J172)*IF(N(G172)&gt;0,G172,1)+2*(I172*IF(N(G172)&gt;0,G172,1)*'参数'!$C$12+'参数'!$C$13+'参数'!$C$14*IF(N(G172)&gt;0,G172,1)))/IF(N(H172)&gt;0,H172,1),6))*IF(N(H172)&gt;0,H172,1),"预算不足，这笔不做")),"")</f>
        <v/>
      </c>
      <c r="N172" s="36" t="n"/>
      <c r="O172" s="20" t="str">
        <f>IF(AND(ISNUMBER(I172),ISNUMBER(J172),ISNUMBER(N172)),IF(AND(I172&lt;&gt;J172,N172&gt;0),ABS(I172-J172)*N172*IF(N(G172)&gt;0,G172,1),""),"")</f>
        <v/>
      </c>
      <c r="P172" s="31" t="n"/>
      <c r="Q172" s="32" t="n"/>
      <c r="R172" s="37" t="str">
        <f>IF(N(U172)&gt;0,SUMPRODUCT(LARGE(('成交明细'!$A$5:$A$804=A172)*('成交明细'!$D$5:$D$804=IF(F172="空","卖","买"))*'成交明细'!$B$5:$B$804,COUNTIFS('成交明细'!$A$5:$A$804,A172,'成交明细'!$D$5:$D$804,IF(F172="空","卖","买")))),"")</f>
        <v/>
      </c>
      <c r="S172" s="37" t="str">
        <f>IF(AND(N(U172)&gt;0,N(W172)&gt;=N(U172)),SUMPRODUCT(MAX(('成交明细'!$A$5:$A$804=A172)*('成交明细'!$D$5:$D$804=IF(F172="空","买","卖"))*'成交明细'!$B$5:$B$804)),"")</f>
        <v/>
      </c>
      <c r="T172" s="38" t="str">
        <f>IF(N(U172)=0,"",IF(SUMPRODUCT(('成交明细'!$A$5:$A$804=A172)*('成交明细'!$D$5:$D$804=IF(F172="空","卖","买"))*ISNUMBER('成交明细'!$C$5:$C$804))=0,"没填时间",IFERROR(VLOOKUP(MOD(SUMPRODUCT(LARGE(('成交明细'!$A$5:$A$804=A172)*('成交明细'!$D$5:$D$804=IF(F172="空","卖","买"))*('成交明细'!$B$5:$B$804+'成交明细'!$C$5:$C$804),COUNTIFS('成交明细'!$A$5:$A$804,A172,'成交明细'!$D$5:$D$804,IF(F172="空","卖","买")))),1),'参数'!$B$39:$C$48,2,TRUE),"")))</f>
        <v/>
      </c>
      <c r="U172" s="35" t="str">
        <f>IF(A172="","",SUMIFS('成交明细'!$F$5:$F$804,'成交明细'!$A$5:$A$804,A172,'成交明细'!$D$5:$D$804,IF(F172="空","卖","买")))</f>
        <v/>
      </c>
      <c r="V172" s="39" t="str">
        <f>IF(N(U172)&gt;0,SUMIFS('成交明细'!$H$5:$H$804,'成交明细'!$A$5:$A$804,A172,'成交明细'!$D$5:$D$804,IF(F172="空","卖","买"))/U172,"")</f>
        <v/>
      </c>
      <c r="W172" s="35" t="str">
        <f>IF(A172="","",SUMIFS('成交明细'!$F$5:$F$804,'成交明细'!$A$5:$A$804,A172,'成交明细'!$D$5:$D$804,IF(F172="空","买","卖")))</f>
        <v/>
      </c>
      <c r="X172" s="39" t="str">
        <f>IF(N(W172)&gt;0,SUMIFS('成交明细'!$H$5:$H$804,'成交明细'!$A$5:$A$804,A172,'成交明细'!$D$5:$D$804,IF(F172="空","买","卖"))/W172,"")</f>
        <v/>
      </c>
      <c r="Y172" s="40" t="str">
        <f>IF(A172="","",IF(Q172&lt;&gt;"已执行",IF(Q172="","未填执行情况",Q172),IF(N(U172)=0,"待录成交",IF(N(W172)&gt;N(U172),"平仓多于开仓",IF(N(W172)&lt;N(U172),"持仓中","已平仓")))))</f>
        <v/>
      </c>
      <c r="Z172" s="41" t="str">
        <f>IF(N(U172)=0,"",SUMIFS('成交明细'!$L$5:$L$804,'成交明细'!$A$5:$A$804,A172))</f>
        <v/>
      </c>
      <c r="AA172" s="42" t="str">
        <f>IF(Y172&lt;&gt;"已平仓","",(SUMIFS('成交明细'!$H$5:$H$804,'成交明细'!$A$5:$A$804,A172,'成交明细'!$D$5:$D$804,"卖")-SUMIFS('成交明细'!$H$5:$H$804,'成交明细'!$A$5:$A$804,A172,'成交明细'!$D$5:$D$804,"买"))*IF(N(G172)&gt;0,G172,1)-Z172)</f>
        <v/>
      </c>
      <c r="AB172" s="43" t="str">
        <f>IF(AND(Y172="已平仓",ISNUMBER(O172)),(SUMIFS('成交明细'!$H$5:$H$804,'成交明细'!$A$5:$A$804,A172,'成交明细'!$D$5:$D$804,"卖")-SUMIFS('成交明细'!$H$5:$H$804,'成交明细'!$A$5:$A$804,A172,'成交明细'!$D$5:$D$804,"买"))*IF(N(G172)&gt;0,G172,1)/O172,"")</f>
        <v/>
      </c>
      <c r="AC172" s="43" t="str">
        <f>IF(AND(Y172="已平仓",ISNUMBER(O172)),AA172/O172,"")</f>
        <v/>
      </c>
      <c r="AD172" s="44" t="str">
        <f>IF(AND(ISNUMBER(V172),ISNUMBER(I172)),IF(F172="空",I172-V172,V172-I172),"")</f>
        <v/>
      </c>
      <c r="AE172" s="44" t="str">
        <f>IF(OR(NOT(ISNUMBER(AA172)),NOT(ISNUMBER(X172))),"",IF(AA172&lt;0,IF(F172="空",X172-J172,J172-X172),IF(NOT(ISNUMBER(K172)),"",IF(F172="空",X172-K172,K172-X172))))</f>
        <v/>
      </c>
      <c r="AF172" s="32" t="n"/>
      <c r="AG172" s="32" t="n"/>
      <c r="AH172" s="31" t="n"/>
      <c r="AI172" s="43" t="str">
        <f>IF(A172="","",SUM(AC$5:AC172))</f>
        <v/>
      </c>
      <c r="AJ172" s="45" t="str">
        <f>IF(A172="","",MAX(0,MAX(AI$5:AI172))-AI172)</f>
        <v/>
      </c>
    </row>
    <row r="173">
      <c r="A173" s="29" t="n"/>
      <c r="B173" s="30" t="n"/>
      <c r="C173" s="31" t="n"/>
      <c r="D173" s="32" t="n"/>
      <c r="E173" s="32" t="n"/>
      <c r="F173" s="32" t="n"/>
      <c r="G173" s="32" t="n"/>
      <c r="H173" s="32" t="n"/>
      <c r="I173" s="33" t="n"/>
      <c r="J173" s="33" t="n"/>
      <c r="K173" s="33" t="n"/>
      <c r="L173" s="34" t="str">
        <f>IF(AND(ISNUMBER(I173),ISNUMBER(J173),ISNUMBER(K173)),IF(OR(AND(F173="多",I173&gt;J173),AND(F173="空",I173&lt;J173)),ABS(K173-I173)/ABS(I173-J173),"止损方向不对"),"")</f>
        <v/>
      </c>
      <c r="M173" s="35" t="str">
        <f>IF(AND(ISNUMBER(I173),ISNUMBER(J173)),IF(I173=J173,"",IF(INT(ROUND('参数'!$C$7/(ABS(I173-J173)*IF(N(G173)&gt;0,G173,1)+2*(I173*IF(N(G173)&gt;0,G173,1)*'参数'!$C$12+'参数'!$C$13+'参数'!$C$14*IF(N(G173)&gt;0,G173,1)))/IF(N(H173)&gt;0,H173,1),6))*IF(N(H173)&gt;0,H173,1)&gt;0,INT(ROUND('参数'!$C$7/(ABS(I173-J173)*IF(N(G173)&gt;0,G173,1)+2*(I173*IF(N(G173)&gt;0,G173,1)*'参数'!$C$12+'参数'!$C$13+'参数'!$C$14*IF(N(G173)&gt;0,G173,1)))/IF(N(H173)&gt;0,H173,1),6))*IF(N(H173)&gt;0,H173,1),"预算不足，这笔不做")),"")</f>
        <v/>
      </c>
      <c r="N173" s="36" t="n"/>
      <c r="O173" s="20" t="str">
        <f>IF(AND(ISNUMBER(I173),ISNUMBER(J173),ISNUMBER(N173)),IF(AND(I173&lt;&gt;J173,N173&gt;0),ABS(I173-J173)*N173*IF(N(G173)&gt;0,G173,1),""),"")</f>
        <v/>
      </c>
      <c r="P173" s="31" t="n"/>
      <c r="Q173" s="32" t="n"/>
      <c r="R173" s="37" t="str">
        <f>IF(N(U173)&gt;0,SUMPRODUCT(LARGE(('成交明细'!$A$5:$A$804=A173)*('成交明细'!$D$5:$D$804=IF(F173="空","卖","买"))*'成交明细'!$B$5:$B$804,COUNTIFS('成交明细'!$A$5:$A$804,A173,'成交明细'!$D$5:$D$804,IF(F173="空","卖","买")))),"")</f>
        <v/>
      </c>
      <c r="S173" s="37" t="str">
        <f>IF(AND(N(U173)&gt;0,N(W173)&gt;=N(U173)),SUMPRODUCT(MAX(('成交明细'!$A$5:$A$804=A173)*('成交明细'!$D$5:$D$804=IF(F173="空","买","卖"))*'成交明细'!$B$5:$B$804)),"")</f>
        <v/>
      </c>
      <c r="T173" s="38" t="str">
        <f>IF(N(U173)=0,"",IF(SUMPRODUCT(('成交明细'!$A$5:$A$804=A173)*('成交明细'!$D$5:$D$804=IF(F173="空","卖","买"))*ISNUMBER('成交明细'!$C$5:$C$804))=0,"没填时间",IFERROR(VLOOKUP(MOD(SUMPRODUCT(LARGE(('成交明细'!$A$5:$A$804=A173)*('成交明细'!$D$5:$D$804=IF(F173="空","卖","买"))*('成交明细'!$B$5:$B$804+'成交明细'!$C$5:$C$804),COUNTIFS('成交明细'!$A$5:$A$804,A173,'成交明细'!$D$5:$D$804,IF(F173="空","卖","买")))),1),'参数'!$B$39:$C$48,2,TRUE),"")))</f>
        <v/>
      </c>
      <c r="U173" s="35" t="str">
        <f>IF(A173="","",SUMIFS('成交明细'!$F$5:$F$804,'成交明细'!$A$5:$A$804,A173,'成交明细'!$D$5:$D$804,IF(F173="空","卖","买")))</f>
        <v/>
      </c>
      <c r="V173" s="39" t="str">
        <f>IF(N(U173)&gt;0,SUMIFS('成交明细'!$H$5:$H$804,'成交明细'!$A$5:$A$804,A173,'成交明细'!$D$5:$D$804,IF(F173="空","卖","买"))/U173,"")</f>
        <v/>
      </c>
      <c r="W173" s="35" t="str">
        <f>IF(A173="","",SUMIFS('成交明细'!$F$5:$F$804,'成交明细'!$A$5:$A$804,A173,'成交明细'!$D$5:$D$804,IF(F173="空","买","卖")))</f>
        <v/>
      </c>
      <c r="X173" s="39" t="str">
        <f>IF(N(W173)&gt;0,SUMIFS('成交明细'!$H$5:$H$804,'成交明细'!$A$5:$A$804,A173,'成交明细'!$D$5:$D$804,IF(F173="空","买","卖"))/W173,"")</f>
        <v/>
      </c>
      <c r="Y173" s="40" t="str">
        <f>IF(A173="","",IF(Q173&lt;&gt;"已执行",IF(Q173="","未填执行情况",Q173),IF(N(U173)=0,"待录成交",IF(N(W173)&gt;N(U173),"平仓多于开仓",IF(N(W173)&lt;N(U173),"持仓中","已平仓")))))</f>
        <v/>
      </c>
      <c r="Z173" s="41" t="str">
        <f>IF(N(U173)=0,"",SUMIFS('成交明细'!$L$5:$L$804,'成交明细'!$A$5:$A$804,A173))</f>
        <v/>
      </c>
      <c r="AA173" s="42" t="str">
        <f>IF(Y173&lt;&gt;"已平仓","",(SUMIFS('成交明细'!$H$5:$H$804,'成交明细'!$A$5:$A$804,A173,'成交明细'!$D$5:$D$804,"卖")-SUMIFS('成交明细'!$H$5:$H$804,'成交明细'!$A$5:$A$804,A173,'成交明细'!$D$5:$D$804,"买"))*IF(N(G173)&gt;0,G173,1)-Z173)</f>
        <v/>
      </c>
      <c r="AB173" s="43" t="str">
        <f>IF(AND(Y173="已平仓",ISNUMBER(O173)),(SUMIFS('成交明细'!$H$5:$H$804,'成交明细'!$A$5:$A$804,A173,'成交明细'!$D$5:$D$804,"卖")-SUMIFS('成交明细'!$H$5:$H$804,'成交明细'!$A$5:$A$804,A173,'成交明细'!$D$5:$D$804,"买"))*IF(N(G173)&gt;0,G173,1)/O173,"")</f>
        <v/>
      </c>
      <c r="AC173" s="43" t="str">
        <f>IF(AND(Y173="已平仓",ISNUMBER(O173)),AA173/O173,"")</f>
        <v/>
      </c>
      <c r="AD173" s="44" t="str">
        <f>IF(AND(ISNUMBER(V173),ISNUMBER(I173)),IF(F173="空",I173-V173,V173-I173),"")</f>
        <v/>
      </c>
      <c r="AE173" s="44" t="str">
        <f>IF(OR(NOT(ISNUMBER(AA173)),NOT(ISNUMBER(X173))),"",IF(AA173&lt;0,IF(F173="空",X173-J173,J173-X173),IF(NOT(ISNUMBER(K173)),"",IF(F173="空",X173-K173,K173-X173))))</f>
        <v/>
      </c>
      <c r="AF173" s="32" t="n"/>
      <c r="AG173" s="32" t="n"/>
      <c r="AH173" s="31" t="n"/>
      <c r="AI173" s="43" t="str">
        <f>IF(A173="","",SUM(AC$5:AC173))</f>
        <v/>
      </c>
      <c r="AJ173" s="45" t="str">
        <f>IF(A173="","",MAX(0,MAX(AI$5:AI173))-AI173)</f>
        <v/>
      </c>
    </row>
    <row r="174">
      <c r="A174" s="29" t="n"/>
      <c r="B174" s="30" t="n"/>
      <c r="C174" s="31" t="n"/>
      <c r="D174" s="32" t="n"/>
      <c r="E174" s="32" t="n"/>
      <c r="F174" s="32" t="n"/>
      <c r="G174" s="32" t="n"/>
      <c r="H174" s="32" t="n"/>
      <c r="I174" s="33" t="n"/>
      <c r="J174" s="33" t="n"/>
      <c r="K174" s="33" t="n"/>
      <c r="L174" s="34" t="str">
        <f>IF(AND(ISNUMBER(I174),ISNUMBER(J174),ISNUMBER(K174)),IF(OR(AND(F174="多",I174&gt;J174),AND(F174="空",I174&lt;J174)),ABS(K174-I174)/ABS(I174-J174),"止损方向不对"),"")</f>
        <v/>
      </c>
      <c r="M174" s="35" t="str">
        <f>IF(AND(ISNUMBER(I174),ISNUMBER(J174)),IF(I174=J174,"",IF(INT(ROUND('参数'!$C$7/(ABS(I174-J174)*IF(N(G174)&gt;0,G174,1)+2*(I174*IF(N(G174)&gt;0,G174,1)*'参数'!$C$12+'参数'!$C$13+'参数'!$C$14*IF(N(G174)&gt;0,G174,1)))/IF(N(H174)&gt;0,H174,1),6))*IF(N(H174)&gt;0,H174,1)&gt;0,INT(ROUND('参数'!$C$7/(ABS(I174-J174)*IF(N(G174)&gt;0,G174,1)+2*(I174*IF(N(G174)&gt;0,G174,1)*'参数'!$C$12+'参数'!$C$13+'参数'!$C$14*IF(N(G174)&gt;0,G174,1)))/IF(N(H174)&gt;0,H174,1),6))*IF(N(H174)&gt;0,H174,1),"预算不足，这笔不做")),"")</f>
        <v/>
      </c>
      <c r="N174" s="36" t="n"/>
      <c r="O174" s="20" t="str">
        <f>IF(AND(ISNUMBER(I174),ISNUMBER(J174),ISNUMBER(N174)),IF(AND(I174&lt;&gt;J174,N174&gt;0),ABS(I174-J174)*N174*IF(N(G174)&gt;0,G174,1),""),"")</f>
        <v/>
      </c>
      <c r="P174" s="31" t="n"/>
      <c r="Q174" s="32" t="n"/>
      <c r="R174" s="37" t="str">
        <f>IF(N(U174)&gt;0,SUMPRODUCT(LARGE(('成交明细'!$A$5:$A$804=A174)*('成交明细'!$D$5:$D$804=IF(F174="空","卖","买"))*'成交明细'!$B$5:$B$804,COUNTIFS('成交明细'!$A$5:$A$804,A174,'成交明细'!$D$5:$D$804,IF(F174="空","卖","买")))),"")</f>
        <v/>
      </c>
      <c r="S174" s="37" t="str">
        <f>IF(AND(N(U174)&gt;0,N(W174)&gt;=N(U174)),SUMPRODUCT(MAX(('成交明细'!$A$5:$A$804=A174)*('成交明细'!$D$5:$D$804=IF(F174="空","买","卖"))*'成交明细'!$B$5:$B$804)),"")</f>
        <v/>
      </c>
      <c r="T174" s="38" t="str">
        <f>IF(N(U174)=0,"",IF(SUMPRODUCT(('成交明细'!$A$5:$A$804=A174)*('成交明细'!$D$5:$D$804=IF(F174="空","卖","买"))*ISNUMBER('成交明细'!$C$5:$C$804))=0,"没填时间",IFERROR(VLOOKUP(MOD(SUMPRODUCT(LARGE(('成交明细'!$A$5:$A$804=A174)*('成交明细'!$D$5:$D$804=IF(F174="空","卖","买"))*('成交明细'!$B$5:$B$804+'成交明细'!$C$5:$C$804),COUNTIFS('成交明细'!$A$5:$A$804,A174,'成交明细'!$D$5:$D$804,IF(F174="空","卖","买")))),1),'参数'!$B$39:$C$48,2,TRUE),"")))</f>
        <v/>
      </c>
      <c r="U174" s="35" t="str">
        <f>IF(A174="","",SUMIFS('成交明细'!$F$5:$F$804,'成交明细'!$A$5:$A$804,A174,'成交明细'!$D$5:$D$804,IF(F174="空","卖","买")))</f>
        <v/>
      </c>
      <c r="V174" s="39" t="str">
        <f>IF(N(U174)&gt;0,SUMIFS('成交明细'!$H$5:$H$804,'成交明细'!$A$5:$A$804,A174,'成交明细'!$D$5:$D$804,IF(F174="空","卖","买"))/U174,"")</f>
        <v/>
      </c>
      <c r="W174" s="35" t="str">
        <f>IF(A174="","",SUMIFS('成交明细'!$F$5:$F$804,'成交明细'!$A$5:$A$804,A174,'成交明细'!$D$5:$D$804,IF(F174="空","买","卖")))</f>
        <v/>
      </c>
      <c r="X174" s="39" t="str">
        <f>IF(N(W174)&gt;0,SUMIFS('成交明细'!$H$5:$H$804,'成交明细'!$A$5:$A$804,A174,'成交明细'!$D$5:$D$804,IF(F174="空","买","卖"))/W174,"")</f>
        <v/>
      </c>
      <c r="Y174" s="40" t="str">
        <f>IF(A174="","",IF(Q174&lt;&gt;"已执行",IF(Q174="","未填执行情况",Q174),IF(N(U174)=0,"待录成交",IF(N(W174)&gt;N(U174),"平仓多于开仓",IF(N(W174)&lt;N(U174),"持仓中","已平仓")))))</f>
        <v/>
      </c>
      <c r="Z174" s="41" t="str">
        <f>IF(N(U174)=0,"",SUMIFS('成交明细'!$L$5:$L$804,'成交明细'!$A$5:$A$804,A174))</f>
        <v/>
      </c>
      <c r="AA174" s="42" t="str">
        <f>IF(Y174&lt;&gt;"已平仓","",(SUMIFS('成交明细'!$H$5:$H$804,'成交明细'!$A$5:$A$804,A174,'成交明细'!$D$5:$D$804,"卖")-SUMIFS('成交明细'!$H$5:$H$804,'成交明细'!$A$5:$A$804,A174,'成交明细'!$D$5:$D$804,"买"))*IF(N(G174)&gt;0,G174,1)-Z174)</f>
        <v/>
      </c>
      <c r="AB174" s="43" t="str">
        <f>IF(AND(Y174="已平仓",ISNUMBER(O174)),(SUMIFS('成交明细'!$H$5:$H$804,'成交明细'!$A$5:$A$804,A174,'成交明细'!$D$5:$D$804,"卖")-SUMIFS('成交明细'!$H$5:$H$804,'成交明细'!$A$5:$A$804,A174,'成交明细'!$D$5:$D$804,"买"))*IF(N(G174)&gt;0,G174,1)/O174,"")</f>
        <v/>
      </c>
      <c r="AC174" s="43" t="str">
        <f>IF(AND(Y174="已平仓",ISNUMBER(O174)),AA174/O174,"")</f>
        <v/>
      </c>
      <c r="AD174" s="44" t="str">
        <f>IF(AND(ISNUMBER(V174),ISNUMBER(I174)),IF(F174="空",I174-V174,V174-I174),"")</f>
        <v/>
      </c>
      <c r="AE174" s="44" t="str">
        <f>IF(OR(NOT(ISNUMBER(AA174)),NOT(ISNUMBER(X174))),"",IF(AA174&lt;0,IF(F174="空",X174-J174,J174-X174),IF(NOT(ISNUMBER(K174)),"",IF(F174="空",X174-K174,K174-X174))))</f>
        <v/>
      </c>
      <c r="AF174" s="32" t="n"/>
      <c r="AG174" s="32" t="n"/>
      <c r="AH174" s="31" t="n"/>
      <c r="AI174" s="43" t="str">
        <f>IF(A174="","",SUM(AC$5:AC174))</f>
        <v/>
      </c>
      <c r="AJ174" s="45" t="str">
        <f>IF(A174="","",MAX(0,MAX(AI$5:AI174))-AI174)</f>
        <v/>
      </c>
    </row>
    <row r="175">
      <c r="A175" s="29" t="n"/>
      <c r="B175" s="30" t="n"/>
      <c r="C175" s="31" t="n"/>
      <c r="D175" s="32" t="n"/>
      <c r="E175" s="32" t="n"/>
      <c r="F175" s="32" t="n"/>
      <c r="G175" s="32" t="n"/>
      <c r="H175" s="32" t="n"/>
      <c r="I175" s="33" t="n"/>
      <c r="J175" s="33" t="n"/>
      <c r="K175" s="33" t="n"/>
      <c r="L175" s="34" t="str">
        <f>IF(AND(ISNUMBER(I175),ISNUMBER(J175),ISNUMBER(K175)),IF(OR(AND(F175="多",I175&gt;J175),AND(F175="空",I175&lt;J175)),ABS(K175-I175)/ABS(I175-J175),"止损方向不对"),"")</f>
        <v/>
      </c>
      <c r="M175" s="35" t="str">
        <f>IF(AND(ISNUMBER(I175),ISNUMBER(J175)),IF(I175=J175,"",IF(INT(ROUND('参数'!$C$7/(ABS(I175-J175)*IF(N(G175)&gt;0,G175,1)+2*(I175*IF(N(G175)&gt;0,G175,1)*'参数'!$C$12+'参数'!$C$13+'参数'!$C$14*IF(N(G175)&gt;0,G175,1)))/IF(N(H175)&gt;0,H175,1),6))*IF(N(H175)&gt;0,H175,1)&gt;0,INT(ROUND('参数'!$C$7/(ABS(I175-J175)*IF(N(G175)&gt;0,G175,1)+2*(I175*IF(N(G175)&gt;0,G175,1)*'参数'!$C$12+'参数'!$C$13+'参数'!$C$14*IF(N(G175)&gt;0,G175,1)))/IF(N(H175)&gt;0,H175,1),6))*IF(N(H175)&gt;0,H175,1),"预算不足，这笔不做")),"")</f>
        <v/>
      </c>
      <c r="N175" s="36" t="n"/>
      <c r="O175" s="20" t="str">
        <f>IF(AND(ISNUMBER(I175),ISNUMBER(J175),ISNUMBER(N175)),IF(AND(I175&lt;&gt;J175,N175&gt;0),ABS(I175-J175)*N175*IF(N(G175)&gt;0,G175,1),""),"")</f>
        <v/>
      </c>
      <c r="P175" s="31" t="n"/>
      <c r="Q175" s="32" t="n"/>
      <c r="R175" s="37" t="str">
        <f>IF(N(U175)&gt;0,SUMPRODUCT(LARGE(('成交明细'!$A$5:$A$804=A175)*('成交明细'!$D$5:$D$804=IF(F175="空","卖","买"))*'成交明细'!$B$5:$B$804,COUNTIFS('成交明细'!$A$5:$A$804,A175,'成交明细'!$D$5:$D$804,IF(F175="空","卖","买")))),"")</f>
        <v/>
      </c>
      <c r="S175" s="37" t="str">
        <f>IF(AND(N(U175)&gt;0,N(W175)&gt;=N(U175)),SUMPRODUCT(MAX(('成交明细'!$A$5:$A$804=A175)*('成交明细'!$D$5:$D$804=IF(F175="空","买","卖"))*'成交明细'!$B$5:$B$804)),"")</f>
        <v/>
      </c>
      <c r="T175" s="38" t="str">
        <f>IF(N(U175)=0,"",IF(SUMPRODUCT(('成交明细'!$A$5:$A$804=A175)*('成交明细'!$D$5:$D$804=IF(F175="空","卖","买"))*ISNUMBER('成交明细'!$C$5:$C$804))=0,"没填时间",IFERROR(VLOOKUP(MOD(SUMPRODUCT(LARGE(('成交明细'!$A$5:$A$804=A175)*('成交明细'!$D$5:$D$804=IF(F175="空","卖","买"))*('成交明细'!$B$5:$B$804+'成交明细'!$C$5:$C$804),COUNTIFS('成交明细'!$A$5:$A$804,A175,'成交明细'!$D$5:$D$804,IF(F175="空","卖","买")))),1),'参数'!$B$39:$C$48,2,TRUE),"")))</f>
        <v/>
      </c>
      <c r="U175" s="35" t="str">
        <f>IF(A175="","",SUMIFS('成交明细'!$F$5:$F$804,'成交明细'!$A$5:$A$804,A175,'成交明细'!$D$5:$D$804,IF(F175="空","卖","买")))</f>
        <v/>
      </c>
      <c r="V175" s="39" t="str">
        <f>IF(N(U175)&gt;0,SUMIFS('成交明细'!$H$5:$H$804,'成交明细'!$A$5:$A$804,A175,'成交明细'!$D$5:$D$804,IF(F175="空","卖","买"))/U175,"")</f>
        <v/>
      </c>
      <c r="W175" s="35" t="str">
        <f>IF(A175="","",SUMIFS('成交明细'!$F$5:$F$804,'成交明细'!$A$5:$A$804,A175,'成交明细'!$D$5:$D$804,IF(F175="空","买","卖")))</f>
        <v/>
      </c>
      <c r="X175" s="39" t="str">
        <f>IF(N(W175)&gt;0,SUMIFS('成交明细'!$H$5:$H$804,'成交明细'!$A$5:$A$804,A175,'成交明细'!$D$5:$D$804,IF(F175="空","买","卖"))/W175,"")</f>
        <v/>
      </c>
      <c r="Y175" s="40" t="str">
        <f>IF(A175="","",IF(Q175&lt;&gt;"已执行",IF(Q175="","未填执行情况",Q175),IF(N(U175)=0,"待录成交",IF(N(W175)&gt;N(U175),"平仓多于开仓",IF(N(W175)&lt;N(U175),"持仓中","已平仓")))))</f>
        <v/>
      </c>
      <c r="Z175" s="41" t="str">
        <f>IF(N(U175)=0,"",SUMIFS('成交明细'!$L$5:$L$804,'成交明细'!$A$5:$A$804,A175))</f>
        <v/>
      </c>
      <c r="AA175" s="42" t="str">
        <f>IF(Y175&lt;&gt;"已平仓","",(SUMIFS('成交明细'!$H$5:$H$804,'成交明细'!$A$5:$A$804,A175,'成交明细'!$D$5:$D$804,"卖")-SUMIFS('成交明细'!$H$5:$H$804,'成交明细'!$A$5:$A$804,A175,'成交明细'!$D$5:$D$804,"买"))*IF(N(G175)&gt;0,G175,1)-Z175)</f>
        <v/>
      </c>
      <c r="AB175" s="43" t="str">
        <f>IF(AND(Y175="已平仓",ISNUMBER(O175)),(SUMIFS('成交明细'!$H$5:$H$804,'成交明细'!$A$5:$A$804,A175,'成交明细'!$D$5:$D$804,"卖")-SUMIFS('成交明细'!$H$5:$H$804,'成交明细'!$A$5:$A$804,A175,'成交明细'!$D$5:$D$804,"买"))*IF(N(G175)&gt;0,G175,1)/O175,"")</f>
        <v/>
      </c>
      <c r="AC175" s="43" t="str">
        <f>IF(AND(Y175="已平仓",ISNUMBER(O175)),AA175/O175,"")</f>
        <v/>
      </c>
      <c r="AD175" s="44" t="str">
        <f>IF(AND(ISNUMBER(V175),ISNUMBER(I175)),IF(F175="空",I175-V175,V175-I175),"")</f>
        <v/>
      </c>
      <c r="AE175" s="44" t="str">
        <f>IF(OR(NOT(ISNUMBER(AA175)),NOT(ISNUMBER(X175))),"",IF(AA175&lt;0,IF(F175="空",X175-J175,J175-X175),IF(NOT(ISNUMBER(K175)),"",IF(F175="空",X175-K175,K175-X175))))</f>
        <v/>
      </c>
      <c r="AF175" s="32" t="n"/>
      <c r="AG175" s="32" t="n"/>
      <c r="AH175" s="31" t="n"/>
      <c r="AI175" s="43" t="str">
        <f>IF(A175="","",SUM(AC$5:AC175))</f>
        <v/>
      </c>
      <c r="AJ175" s="45" t="str">
        <f>IF(A175="","",MAX(0,MAX(AI$5:AI175))-AI175)</f>
        <v/>
      </c>
    </row>
    <row r="176">
      <c r="A176" s="29" t="n"/>
      <c r="B176" s="30" t="n"/>
      <c r="C176" s="31" t="n"/>
      <c r="D176" s="32" t="n"/>
      <c r="E176" s="32" t="n"/>
      <c r="F176" s="32" t="n"/>
      <c r="G176" s="32" t="n"/>
      <c r="H176" s="32" t="n"/>
      <c r="I176" s="33" t="n"/>
      <c r="J176" s="33" t="n"/>
      <c r="K176" s="33" t="n"/>
      <c r="L176" s="34" t="str">
        <f>IF(AND(ISNUMBER(I176),ISNUMBER(J176),ISNUMBER(K176)),IF(OR(AND(F176="多",I176&gt;J176),AND(F176="空",I176&lt;J176)),ABS(K176-I176)/ABS(I176-J176),"止损方向不对"),"")</f>
        <v/>
      </c>
      <c r="M176" s="35" t="str">
        <f>IF(AND(ISNUMBER(I176),ISNUMBER(J176)),IF(I176=J176,"",IF(INT(ROUND('参数'!$C$7/(ABS(I176-J176)*IF(N(G176)&gt;0,G176,1)+2*(I176*IF(N(G176)&gt;0,G176,1)*'参数'!$C$12+'参数'!$C$13+'参数'!$C$14*IF(N(G176)&gt;0,G176,1)))/IF(N(H176)&gt;0,H176,1),6))*IF(N(H176)&gt;0,H176,1)&gt;0,INT(ROUND('参数'!$C$7/(ABS(I176-J176)*IF(N(G176)&gt;0,G176,1)+2*(I176*IF(N(G176)&gt;0,G176,1)*'参数'!$C$12+'参数'!$C$13+'参数'!$C$14*IF(N(G176)&gt;0,G176,1)))/IF(N(H176)&gt;0,H176,1),6))*IF(N(H176)&gt;0,H176,1),"预算不足，这笔不做")),"")</f>
        <v/>
      </c>
      <c r="N176" s="36" t="n"/>
      <c r="O176" s="20" t="str">
        <f>IF(AND(ISNUMBER(I176),ISNUMBER(J176),ISNUMBER(N176)),IF(AND(I176&lt;&gt;J176,N176&gt;0),ABS(I176-J176)*N176*IF(N(G176)&gt;0,G176,1),""),"")</f>
        <v/>
      </c>
      <c r="P176" s="31" t="n"/>
      <c r="Q176" s="32" t="n"/>
      <c r="R176" s="37" t="str">
        <f>IF(N(U176)&gt;0,SUMPRODUCT(LARGE(('成交明细'!$A$5:$A$804=A176)*('成交明细'!$D$5:$D$804=IF(F176="空","卖","买"))*'成交明细'!$B$5:$B$804,COUNTIFS('成交明细'!$A$5:$A$804,A176,'成交明细'!$D$5:$D$804,IF(F176="空","卖","买")))),"")</f>
        <v/>
      </c>
      <c r="S176" s="37" t="str">
        <f>IF(AND(N(U176)&gt;0,N(W176)&gt;=N(U176)),SUMPRODUCT(MAX(('成交明细'!$A$5:$A$804=A176)*('成交明细'!$D$5:$D$804=IF(F176="空","买","卖"))*'成交明细'!$B$5:$B$804)),"")</f>
        <v/>
      </c>
      <c r="T176" s="38" t="str">
        <f>IF(N(U176)=0,"",IF(SUMPRODUCT(('成交明细'!$A$5:$A$804=A176)*('成交明细'!$D$5:$D$804=IF(F176="空","卖","买"))*ISNUMBER('成交明细'!$C$5:$C$804))=0,"没填时间",IFERROR(VLOOKUP(MOD(SUMPRODUCT(LARGE(('成交明细'!$A$5:$A$804=A176)*('成交明细'!$D$5:$D$804=IF(F176="空","卖","买"))*('成交明细'!$B$5:$B$804+'成交明细'!$C$5:$C$804),COUNTIFS('成交明细'!$A$5:$A$804,A176,'成交明细'!$D$5:$D$804,IF(F176="空","卖","买")))),1),'参数'!$B$39:$C$48,2,TRUE),"")))</f>
        <v/>
      </c>
      <c r="U176" s="35" t="str">
        <f>IF(A176="","",SUMIFS('成交明细'!$F$5:$F$804,'成交明细'!$A$5:$A$804,A176,'成交明细'!$D$5:$D$804,IF(F176="空","卖","买")))</f>
        <v/>
      </c>
      <c r="V176" s="39" t="str">
        <f>IF(N(U176)&gt;0,SUMIFS('成交明细'!$H$5:$H$804,'成交明细'!$A$5:$A$804,A176,'成交明细'!$D$5:$D$804,IF(F176="空","卖","买"))/U176,"")</f>
        <v/>
      </c>
      <c r="W176" s="35" t="str">
        <f>IF(A176="","",SUMIFS('成交明细'!$F$5:$F$804,'成交明细'!$A$5:$A$804,A176,'成交明细'!$D$5:$D$804,IF(F176="空","买","卖")))</f>
        <v/>
      </c>
      <c r="X176" s="39" t="str">
        <f>IF(N(W176)&gt;0,SUMIFS('成交明细'!$H$5:$H$804,'成交明细'!$A$5:$A$804,A176,'成交明细'!$D$5:$D$804,IF(F176="空","买","卖"))/W176,"")</f>
        <v/>
      </c>
      <c r="Y176" s="40" t="str">
        <f>IF(A176="","",IF(Q176&lt;&gt;"已执行",IF(Q176="","未填执行情况",Q176),IF(N(U176)=0,"待录成交",IF(N(W176)&gt;N(U176),"平仓多于开仓",IF(N(W176)&lt;N(U176),"持仓中","已平仓")))))</f>
        <v/>
      </c>
      <c r="Z176" s="41" t="str">
        <f>IF(N(U176)=0,"",SUMIFS('成交明细'!$L$5:$L$804,'成交明细'!$A$5:$A$804,A176))</f>
        <v/>
      </c>
      <c r="AA176" s="42" t="str">
        <f>IF(Y176&lt;&gt;"已平仓","",(SUMIFS('成交明细'!$H$5:$H$804,'成交明细'!$A$5:$A$804,A176,'成交明细'!$D$5:$D$804,"卖")-SUMIFS('成交明细'!$H$5:$H$804,'成交明细'!$A$5:$A$804,A176,'成交明细'!$D$5:$D$804,"买"))*IF(N(G176)&gt;0,G176,1)-Z176)</f>
        <v/>
      </c>
      <c r="AB176" s="43" t="str">
        <f>IF(AND(Y176="已平仓",ISNUMBER(O176)),(SUMIFS('成交明细'!$H$5:$H$804,'成交明细'!$A$5:$A$804,A176,'成交明细'!$D$5:$D$804,"卖")-SUMIFS('成交明细'!$H$5:$H$804,'成交明细'!$A$5:$A$804,A176,'成交明细'!$D$5:$D$804,"买"))*IF(N(G176)&gt;0,G176,1)/O176,"")</f>
        <v/>
      </c>
      <c r="AC176" s="43" t="str">
        <f>IF(AND(Y176="已平仓",ISNUMBER(O176)),AA176/O176,"")</f>
        <v/>
      </c>
      <c r="AD176" s="44" t="str">
        <f>IF(AND(ISNUMBER(V176),ISNUMBER(I176)),IF(F176="空",I176-V176,V176-I176),"")</f>
        <v/>
      </c>
      <c r="AE176" s="44" t="str">
        <f>IF(OR(NOT(ISNUMBER(AA176)),NOT(ISNUMBER(X176))),"",IF(AA176&lt;0,IF(F176="空",X176-J176,J176-X176),IF(NOT(ISNUMBER(K176)),"",IF(F176="空",X176-K176,K176-X176))))</f>
        <v/>
      </c>
      <c r="AF176" s="32" t="n"/>
      <c r="AG176" s="32" t="n"/>
      <c r="AH176" s="31" t="n"/>
      <c r="AI176" s="43" t="str">
        <f>IF(A176="","",SUM(AC$5:AC176))</f>
        <v/>
      </c>
      <c r="AJ176" s="45" t="str">
        <f>IF(A176="","",MAX(0,MAX(AI$5:AI176))-AI176)</f>
        <v/>
      </c>
    </row>
    <row r="177">
      <c r="A177" s="29" t="n"/>
      <c r="B177" s="30" t="n"/>
      <c r="C177" s="31" t="n"/>
      <c r="D177" s="32" t="n"/>
      <c r="E177" s="32" t="n"/>
      <c r="F177" s="32" t="n"/>
      <c r="G177" s="32" t="n"/>
      <c r="H177" s="32" t="n"/>
      <c r="I177" s="33" t="n"/>
      <c r="J177" s="33" t="n"/>
      <c r="K177" s="33" t="n"/>
      <c r="L177" s="34" t="str">
        <f>IF(AND(ISNUMBER(I177),ISNUMBER(J177),ISNUMBER(K177)),IF(OR(AND(F177="多",I177&gt;J177),AND(F177="空",I177&lt;J177)),ABS(K177-I177)/ABS(I177-J177),"止损方向不对"),"")</f>
        <v/>
      </c>
      <c r="M177" s="35" t="str">
        <f>IF(AND(ISNUMBER(I177),ISNUMBER(J177)),IF(I177=J177,"",IF(INT(ROUND('参数'!$C$7/(ABS(I177-J177)*IF(N(G177)&gt;0,G177,1)+2*(I177*IF(N(G177)&gt;0,G177,1)*'参数'!$C$12+'参数'!$C$13+'参数'!$C$14*IF(N(G177)&gt;0,G177,1)))/IF(N(H177)&gt;0,H177,1),6))*IF(N(H177)&gt;0,H177,1)&gt;0,INT(ROUND('参数'!$C$7/(ABS(I177-J177)*IF(N(G177)&gt;0,G177,1)+2*(I177*IF(N(G177)&gt;0,G177,1)*'参数'!$C$12+'参数'!$C$13+'参数'!$C$14*IF(N(G177)&gt;0,G177,1)))/IF(N(H177)&gt;0,H177,1),6))*IF(N(H177)&gt;0,H177,1),"预算不足，这笔不做")),"")</f>
        <v/>
      </c>
      <c r="N177" s="36" t="n"/>
      <c r="O177" s="20" t="str">
        <f>IF(AND(ISNUMBER(I177),ISNUMBER(J177),ISNUMBER(N177)),IF(AND(I177&lt;&gt;J177,N177&gt;0),ABS(I177-J177)*N177*IF(N(G177)&gt;0,G177,1),""),"")</f>
        <v/>
      </c>
      <c r="P177" s="31" t="n"/>
      <c r="Q177" s="32" t="n"/>
      <c r="R177" s="37" t="str">
        <f>IF(N(U177)&gt;0,SUMPRODUCT(LARGE(('成交明细'!$A$5:$A$804=A177)*('成交明细'!$D$5:$D$804=IF(F177="空","卖","买"))*'成交明细'!$B$5:$B$804,COUNTIFS('成交明细'!$A$5:$A$804,A177,'成交明细'!$D$5:$D$804,IF(F177="空","卖","买")))),"")</f>
        <v/>
      </c>
      <c r="S177" s="37" t="str">
        <f>IF(AND(N(U177)&gt;0,N(W177)&gt;=N(U177)),SUMPRODUCT(MAX(('成交明细'!$A$5:$A$804=A177)*('成交明细'!$D$5:$D$804=IF(F177="空","买","卖"))*'成交明细'!$B$5:$B$804)),"")</f>
        <v/>
      </c>
      <c r="T177" s="38" t="str">
        <f>IF(N(U177)=0,"",IF(SUMPRODUCT(('成交明细'!$A$5:$A$804=A177)*('成交明细'!$D$5:$D$804=IF(F177="空","卖","买"))*ISNUMBER('成交明细'!$C$5:$C$804))=0,"没填时间",IFERROR(VLOOKUP(MOD(SUMPRODUCT(LARGE(('成交明细'!$A$5:$A$804=A177)*('成交明细'!$D$5:$D$804=IF(F177="空","卖","买"))*('成交明细'!$B$5:$B$804+'成交明细'!$C$5:$C$804),COUNTIFS('成交明细'!$A$5:$A$804,A177,'成交明细'!$D$5:$D$804,IF(F177="空","卖","买")))),1),'参数'!$B$39:$C$48,2,TRUE),"")))</f>
        <v/>
      </c>
      <c r="U177" s="35" t="str">
        <f>IF(A177="","",SUMIFS('成交明细'!$F$5:$F$804,'成交明细'!$A$5:$A$804,A177,'成交明细'!$D$5:$D$804,IF(F177="空","卖","买")))</f>
        <v/>
      </c>
      <c r="V177" s="39" t="str">
        <f>IF(N(U177)&gt;0,SUMIFS('成交明细'!$H$5:$H$804,'成交明细'!$A$5:$A$804,A177,'成交明细'!$D$5:$D$804,IF(F177="空","卖","买"))/U177,"")</f>
        <v/>
      </c>
      <c r="W177" s="35" t="str">
        <f>IF(A177="","",SUMIFS('成交明细'!$F$5:$F$804,'成交明细'!$A$5:$A$804,A177,'成交明细'!$D$5:$D$804,IF(F177="空","买","卖")))</f>
        <v/>
      </c>
      <c r="X177" s="39" t="str">
        <f>IF(N(W177)&gt;0,SUMIFS('成交明细'!$H$5:$H$804,'成交明细'!$A$5:$A$804,A177,'成交明细'!$D$5:$D$804,IF(F177="空","买","卖"))/W177,"")</f>
        <v/>
      </c>
      <c r="Y177" s="40" t="str">
        <f>IF(A177="","",IF(Q177&lt;&gt;"已执行",IF(Q177="","未填执行情况",Q177),IF(N(U177)=0,"待录成交",IF(N(W177)&gt;N(U177),"平仓多于开仓",IF(N(W177)&lt;N(U177),"持仓中","已平仓")))))</f>
        <v/>
      </c>
      <c r="Z177" s="41" t="str">
        <f>IF(N(U177)=0,"",SUMIFS('成交明细'!$L$5:$L$804,'成交明细'!$A$5:$A$804,A177))</f>
        <v/>
      </c>
      <c r="AA177" s="42" t="str">
        <f>IF(Y177&lt;&gt;"已平仓","",(SUMIFS('成交明细'!$H$5:$H$804,'成交明细'!$A$5:$A$804,A177,'成交明细'!$D$5:$D$804,"卖")-SUMIFS('成交明细'!$H$5:$H$804,'成交明细'!$A$5:$A$804,A177,'成交明细'!$D$5:$D$804,"买"))*IF(N(G177)&gt;0,G177,1)-Z177)</f>
        <v/>
      </c>
      <c r="AB177" s="43" t="str">
        <f>IF(AND(Y177="已平仓",ISNUMBER(O177)),(SUMIFS('成交明细'!$H$5:$H$804,'成交明细'!$A$5:$A$804,A177,'成交明细'!$D$5:$D$804,"卖")-SUMIFS('成交明细'!$H$5:$H$804,'成交明细'!$A$5:$A$804,A177,'成交明细'!$D$5:$D$804,"买"))*IF(N(G177)&gt;0,G177,1)/O177,"")</f>
        <v/>
      </c>
      <c r="AC177" s="43" t="str">
        <f>IF(AND(Y177="已平仓",ISNUMBER(O177)),AA177/O177,"")</f>
        <v/>
      </c>
      <c r="AD177" s="44" t="str">
        <f>IF(AND(ISNUMBER(V177),ISNUMBER(I177)),IF(F177="空",I177-V177,V177-I177),"")</f>
        <v/>
      </c>
      <c r="AE177" s="44" t="str">
        <f>IF(OR(NOT(ISNUMBER(AA177)),NOT(ISNUMBER(X177))),"",IF(AA177&lt;0,IF(F177="空",X177-J177,J177-X177),IF(NOT(ISNUMBER(K177)),"",IF(F177="空",X177-K177,K177-X177))))</f>
        <v/>
      </c>
      <c r="AF177" s="32" t="n"/>
      <c r="AG177" s="32" t="n"/>
      <c r="AH177" s="31" t="n"/>
      <c r="AI177" s="43" t="str">
        <f>IF(A177="","",SUM(AC$5:AC177))</f>
        <v/>
      </c>
      <c r="AJ177" s="45" t="str">
        <f>IF(A177="","",MAX(0,MAX(AI$5:AI177))-AI177)</f>
        <v/>
      </c>
    </row>
    <row r="178">
      <c r="A178" s="29" t="n"/>
      <c r="B178" s="30" t="n"/>
      <c r="C178" s="31" t="n"/>
      <c r="D178" s="32" t="n"/>
      <c r="E178" s="32" t="n"/>
      <c r="F178" s="32" t="n"/>
      <c r="G178" s="32" t="n"/>
      <c r="H178" s="32" t="n"/>
      <c r="I178" s="33" t="n"/>
      <c r="J178" s="33" t="n"/>
      <c r="K178" s="33" t="n"/>
      <c r="L178" s="34" t="str">
        <f>IF(AND(ISNUMBER(I178),ISNUMBER(J178),ISNUMBER(K178)),IF(OR(AND(F178="多",I178&gt;J178),AND(F178="空",I178&lt;J178)),ABS(K178-I178)/ABS(I178-J178),"止损方向不对"),"")</f>
        <v/>
      </c>
      <c r="M178" s="35" t="str">
        <f>IF(AND(ISNUMBER(I178),ISNUMBER(J178)),IF(I178=J178,"",IF(INT(ROUND('参数'!$C$7/(ABS(I178-J178)*IF(N(G178)&gt;0,G178,1)+2*(I178*IF(N(G178)&gt;0,G178,1)*'参数'!$C$12+'参数'!$C$13+'参数'!$C$14*IF(N(G178)&gt;0,G178,1)))/IF(N(H178)&gt;0,H178,1),6))*IF(N(H178)&gt;0,H178,1)&gt;0,INT(ROUND('参数'!$C$7/(ABS(I178-J178)*IF(N(G178)&gt;0,G178,1)+2*(I178*IF(N(G178)&gt;0,G178,1)*'参数'!$C$12+'参数'!$C$13+'参数'!$C$14*IF(N(G178)&gt;0,G178,1)))/IF(N(H178)&gt;0,H178,1),6))*IF(N(H178)&gt;0,H178,1),"预算不足，这笔不做")),"")</f>
        <v/>
      </c>
      <c r="N178" s="36" t="n"/>
      <c r="O178" s="20" t="str">
        <f>IF(AND(ISNUMBER(I178),ISNUMBER(J178),ISNUMBER(N178)),IF(AND(I178&lt;&gt;J178,N178&gt;0),ABS(I178-J178)*N178*IF(N(G178)&gt;0,G178,1),""),"")</f>
        <v/>
      </c>
      <c r="P178" s="31" t="n"/>
      <c r="Q178" s="32" t="n"/>
      <c r="R178" s="37" t="str">
        <f>IF(N(U178)&gt;0,SUMPRODUCT(LARGE(('成交明细'!$A$5:$A$804=A178)*('成交明细'!$D$5:$D$804=IF(F178="空","卖","买"))*'成交明细'!$B$5:$B$804,COUNTIFS('成交明细'!$A$5:$A$804,A178,'成交明细'!$D$5:$D$804,IF(F178="空","卖","买")))),"")</f>
        <v/>
      </c>
      <c r="S178" s="37" t="str">
        <f>IF(AND(N(U178)&gt;0,N(W178)&gt;=N(U178)),SUMPRODUCT(MAX(('成交明细'!$A$5:$A$804=A178)*('成交明细'!$D$5:$D$804=IF(F178="空","买","卖"))*'成交明细'!$B$5:$B$804)),"")</f>
        <v/>
      </c>
      <c r="T178" s="38" t="str">
        <f>IF(N(U178)=0,"",IF(SUMPRODUCT(('成交明细'!$A$5:$A$804=A178)*('成交明细'!$D$5:$D$804=IF(F178="空","卖","买"))*ISNUMBER('成交明细'!$C$5:$C$804))=0,"没填时间",IFERROR(VLOOKUP(MOD(SUMPRODUCT(LARGE(('成交明细'!$A$5:$A$804=A178)*('成交明细'!$D$5:$D$804=IF(F178="空","卖","买"))*('成交明细'!$B$5:$B$804+'成交明细'!$C$5:$C$804),COUNTIFS('成交明细'!$A$5:$A$804,A178,'成交明细'!$D$5:$D$804,IF(F178="空","卖","买")))),1),'参数'!$B$39:$C$48,2,TRUE),"")))</f>
        <v/>
      </c>
      <c r="U178" s="35" t="str">
        <f>IF(A178="","",SUMIFS('成交明细'!$F$5:$F$804,'成交明细'!$A$5:$A$804,A178,'成交明细'!$D$5:$D$804,IF(F178="空","卖","买")))</f>
        <v/>
      </c>
      <c r="V178" s="39" t="str">
        <f>IF(N(U178)&gt;0,SUMIFS('成交明细'!$H$5:$H$804,'成交明细'!$A$5:$A$804,A178,'成交明细'!$D$5:$D$804,IF(F178="空","卖","买"))/U178,"")</f>
        <v/>
      </c>
      <c r="W178" s="35" t="str">
        <f>IF(A178="","",SUMIFS('成交明细'!$F$5:$F$804,'成交明细'!$A$5:$A$804,A178,'成交明细'!$D$5:$D$804,IF(F178="空","买","卖")))</f>
        <v/>
      </c>
      <c r="X178" s="39" t="str">
        <f>IF(N(W178)&gt;0,SUMIFS('成交明细'!$H$5:$H$804,'成交明细'!$A$5:$A$804,A178,'成交明细'!$D$5:$D$804,IF(F178="空","买","卖"))/W178,"")</f>
        <v/>
      </c>
      <c r="Y178" s="40" t="str">
        <f>IF(A178="","",IF(Q178&lt;&gt;"已执行",IF(Q178="","未填执行情况",Q178),IF(N(U178)=0,"待录成交",IF(N(W178)&gt;N(U178),"平仓多于开仓",IF(N(W178)&lt;N(U178),"持仓中","已平仓")))))</f>
        <v/>
      </c>
      <c r="Z178" s="41" t="str">
        <f>IF(N(U178)=0,"",SUMIFS('成交明细'!$L$5:$L$804,'成交明细'!$A$5:$A$804,A178))</f>
        <v/>
      </c>
      <c r="AA178" s="42" t="str">
        <f>IF(Y178&lt;&gt;"已平仓","",(SUMIFS('成交明细'!$H$5:$H$804,'成交明细'!$A$5:$A$804,A178,'成交明细'!$D$5:$D$804,"卖")-SUMIFS('成交明细'!$H$5:$H$804,'成交明细'!$A$5:$A$804,A178,'成交明细'!$D$5:$D$804,"买"))*IF(N(G178)&gt;0,G178,1)-Z178)</f>
        <v/>
      </c>
      <c r="AB178" s="43" t="str">
        <f>IF(AND(Y178="已平仓",ISNUMBER(O178)),(SUMIFS('成交明细'!$H$5:$H$804,'成交明细'!$A$5:$A$804,A178,'成交明细'!$D$5:$D$804,"卖")-SUMIFS('成交明细'!$H$5:$H$804,'成交明细'!$A$5:$A$804,A178,'成交明细'!$D$5:$D$804,"买"))*IF(N(G178)&gt;0,G178,1)/O178,"")</f>
        <v/>
      </c>
      <c r="AC178" s="43" t="str">
        <f>IF(AND(Y178="已平仓",ISNUMBER(O178)),AA178/O178,"")</f>
        <v/>
      </c>
      <c r="AD178" s="44" t="str">
        <f>IF(AND(ISNUMBER(V178),ISNUMBER(I178)),IF(F178="空",I178-V178,V178-I178),"")</f>
        <v/>
      </c>
      <c r="AE178" s="44" t="str">
        <f>IF(OR(NOT(ISNUMBER(AA178)),NOT(ISNUMBER(X178))),"",IF(AA178&lt;0,IF(F178="空",X178-J178,J178-X178),IF(NOT(ISNUMBER(K178)),"",IF(F178="空",X178-K178,K178-X178))))</f>
        <v/>
      </c>
      <c r="AF178" s="32" t="n"/>
      <c r="AG178" s="32" t="n"/>
      <c r="AH178" s="31" t="n"/>
      <c r="AI178" s="43" t="str">
        <f>IF(A178="","",SUM(AC$5:AC178))</f>
        <v/>
      </c>
      <c r="AJ178" s="45" t="str">
        <f>IF(A178="","",MAX(0,MAX(AI$5:AI178))-AI178)</f>
        <v/>
      </c>
    </row>
    <row r="179">
      <c r="A179" s="29" t="n"/>
      <c r="B179" s="30" t="n"/>
      <c r="C179" s="31" t="n"/>
      <c r="D179" s="32" t="n"/>
      <c r="E179" s="32" t="n"/>
      <c r="F179" s="32" t="n"/>
      <c r="G179" s="32" t="n"/>
      <c r="H179" s="32" t="n"/>
      <c r="I179" s="33" t="n"/>
      <c r="J179" s="33" t="n"/>
      <c r="K179" s="33" t="n"/>
      <c r="L179" s="34" t="str">
        <f>IF(AND(ISNUMBER(I179),ISNUMBER(J179),ISNUMBER(K179)),IF(OR(AND(F179="多",I179&gt;J179),AND(F179="空",I179&lt;J179)),ABS(K179-I179)/ABS(I179-J179),"止损方向不对"),"")</f>
        <v/>
      </c>
      <c r="M179" s="35" t="str">
        <f>IF(AND(ISNUMBER(I179),ISNUMBER(J179)),IF(I179=J179,"",IF(INT(ROUND('参数'!$C$7/(ABS(I179-J179)*IF(N(G179)&gt;0,G179,1)+2*(I179*IF(N(G179)&gt;0,G179,1)*'参数'!$C$12+'参数'!$C$13+'参数'!$C$14*IF(N(G179)&gt;0,G179,1)))/IF(N(H179)&gt;0,H179,1),6))*IF(N(H179)&gt;0,H179,1)&gt;0,INT(ROUND('参数'!$C$7/(ABS(I179-J179)*IF(N(G179)&gt;0,G179,1)+2*(I179*IF(N(G179)&gt;0,G179,1)*'参数'!$C$12+'参数'!$C$13+'参数'!$C$14*IF(N(G179)&gt;0,G179,1)))/IF(N(H179)&gt;0,H179,1),6))*IF(N(H179)&gt;0,H179,1),"预算不足，这笔不做")),"")</f>
        <v/>
      </c>
      <c r="N179" s="36" t="n"/>
      <c r="O179" s="20" t="str">
        <f>IF(AND(ISNUMBER(I179),ISNUMBER(J179),ISNUMBER(N179)),IF(AND(I179&lt;&gt;J179,N179&gt;0),ABS(I179-J179)*N179*IF(N(G179)&gt;0,G179,1),""),"")</f>
        <v/>
      </c>
      <c r="P179" s="31" t="n"/>
      <c r="Q179" s="32" t="n"/>
      <c r="R179" s="37" t="str">
        <f>IF(N(U179)&gt;0,SUMPRODUCT(LARGE(('成交明细'!$A$5:$A$804=A179)*('成交明细'!$D$5:$D$804=IF(F179="空","卖","买"))*'成交明细'!$B$5:$B$804,COUNTIFS('成交明细'!$A$5:$A$804,A179,'成交明细'!$D$5:$D$804,IF(F179="空","卖","买")))),"")</f>
        <v/>
      </c>
      <c r="S179" s="37" t="str">
        <f>IF(AND(N(U179)&gt;0,N(W179)&gt;=N(U179)),SUMPRODUCT(MAX(('成交明细'!$A$5:$A$804=A179)*('成交明细'!$D$5:$D$804=IF(F179="空","买","卖"))*'成交明细'!$B$5:$B$804)),"")</f>
        <v/>
      </c>
      <c r="T179" s="38" t="str">
        <f>IF(N(U179)=0,"",IF(SUMPRODUCT(('成交明细'!$A$5:$A$804=A179)*('成交明细'!$D$5:$D$804=IF(F179="空","卖","买"))*ISNUMBER('成交明细'!$C$5:$C$804))=0,"没填时间",IFERROR(VLOOKUP(MOD(SUMPRODUCT(LARGE(('成交明细'!$A$5:$A$804=A179)*('成交明细'!$D$5:$D$804=IF(F179="空","卖","买"))*('成交明细'!$B$5:$B$804+'成交明细'!$C$5:$C$804),COUNTIFS('成交明细'!$A$5:$A$804,A179,'成交明细'!$D$5:$D$804,IF(F179="空","卖","买")))),1),'参数'!$B$39:$C$48,2,TRUE),"")))</f>
        <v/>
      </c>
      <c r="U179" s="35" t="str">
        <f>IF(A179="","",SUMIFS('成交明细'!$F$5:$F$804,'成交明细'!$A$5:$A$804,A179,'成交明细'!$D$5:$D$804,IF(F179="空","卖","买")))</f>
        <v/>
      </c>
      <c r="V179" s="39" t="str">
        <f>IF(N(U179)&gt;0,SUMIFS('成交明细'!$H$5:$H$804,'成交明细'!$A$5:$A$804,A179,'成交明细'!$D$5:$D$804,IF(F179="空","卖","买"))/U179,"")</f>
        <v/>
      </c>
      <c r="W179" s="35" t="str">
        <f>IF(A179="","",SUMIFS('成交明细'!$F$5:$F$804,'成交明细'!$A$5:$A$804,A179,'成交明细'!$D$5:$D$804,IF(F179="空","买","卖")))</f>
        <v/>
      </c>
      <c r="X179" s="39" t="str">
        <f>IF(N(W179)&gt;0,SUMIFS('成交明细'!$H$5:$H$804,'成交明细'!$A$5:$A$804,A179,'成交明细'!$D$5:$D$804,IF(F179="空","买","卖"))/W179,"")</f>
        <v/>
      </c>
      <c r="Y179" s="40" t="str">
        <f>IF(A179="","",IF(Q179&lt;&gt;"已执行",IF(Q179="","未填执行情况",Q179),IF(N(U179)=0,"待录成交",IF(N(W179)&gt;N(U179),"平仓多于开仓",IF(N(W179)&lt;N(U179),"持仓中","已平仓")))))</f>
        <v/>
      </c>
      <c r="Z179" s="41" t="str">
        <f>IF(N(U179)=0,"",SUMIFS('成交明细'!$L$5:$L$804,'成交明细'!$A$5:$A$804,A179))</f>
        <v/>
      </c>
      <c r="AA179" s="42" t="str">
        <f>IF(Y179&lt;&gt;"已平仓","",(SUMIFS('成交明细'!$H$5:$H$804,'成交明细'!$A$5:$A$804,A179,'成交明细'!$D$5:$D$804,"卖")-SUMIFS('成交明细'!$H$5:$H$804,'成交明细'!$A$5:$A$804,A179,'成交明细'!$D$5:$D$804,"买"))*IF(N(G179)&gt;0,G179,1)-Z179)</f>
        <v/>
      </c>
      <c r="AB179" s="43" t="str">
        <f>IF(AND(Y179="已平仓",ISNUMBER(O179)),(SUMIFS('成交明细'!$H$5:$H$804,'成交明细'!$A$5:$A$804,A179,'成交明细'!$D$5:$D$804,"卖")-SUMIFS('成交明细'!$H$5:$H$804,'成交明细'!$A$5:$A$804,A179,'成交明细'!$D$5:$D$804,"买"))*IF(N(G179)&gt;0,G179,1)/O179,"")</f>
        <v/>
      </c>
      <c r="AC179" s="43" t="str">
        <f>IF(AND(Y179="已平仓",ISNUMBER(O179)),AA179/O179,"")</f>
        <v/>
      </c>
      <c r="AD179" s="44" t="str">
        <f>IF(AND(ISNUMBER(V179),ISNUMBER(I179)),IF(F179="空",I179-V179,V179-I179),"")</f>
        <v/>
      </c>
      <c r="AE179" s="44" t="str">
        <f>IF(OR(NOT(ISNUMBER(AA179)),NOT(ISNUMBER(X179))),"",IF(AA179&lt;0,IF(F179="空",X179-J179,J179-X179),IF(NOT(ISNUMBER(K179)),"",IF(F179="空",X179-K179,K179-X179))))</f>
        <v/>
      </c>
      <c r="AF179" s="32" t="n"/>
      <c r="AG179" s="32" t="n"/>
      <c r="AH179" s="31" t="n"/>
      <c r="AI179" s="43" t="str">
        <f>IF(A179="","",SUM(AC$5:AC179))</f>
        <v/>
      </c>
      <c r="AJ179" s="45" t="str">
        <f>IF(A179="","",MAX(0,MAX(AI$5:AI179))-AI179)</f>
        <v/>
      </c>
    </row>
    <row r="180">
      <c r="A180" s="29" t="n"/>
      <c r="B180" s="30" t="n"/>
      <c r="C180" s="31" t="n"/>
      <c r="D180" s="32" t="n"/>
      <c r="E180" s="32" t="n"/>
      <c r="F180" s="32" t="n"/>
      <c r="G180" s="32" t="n"/>
      <c r="H180" s="32" t="n"/>
      <c r="I180" s="33" t="n"/>
      <c r="J180" s="33" t="n"/>
      <c r="K180" s="33" t="n"/>
      <c r="L180" s="34" t="str">
        <f>IF(AND(ISNUMBER(I180),ISNUMBER(J180),ISNUMBER(K180)),IF(OR(AND(F180="多",I180&gt;J180),AND(F180="空",I180&lt;J180)),ABS(K180-I180)/ABS(I180-J180),"止损方向不对"),"")</f>
        <v/>
      </c>
      <c r="M180" s="35" t="str">
        <f>IF(AND(ISNUMBER(I180),ISNUMBER(J180)),IF(I180=J180,"",IF(INT(ROUND('参数'!$C$7/(ABS(I180-J180)*IF(N(G180)&gt;0,G180,1)+2*(I180*IF(N(G180)&gt;0,G180,1)*'参数'!$C$12+'参数'!$C$13+'参数'!$C$14*IF(N(G180)&gt;0,G180,1)))/IF(N(H180)&gt;0,H180,1),6))*IF(N(H180)&gt;0,H180,1)&gt;0,INT(ROUND('参数'!$C$7/(ABS(I180-J180)*IF(N(G180)&gt;0,G180,1)+2*(I180*IF(N(G180)&gt;0,G180,1)*'参数'!$C$12+'参数'!$C$13+'参数'!$C$14*IF(N(G180)&gt;0,G180,1)))/IF(N(H180)&gt;0,H180,1),6))*IF(N(H180)&gt;0,H180,1),"预算不足，这笔不做")),"")</f>
        <v/>
      </c>
      <c r="N180" s="36" t="n"/>
      <c r="O180" s="20" t="str">
        <f>IF(AND(ISNUMBER(I180),ISNUMBER(J180),ISNUMBER(N180)),IF(AND(I180&lt;&gt;J180,N180&gt;0),ABS(I180-J180)*N180*IF(N(G180)&gt;0,G180,1),""),"")</f>
        <v/>
      </c>
      <c r="P180" s="31" t="n"/>
      <c r="Q180" s="32" t="n"/>
      <c r="R180" s="37" t="str">
        <f>IF(N(U180)&gt;0,SUMPRODUCT(LARGE(('成交明细'!$A$5:$A$804=A180)*('成交明细'!$D$5:$D$804=IF(F180="空","卖","买"))*'成交明细'!$B$5:$B$804,COUNTIFS('成交明细'!$A$5:$A$804,A180,'成交明细'!$D$5:$D$804,IF(F180="空","卖","买")))),"")</f>
        <v/>
      </c>
      <c r="S180" s="37" t="str">
        <f>IF(AND(N(U180)&gt;0,N(W180)&gt;=N(U180)),SUMPRODUCT(MAX(('成交明细'!$A$5:$A$804=A180)*('成交明细'!$D$5:$D$804=IF(F180="空","买","卖"))*'成交明细'!$B$5:$B$804)),"")</f>
        <v/>
      </c>
      <c r="T180" s="38" t="str">
        <f>IF(N(U180)=0,"",IF(SUMPRODUCT(('成交明细'!$A$5:$A$804=A180)*('成交明细'!$D$5:$D$804=IF(F180="空","卖","买"))*ISNUMBER('成交明细'!$C$5:$C$804))=0,"没填时间",IFERROR(VLOOKUP(MOD(SUMPRODUCT(LARGE(('成交明细'!$A$5:$A$804=A180)*('成交明细'!$D$5:$D$804=IF(F180="空","卖","买"))*('成交明细'!$B$5:$B$804+'成交明细'!$C$5:$C$804),COUNTIFS('成交明细'!$A$5:$A$804,A180,'成交明细'!$D$5:$D$804,IF(F180="空","卖","买")))),1),'参数'!$B$39:$C$48,2,TRUE),"")))</f>
        <v/>
      </c>
      <c r="U180" s="35" t="str">
        <f>IF(A180="","",SUMIFS('成交明细'!$F$5:$F$804,'成交明细'!$A$5:$A$804,A180,'成交明细'!$D$5:$D$804,IF(F180="空","卖","买")))</f>
        <v/>
      </c>
      <c r="V180" s="39" t="str">
        <f>IF(N(U180)&gt;0,SUMIFS('成交明细'!$H$5:$H$804,'成交明细'!$A$5:$A$804,A180,'成交明细'!$D$5:$D$804,IF(F180="空","卖","买"))/U180,"")</f>
        <v/>
      </c>
      <c r="W180" s="35" t="str">
        <f>IF(A180="","",SUMIFS('成交明细'!$F$5:$F$804,'成交明细'!$A$5:$A$804,A180,'成交明细'!$D$5:$D$804,IF(F180="空","买","卖")))</f>
        <v/>
      </c>
      <c r="X180" s="39" t="str">
        <f>IF(N(W180)&gt;0,SUMIFS('成交明细'!$H$5:$H$804,'成交明细'!$A$5:$A$804,A180,'成交明细'!$D$5:$D$804,IF(F180="空","买","卖"))/W180,"")</f>
        <v/>
      </c>
      <c r="Y180" s="40" t="str">
        <f>IF(A180="","",IF(Q180&lt;&gt;"已执行",IF(Q180="","未填执行情况",Q180),IF(N(U180)=0,"待录成交",IF(N(W180)&gt;N(U180),"平仓多于开仓",IF(N(W180)&lt;N(U180),"持仓中","已平仓")))))</f>
        <v/>
      </c>
      <c r="Z180" s="41" t="str">
        <f>IF(N(U180)=0,"",SUMIFS('成交明细'!$L$5:$L$804,'成交明细'!$A$5:$A$804,A180))</f>
        <v/>
      </c>
      <c r="AA180" s="42" t="str">
        <f>IF(Y180&lt;&gt;"已平仓","",(SUMIFS('成交明细'!$H$5:$H$804,'成交明细'!$A$5:$A$804,A180,'成交明细'!$D$5:$D$804,"卖")-SUMIFS('成交明细'!$H$5:$H$804,'成交明细'!$A$5:$A$804,A180,'成交明细'!$D$5:$D$804,"买"))*IF(N(G180)&gt;0,G180,1)-Z180)</f>
        <v/>
      </c>
      <c r="AB180" s="43" t="str">
        <f>IF(AND(Y180="已平仓",ISNUMBER(O180)),(SUMIFS('成交明细'!$H$5:$H$804,'成交明细'!$A$5:$A$804,A180,'成交明细'!$D$5:$D$804,"卖")-SUMIFS('成交明细'!$H$5:$H$804,'成交明细'!$A$5:$A$804,A180,'成交明细'!$D$5:$D$804,"买"))*IF(N(G180)&gt;0,G180,1)/O180,"")</f>
        <v/>
      </c>
      <c r="AC180" s="43" t="str">
        <f>IF(AND(Y180="已平仓",ISNUMBER(O180)),AA180/O180,"")</f>
        <v/>
      </c>
      <c r="AD180" s="44" t="str">
        <f>IF(AND(ISNUMBER(V180),ISNUMBER(I180)),IF(F180="空",I180-V180,V180-I180),"")</f>
        <v/>
      </c>
      <c r="AE180" s="44" t="str">
        <f>IF(OR(NOT(ISNUMBER(AA180)),NOT(ISNUMBER(X180))),"",IF(AA180&lt;0,IF(F180="空",X180-J180,J180-X180),IF(NOT(ISNUMBER(K180)),"",IF(F180="空",X180-K180,K180-X180))))</f>
        <v/>
      </c>
      <c r="AF180" s="32" t="n"/>
      <c r="AG180" s="32" t="n"/>
      <c r="AH180" s="31" t="n"/>
      <c r="AI180" s="43" t="str">
        <f>IF(A180="","",SUM(AC$5:AC180))</f>
        <v/>
      </c>
      <c r="AJ180" s="45" t="str">
        <f>IF(A180="","",MAX(0,MAX(AI$5:AI180))-AI180)</f>
        <v/>
      </c>
    </row>
    <row r="181">
      <c r="A181" s="29" t="n"/>
      <c r="B181" s="30" t="n"/>
      <c r="C181" s="31" t="n"/>
      <c r="D181" s="32" t="n"/>
      <c r="E181" s="32" t="n"/>
      <c r="F181" s="32" t="n"/>
      <c r="G181" s="32" t="n"/>
      <c r="H181" s="32" t="n"/>
      <c r="I181" s="33" t="n"/>
      <c r="J181" s="33" t="n"/>
      <c r="K181" s="33" t="n"/>
      <c r="L181" s="34" t="str">
        <f>IF(AND(ISNUMBER(I181),ISNUMBER(J181),ISNUMBER(K181)),IF(OR(AND(F181="多",I181&gt;J181),AND(F181="空",I181&lt;J181)),ABS(K181-I181)/ABS(I181-J181),"止损方向不对"),"")</f>
        <v/>
      </c>
      <c r="M181" s="35" t="str">
        <f>IF(AND(ISNUMBER(I181),ISNUMBER(J181)),IF(I181=J181,"",IF(INT(ROUND('参数'!$C$7/(ABS(I181-J181)*IF(N(G181)&gt;0,G181,1)+2*(I181*IF(N(G181)&gt;0,G181,1)*'参数'!$C$12+'参数'!$C$13+'参数'!$C$14*IF(N(G181)&gt;0,G181,1)))/IF(N(H181)&gt;0,H181,1),6))*IF(N(H181)&gt;0,H181,1)&gt;0,INT(ROUND('参数'!$C$7/(ABS(I181-J181)*IF(N(G181)&gt;0,G181,1)+2*(I181*IF(N(G181)&gt;0,G181,1)*'参数'!$C$12+'参数'!$C$13+'参数'!$C$14*IF(N(G181)&gt;0,G181,1)))/IF(N(H181)&gt;0,H181,1),6))*IF(N(H181)&gt;0,H181,1),"预算不足，这笔不做")),"")</f>
        <v/>
      </c>
      <c r="N181" s="36" t="n"/>
      <c r="O181" s="20" t="str">
        <f>IF(AND(ISNUMBER(I181),ISNUMBER(J181),ISNUMBER(N181)),IF(AND(I181&lt;&gt;J181,N181&gt;0),ABS(I181-J181)*N181*IF(N(G181)&gt;0,G181,1),""),"")</f>
        <v/>
      </c>
      <c r="P181" s="31" t="n"/>
      <c r="Q181" s="32" t="n"/>
      <c r="R181" s="37" t="str">
        <f>IF(N(U181)&gt;0,SUMPRODUCT(LARGE(('成交明细'!$A$5:$A$804=A181)*('成交明细'!$D$5:$D$804=IF(F181="空","卖","买"))*'成交明细'!$B$5:$B$804,COUNTIFS('成交明细'!$A$5:$A$804,A181,'成交明细'!$D$5:$D$804,IF(F181="空","卖","买")))),"")</f>
        <v/>
      </c>
      <c r="S181" s="37" t="str">
        <f>IF(AND(N(U181)&gt;0,N(W181)&gt;=N(U181)),SUMPRODUCT(MAX(('成交明细'!$A$5:$A$804=A181)*('成交明细'!$D$5:$D$804=IF(F181="空","买","卖"))*'成交明细'!$B$5:$B$804)),"")</f>
        <v/>
      </c>
      <c r="T181" s="38" t="str">
        <f>IF(N(U181)=0,"",IF(SUMPRODUCT(('成交明细'!$A$5:$A$804=A181)*('成交明细'!$D$5:$D$804=IF(F181="空","卖","买"))*ISNUMBER('成交明细'!$C$5:$C$804))=0,"没填时间",IFERROR(VLOOKUP(MOD(SUMPRODUCT(LARGE(('成交明细'!$A$5:$A$804=A181)*('成交明细'!$D$5:$D$804=IF(F181="空","卖","买"))*('成交明细'!$B$5:$B$804+'成交明细'!$C$5:$C$804),COUNTIFS('成交明细'!$A$5:$A$804,A181,'成交明细'!$D$5:$D$804,IF(F181="空","卖","买")))),1),'参数'!$B$39:$C$48,2,TRUE),"")))</f>
        <v/>
      </c>
      <c r="U181" s="35" t="str">
        <f>IF(A181="","",SUMIFS('成交明细'!$F$5:$F$804,'成交明细'!$A$5:$A$804,A181,'成交明细'!$D$5:$D$804,IF(F181="空","卖","买")))</f>
        <v/>
      </c>
      <c r="V181" s="39" t="str">
        <f>IF(N(U181)&gt;0,SUMIFS('成交明细'!$H$5:$H$804,'成交明细'!$A$5:$A$804,A181,'成交明细'!$D$5:$D$804,IF(F181="空","卖","买"))/U181,"")</f>
        <v/>
      </c>
      <c r="W181" s="35" t="str">
        <f>IF(A181="","",SUMIFS('成交明细'!$F$5:$F$804,'成交明细'!$A$5:$A$804,A181,'成交明细'!$D$5:$D$804,IF(F181="空","买","卖")))</f>
        <v/>
      </c>
      <c r="X181" s="39" t="str">
        <f>IF(N(W181)&gt;0,SUMIFS('成交明细'!$H$5:$H$804,'成交明细'!$A$5:$A$804,A181,'成交明细'!$D$5:$D$804,IF(F181="空","买","卖"))/W181,"")</f>
        <v/>
      </c>
      <c r="Y181" s="40" t="str">
        <f>IF(A181="","",IF(Q181&lt;&gt;"已执行",IF(Q181="","未填执行情况",Q181),IF(N(U181)=0,"待录成交",IF(N(W181)&gt;N(U181),"平仓多于开仓",IF(N(W181)&lt;N(U181),"持仓中","已平仓")))))</f>
        <v/>
      </c>
      <c r="Z181" s="41" t="str">
        <f>IF(N(U181)=0,"",SUMIFS('成交明细'!$L$5:$L$804,'成交明细'!$A$5:$A$804,A181))</f>
        <v/>
      </c>
      <c r="AA181" s="42" t="str">
        <f>IF(Y181&lt;&gt;"已平仓","",(SUMIFS('成交明细'!$H$5:$H$804,'成交明细'!$A$5:$A$804,A181,'成交明细'!$D$5:$D$804,"卖")-SUMIFS('成交明细'!$H$5:$H$804,'成交明细'!$A$5:$A$804,A181,'成交明细'!$D$5:$D$804,"买"))*IF(N(G181)&gt;0,G181,1)-Z181)</f>
        <v/>
      </c>
      <c r="AB181" s="43" t="str">
        <f>IF(AND(Y181="已平仓",ISNUMBER(O181)),(SUMIFS('成交明细'!$H$5:$H$804,'成交明细'!$A$5:$A$804,A181,'成交明细'!$D$5:$D$804,"卖")-SUMIFS('成交明细'!$H$5:$H$804,'成交明细'!$A$5:$A$804,A181,'成交明细'!$D$5:$D$804,"买"))*IF(N(G181)&gt;0,G181,1)/O181,"")</f>
        <v/>
      </c>
      <c r="AC181" s="43" t="str">
        <f>IF(AND(Y181="已平仓",ISNUMBER(O181)),AA181/O181,"")</f>
        <v/>
      </c>
      <c r="AD181" s="44" t="str">
        <f>IF(AND(ISNUMBER(V181),ISNUMBER(I181)),IF(F181="空",I181-V181,V181-I181),"")</f>
        <v/>
      </c>
      <c r="AE181" s="44" t="str">
        <f>IF(OR(NOT(ISNUMBER(AA181)),NOT(ISNUMBER(X181))),"",IF(AA181&lt;0,IF(F181="空",X181-J181,J181-X181),IF(NOT(ISNUMBER(K181)),"",IF(F181="空",X181-K181,K181-X181))))</f>
        <v/>
      </c>
      <c r="AF181" s="32" t="n"/>
      <c r="AG181" s="32" t="n"/>
      <c r="AH181" s="31" t="n"/>
      <c r="AI181" s="43" t="str">
        <f>IF(A181="","",SUM(AC$5:AC181))</f>
        <v/>
      </c>
      <c r="AJ181" s="45" t="str">
        <f>IF(A181="","",MAX(0,MAX(AI$5:AI181))-AI181)</f>
        <v/>
      </c>
    </row>
    <row r="182">
      <c r="A182" s="29" t="n"/>
      <c r="B182" s="30" t="n"/>
      <c r="C182" s="31" t="n"/>
      <c r="D182" s="32" t="n"/>
      <c r="E182" s="32" t="n"/>
      <c r="F182" s="32" t="n"/>
      <c r="G182" s="32" t="n"/>
      <c r="H182" s="32" t="n"/>
      <c r="I182" s="33" t="n"/>
      <c r="J182" s="33" t="n"/>
      <c r="K182" s="33" t="n"/>
      <c r="L182" s="34" t="str">
        <f>IF(AND(ISNUMBER(I182),ISNUMBER(J182),ISNUMBER(K182)),IF(OR(AND(F182="多",I182&gt;J182),AND(F182="空",I182&lt;J182)),ABS(K182-I182)/ABS(I182-J182),"止损方向不对"),"")</f>
        <v/>
      </c>
      <c r="M182" s="35" t="str">
        <f>IF(AND(ISNUMBER(I182),ISNUMBER(J182)),IF(I182=J182,"",IF(INT(ROUND('参数'!$C$7/(ABS(I182-J182)*IF(N(G182)&gt;0,G182,1)+2*(I182*IF(N(G182)&gt;0,G182,1)*'参数'!$C$12+'参数'!$C$13+'参数'!$C$14*IF(N(G182)&gt;0,G182,1)))/IF(N(H182)&gt;0,H182,1),6))*IF(N(H182)&gt;0,H182,1)&gt;0,INT(ROUND('参数'!$C$7/(ABS(I182-J182)*IF(N(G182)&gt;0,G182,1)+2*(I182*IF(N(G182)&gt;0,G182,1)*'参数'!$C$12+'参数'!$C$13+'参数'!$C$14*IF(N(G182)&gt;0,G182,1)))/IF(N(H182)&gt;0,H182,1),6))*IF(N(H182)&gt;0,H182,1),"预算不足，这笔不做")),"")</f>
        <v/>
      </c>
      <c r="N182" s="36" t="n"/>
      <c r="O182" s="20" t="str">
        <f>IF(AND(ISNUMBER(I182),ISNUMBER(J182),ISNUMBER(N182)),IF(AND(I182&lt;&gt;J182,N182&gt;0),ABS(I182-J182)*N182*IF(N(G182)&gt;0,G182,1),""),"")</f>
        <v/>
      </c>
      <c r="P182" s="31" t="n"/>
      <c r="Q182" s="32" t="n"/>
      <c r="R182" s="37" t="str">
        <f>IF(N(U182)&gt;0,SUMPRODUCT(LARGE(('成交明细'!$A$5:$A$804=A182)*('成交明细'!$D$5:$D$804=IF(F182="空","卖","买"))*'成交明细'!$B$5:$B$804,COUNTIFS('成交明细'!$A$5:$A$804,A182,'成交明细'!$D$5:$D$804,IF(F182="空","卖","买")))),"")</f>
        <v/>
      </c>
      <c r="S182" s="37" t="str">
        <f>IF(AND(N(U182)&gt;0,N(W182)&gt;=N(U182)),SUMPRODUCT(MAX(('成交明细'!$A$5:$A$804=A182)*('成交明细'!$D$5:$D$804=IF(F182="空","买","卖"))*'成交明细'!$B$5:$B$804)),"")</f>
        <v/>
      </c>
      <c r="T182" s="38" t="str">
        <f>IF(N(U182)=0,"",IF(SUMPRODUCT(('成交明细'!$A$5:$A$804=A182)*('成交明细'!$D$5:$D$804=IF(F182="空","卖","买"))*ISNUMBER('成交明细'!$C$5:$C$804))=0,"没填时间",IFERROR(VLOOKUP(MOD(SUMPRODUCT(LARGE(('成交明细'!$A$5:$A$804=A182)*('成交明细'!$D$5:$D$804=IF(F182="空","卖","买"))*('成交明细'!$B$5:$B$804+'成交明细'!$C$5:$C$804),COUNTIFS('成交明细'!$A$5:$A$804,A182,'成交明细'!$D$5:$D$804,IF(F182="空","卖","买")))),1),'参数'!$B$39:$C$48,2,TRUE),"")))</f>
        <v/>
      </c>
      <c r="U182" s="35" t="str">
        <f>IF(A182="","",SUMIFS('成交明细'!$F$5:$F$804,'成交明细'!$A$5:$A$804,A182,'成交明细'!$D$5:$D$804,IF(F182="空","卖","买")))</f>
        <v/>
      </c>
      <c r="V182" s="39" t="str">
        <f>IF(N(U182)&gt;0,SUMIFS('成交明细'!$H$5:$H$804,'成交明细'!$A$5:$A$804,A182,'成交明细'!$D$5:$D$804,IF(F182="空","卖","买"))/U182,"")</f>
        <v/>
      </c>
      <c r="W182" s="35" t="str">
        <f>IF(A182="","",SUMIFS('成交明细'!$F$5:$F$804,'成交明细'!$A$5:$A$804,A182,'成交明细'!$D$5:$D$804,IF(F182="空","买","卖")))</f>
        <v/>
      </c>
      <c r="X182" s="39" t="str">
        <f>IF(N(W182)&gt;0,SUMIFS('成交明细'!$H$5:$H$804,'成交明细'!$A$5:$A$804,A182,'成交明细'!$D$5:$D$804,IF(F182="空","买","卖"))/W182,"")</f>
        <v/>
      </c>
      <c r="Y182" s="40" t="str">
        <f>IF(A182="","",IF(Q182&lt;&gt;"已执行",IF(Q182="","未填执行情况",Q182),IF(N(U182)=0,"待录成交",IF(N(W182)&gt;N(U182),"平仓多于开仓",IF(N(W182)&lt;N(U182),"持仓中","已平仓")))))</f>
        <v/>
      </c>
      <c r="Z182" s="41" t="str">
        <f>IF(N(U182)=0,"",SUMIFS('成交明细'!$L$5:$L$804,'成交明细'!$A$5:$A$804,A182))</f>
        <v/>
      </c>
      <c r="AA182" s="42" t="str">
        <f>IF(Y182&lt;&gt;"已平仓","",(SUMIFS('成交明细'!$H$5:$H$804,'成交明细'!$A$5:$A$804,A182,'成交明细'!$D$5:$D$804,"卖")-SUMIFS('成交明细'!$H$5:$H$804,'成交明细'!$A$5:$A$804,A182,'成交明细'!$D$5:$D$804,"买"))*IF(N(G182)&gt;0,G182,1)-Z182)</f>
        <v/>
      </c>
      <c r="AB182" s="43" t="str">
        <f>IF(AND(Y182="已平仓",ISNUMBER(O182)),(SUMIFS('成交明细'!$H$5:$H$804,'成交明细'!$A$5:$A$804,A182,'成交明细'!$D$5:$D$804,"卖")-SUMIFS('成交明细'!$H$5:$H$804,'成交明细'!$A$5:$A$804,A182,'成交明细'!$D$5:$D$804,"买"))*IF(N(G182)&gt;0,G182,1)/O182,"")</f>
        <v/>
      </c>
      <c r="AC182" s="43" t="str">
        <f>IF(AND(Y182="已平仓",ISNUMBER(O182)),AA182/O182,"")</f>
        <v/>
      </c>
      <c r="AD182" s="44" t="str">
        <f>IF(AND(ISNUMBER(V182),ISNUMBER(I182)),IF(F182="空",I182-V182,V182-I182),"")</f>
        <v/>
      </c>
      <c r="AE182" s="44" t="str">
        <f>IF(OR(NOT(ISNUMBER(AA182)),NOT(ISNUMBER(X182))),"",IF(AA182&lt;0,IF(F182="空",X182-J182,J182-X182),IF(NOT(ISNUMBER(K182)),"",IF(F182="空",X182-K182,K182-X182))))</f>
        <v/>
      </c>
      <c r="AF182" s="32" t="n"/>
      <c r="AG182" s="32" t="n"/>
      <c r="AH182" s="31" t="n"/>
      <c r="AI182" s="43" t="str">
        <f>IF(A182="","",SUM(AC$5:AC182))</f>
        <v/>
      </c>
      <c r="AJ182" s="45" t="str">
        <f>IF(A182="","",MAX(0,MAX(AI$5:AI182))-AI182)</f>
        <v/>
      </c>
    </row>
    <row r="183">
      <c r="A183" s="29" t="n"/>
      <c r="B183" s="30" t="n"/>
      <c r="C183" s="31" t="n"/>
      <c r="D183" s="32" t="n"/>
      <c r="E183" s="32" t="n"/>
      <c r="F183" s="32" t="n"/>
      <c r="G183" s="32" t="n"/>
      <c r="H183" s="32" t="n"/>
      <c r="I183" s="33" t="n"/>
      <c r="J183" s="33" t="n"/>
      <c r="K183" s="33" t="n"/>
      <c r="L183" s="34" t="str">
        <f>IF(AND(ISNUMBER(I183),ISNUMBER(J183),ISNUMBER(K183)),IF(OR(AND(F183="多",I183&gt;J183),AND(F183="空",I183&lt;J183)),ABS(K183-I183)/ABS(I183-J183),"止损方向不对"),"")</f>
        <v/>
      </c>
      <c r="M183" s="35" t="str">
        <f>IF(AND(ISNUMBER(I183),ISNUMBER(J183)),IF(I183=J183,"",IF(INT(ROUND('参数'!$C$7/(ABS(I183-J183)*IF(N(G183)&gt;0,G183,1)+2*(I183*IF(N(G183)&gt;0,G183,1)*'参数'!$C$12+'参数'!$C$13+'参数'!$C$14*IF(N(G183)&gt;0,G183,1)))/IF(N(H183)&gt;0,H183,1),6))*IF(N(H183)&gt;0,H183,1)&gt;0,INT(ROUND('参数'!$C$7/(ABS(I183-J183)*IF(N(G183)&gt;0,G183,1)+2*(I183*IF(N(G183)&gt;0,G183,1)*'参数'!$C$12+'参数'!$C$13+'参数'!$C$14*IF(N(G183)&gt;0,G183,1)))/IF(N(H183)&gt;0,H183,1),6))*IF(N(H183)&gt;0,H183,1),"预算不足，这笔不做")),"")</f>
        <v/>
      </c>
      <c r="N183" s="36" t="n"/>
      <c r="O183" s="20" t="str">
        <f>IF(AND(ISNUMBER(I183),ISNUMBER(J183),ISNUMBER(N183)),IF(AND(I183&lt;&gt;J183,N183&gt;0),ABS(I183-J183)*N183*IF(N(G183)&gt;0,G183,1),""),"")</f>
        <v/>
      </c>
      <c r="P183" s="31" t="n"/>
      <c r="Q183" s="32" t="n"/>
      <c r="R183" s="37" t="str">
        <f>IF(N(U183)&gt;0,SUMPRODUCT(LARGE(('成交明细'!$A$5:$A$804=A183)*('成交明细'!$D$5:$D$804=IF(F183="空","卖","买"))*'成交明细'!$B$5:$B$804,COUNTIFS('成交明细'!$A$5:$A$804,A183,'成交明细'!$D$5:$D$804,IF(F183="空","卖","买")))),"")</f>
        <v/>
      </c>
      <c r="S183" s="37" t="str">
        <f>IF(AND(N(U183)&gt;0,N(W183)&gt;=N(U183)),SUMPRODUCT(MAX(('成交明细'!$A$5:$A$804=A183)*('成交明细'!$D$5:$D$804=IF(F183="空","买","卖"))*'成交明细'!$B$5:$B$804)),"")</f>
        <v/>
      </c>
      <c r="T183" s="38" t="str">
        <f>IF(N(U183)=0,"",IF(SUMPRODUCT(('成交明细'!$A$5:$A$804=A183)*('成交明细'!$D$5:$D$804=IF(F183="空","卖","买"))*ISNUMBER('成交明细'!$C$5:$C$804))=0,"没填时间",IFERROR(VLOOKUP(MOD(SUMPRODUCT(LARGE(('成交明细'!$A$5:$A$804=A183)*('成交明细'!$D$5:$D$804=IF(F183="空","卖","买"))*('成交明细'!$B$5:$B$804+'成交明细'!$C$5:$C$804),COUNTIFS('成交明细'!$A$5:$A$804,A183,'成交明细'!$D$5:$D$804,IF(F183="空","卖","买")))),1),'参数'!$B$39:$C$48,2,TRUE),"")))</f>
        <v/>
      </c>
      <c r="U183" s="35" t="str">
        <f>IF(A183="","",SUMIFS('成交明细'!$F$5:$F$804,'成交明细'!$A$5:$A$804,A183,'成交明细'!$D$5:$D$804,IF(F183="空","卖","买")))</f>
        <v/>
      </c>
      <c r="V183" s="39" t="str">
        <f>IF(N(U183)&gt;0,SUMIFS('成交明细'!$H$5:$H$804,'成交明细'!$A$5:$A$804,A183,'成交明细'!$D$5:$D$804,IF(F183="空","卖","买"))/U183,"")</f>
        <v/>
      </c>
      <c r="W183" s="35" t="str">
        <f>IF(A183="","",SUMIFS('成交明细'!$F$5:$F$804,'成交明细'!$A$5:$A$804,A183,'成交明细'!$D$5:$D$804,IF(F183="空","买","卖")))</f>
        <v/>
      </c>
      <c r="X183" s="39" t="str">
        <f>IF(N(W183)&gt;0,SUMIFS('成交明细'!$H$5:$H$804,'成交明细'!$A$5:$A$804,A183,'成交明细'!$D$5:$D$804,IF(F183="空","买","卖"))/W183,"")</f>
        <v/>
      </c>
      <c r="Y183" s="40" t="str">
        <f>IF(A183="","",IF(Q183&lt;&gt;"已执行",IF(Q183="","未填执行情况",Q183),IF(N(U183)=0,"待录成交",IF(N(W183)&gt;N(U183),"平仓多于开仓",IF(N(W183)&lt;N(U183),"持仓中","已平仓")))))</f>
        <v/>
      </c>
      <c r="Z183" s="41" t="str">
        <f>IF(N(U183)=0,"",SUMIFS('成交明细'!$L$5:$L$804,'成交明细'!$A$5:$A$804,A183))</f>
        <v/>
      </c>
      <c r="AA183" s="42" t="str">
        <f>IF(Y183&lt;&gt;"已平仓","",(SUMIFS('成交明细'!$H$5:$H$804,'成交明细'!$A$5:$A$804,A183,'成交明细'!$D$5:$D$804,"卖")-SUMIFS('成交明细'!$H$5:$H$804,'成交明细'!$A$5:$A$804,A183,'成交明细'!$D$5:$D$804,"买"))*IF(N(G183)&gt;0,G183,1)-Z183)</f>
        <v/>
      </c>
      <c r="AB183" s="43" t="str">
        <f>IF(AND(Y183="已平仓",ISNUMBER(O183)),(SUMIFS('成交明细'!$H$5:$H$804,'成交明细'!$A$5:$A$804,A183,'成交明细'!$D$5:$D$804,"卖")-SUMIFS('成交明细'!$H$5:$H$804,'成交明细'!$A$5:$A$804,A183,'成交明细'!$D$5:$D$804,"买"))*IF(N(G183)&gt;0,G183,1)/O183,"")</f>
        <v/>
      </c>
      <c r="AC183" s="43" t="str">
        <f>IF(AND(Y183="已平仓",ISNUMBER(O183)),AA183/O183,"")</f>
        <v/>
      </c>
      <c r="AD183" s="44" t="str">
        <f>IF(AND(ISNUMBER(V183),ISNUMBER(I183)),IF(F183="空",I183-V183,V183-I183),"")</f>
        <v/>
      </c>
      <c r="AE183" s="44" t="str">
        <f>IF(OR(NOT(ISNUMBER(AA183)),NOT(ISNUMBER(X183))),"",IF(AA183&lt;0,IF(F183="空",X183-J183,J183-X183),IF(NOT(ISNUMBER(K183)),"",IF(F183="空",X183-K183,K183-X183))))</f>
        <v/>
      </c>
      <c r="AF183" s="32" t="n"/>
      <c r="AG183" s="32" t="n"/>
      <c r="AH183" s="31" t="n"/>
      <c r="AI183" s="43" t="str">
        <f>IF(A183="","",SUM(AC$5:AC183))</f>
        <v/>
      </c>
      <c r="AJ183" s="45" t="str">
        <f>IF(A183="","",MAX(0,MAX(AI$5:AI183))-AI183)</f>
        <v/>
      </c>
    </row>
    <row r="184">
      <c r="A184" s="29" t="n"/>
      <c r="B184" s="30" t="n"/>
      <c r="C184" s="31" t="n"/>
      <c r="D184" s="32" t="n"/>
      <c r="E184" s="32" t="n"/>
      <c r="F184" s="32" t="n"/>
      <c r="G184" s="32" t="n"/>
      <c r="H184" s="32" t="n"/>
      <c r="I184" s="33" t="n"/>
      <c r="J184" s="33" t="n"/>
      <c r="K184" s="33" t="n"/>
      <c r="L184" s="34" t="str">
        <f>IF(AND(ISNUMBER(I184),ISNUMBER(J184),ISNUMBER(K184)),IF(OR(AND(F184="多",I184&gt;J184),AND(F184="空",I184&lt;J184)),ABS(K184-I184)/ABS(I184-J184),"止损方向不对"),"")</f>
        <v/>
      </c>
      <c r="M184" s="35" t="str">
        <f>IF(AND(ISNUMBER(I184),ISNUMBER(J184)),IF(I184=J184,"",IF(INT(ROUND('参数'!$C$7/(ABS(I184-J184)*IF(N(G184)&gt;0,G184,1)+2*(I184*IF(N(G184)&gt;0,G184,1)*'参数'!$C$12+'参数'!$C$13+'参数'!$C$14*IF(N(G184)&gt;0,G184,1)))/IF(N(H184)&gt;0,H184,1),6))*IF(N(H184)&gt;0,H184,1)&gt;0,INT(ROUND('参数'!$C$7/(ABS(I184-J184)*IF(N(G184)&gt;0,G184,1)+2*(I184*IF(N(G184)&gt;0,G184,1)*'参数'!$C$12+'参数'!$C$13+'参数'!$C$14*IF(N(G184)&gt;0,G184,1)))/IF(N(H184)&gt;0,H184,1),6))*IF(N(H184)&gt;0,H184,1),"预算不足，这笔不做")),"")</f>
        <v/>
      </c>
      <c r="N184" s="36" t="n"/>
      <c r="O184" s="20" t="str">
        <f>IF(AND(ISNUMBER(I184),ISNUMBER(J184),ISNUMBER(N184)),IF(AND(I184&lt;&gt;J184,N184&gt;0),ABS(I184-J184)*N184*IF(N(G184)&gt;0,G184,1),""),"")</f>
        <v/>
      </c>
      <c r="P184" s="31" t="n"/>
      <c r="Q184" s="32" t="n"/>
      <c r="R184" s="37" t="str">
        <f>IF(N(U184)&gt;0,SUMPRODUCT(LARGE(('成交明细'!$A$5:$A$804=A184)*('成交明细'!$D$5:$D$804=IF(F184="空","卖","买"))*'成交明细'!$B$5:$B$804,COUNTIFS('成交明细'!$A$5:$A$804,A184,'成交明细'!$D$5:$D$804,IF(F184="空","卖","买")))),"")</f>
        <v/>
      </c>
      <c r="S184" s="37" t="str">
        <f>IF(AND(N(U184)&gt;0,N(W184)&gt;=N(U184)),SUMPRODUCT(MAX(('成交明细'!$A$5:$A$804=A184)*('成交明细'!$D$5:$D$804=IF(F184="空","买","卖"))*'成交明细'!$B$5:$B$804)),"")</f>
        <v/>
      </c>
      <c r="T184" s="38" t="str">
        <f>IF(N(U184)=0,"",IF(SUMPRODUCT(('成交明细'!$A$5:$A$804=A184)*('成交明细'!$D$5:$D$804=IF(F184="空","卖","买"))*ISNUMBER('成交明细'!$C$5:$C$804))=0,"没填时间",IFERROR(VLOOKUP(MOD(SUMPRODUCT(LARGE(('成交明细'!$A$5:$A$804=A184)*('成交明细'!$D$5:$D$804=IF(F184="空","卖","买"))*('成交明细'!$B$5:$B$804+'成交明细'!$C$5:$C$804),COUNTIFS('成交明细'!$A$5:$A$804,A184,'成交明细'!$D$5:$D$804,IF(F184="空","卖","买")))),1),'参数'!$B$39:$C$48,2,TRUE),"")))</f>
        <v/>
      </c>
      <c r="U184" s="35" t="str">
        <f>IF(A184="","",SUMIFS('成交明细'!$F$5:$F$804,'成交明细'!$A$5:$A$804,A184,'成交明细'!$D$5:$D$804,IF(F184="空","卖","买")))</f>
        <v/>
      </c>
      <c r="V184" s="39" t="str">
        <f>IF(N(U184)&gt;0,SUMIFS('成交明细'!$H$5:$H$804,'成交明细'!$A$5:$A$804,A184,'成交明细'!$D$5:$D$804,IF(F184="空","卖","买"))/U184,"")</f>
        <v/>
      </c>
      <c r="W184" s="35" t="str">
        <f>IF(A184="","",SUMIFS('成交明细'!$F$5:$F$804,'成交明细'!$A$5:$A$804,A184,'成交明细'!$D$5:$D$804,IF(F184="空","买","卖")))</f>
        <v/>
      </c>
      <c r="X184" s="39" t="str">
        <f>IF(N(W184)&gt;0,SUMIFS('成交明细'!$H$5:$H$804,'成交明细'!$A$5:$A$804,A184,'成交明细'!$D$5:$D$804,IF(F184="空","买","卖"))/W184,"")</f>
        <v/>
      </c>
      <c r="Y184" s="40" t="str">
        <f>IF(A184="","",IF(Q184&lt;&gt;"已执行",IF(Q184="","未填执行情况",Q184),IF(N(U184)=0,"待录成交",IF(N(W184)&gt;N(U184),"平仓多于开仓",IF(N(W184)&lt;N(U184),"持仓中","已平仓")))))</f>
        <v/>
      </c>
      <c r="Z184" s="41" t="str">
        <f>IF(N(U184)=0,"",SUMIFS('成交明细'!$L$5:$L$804,'成交明细'!$A$5:$A$804,A184))</f>
        <v/>
      </c>
      <c r="AA184" s="42" t="str">
        <f>IF(Y184&lt;&gt;"已平仓","",(SUMIFS('成交明细'!$H$5:$H$804,'成交明细'!$A$5:$A$804,A184,'成交明细'!$D$5:$D$804,"卖")-SUMIFS('成交明细'!$H$5:$H$804,'成交明细'!$A$5:$A$804,A184,'成交明细'!$D$5:$D$804,"买"))*IF(N(G184)&gt;0,G184,1)-Z184)</f>
        <v/>
      </c>
      <c r="AB184" s="43" t="str">
        <f>IF(AND(Y184="已平仓",ISNUMBER(O184)),(SUMIFS('成交明细'!$H$5:$H$804,'成交明细'!$A$5:$A$804,A184,'成交明细'!$D$5:$D$804,"卖")-SUMIFS('成交明细'!$H$5:$H$804,'成交明细'!$A$5:$A$804,A184,'成交明细'!$D$5:$D$804,"买"))*IF(N(G184)&gt;0,G184,1)/O184,"")</f>
        <v/>
      </c>
      <c r="AC184" s="43" t="str">
        <f>IF(AND(Y184="已平仓",ISNUMBER(O184)),AA184/O184,"")</f>
        <v/>
      </c>
      <c r="AD184" s="44" t="str">
        <f>IF(AND(ISNUMBER(V184),ISNUMBER(I184)),IF(F184="空",I184-V184,V184-I184),"")</f>
        <v/>
      </c>
      <c r="AE184" s="44" t="str">
        <f>IF(OR(NOT(ISNUMBER(AA184)),NOT(ISNUMBER(X184))),"",IF(AA184&lt;0,IF(F184="空",X184-J184,J184-X184),IF(NOT(ISNUMBER(K184)),"",IF(F184="空",X184-K184,K184-X184))))</f>
        <v/>
      </c>
      <c r="AF184" s="32" t="n"/>
      <c r="AG184" s="32" t="n"/>
      <c r="AH184" s="31" t="n"/>
      <c r="AI184" s="43" t="str">
        <f>IF(A184="","",SUM(AC$5:AC184))</f>
        <v/>
      </c>
      <c r="AJ184" s="45" t="str">
        <f>IF(A184="","",MAX(0,MAX(AI$5:AI184))-AI184)</f>
        <v/>
      </c>
    </row>
    <row r="185">
      <c r="A185" s="29" t="n"/>
      <c r="B185" s="30" t="n"/>
      <c r="C185" s="31" t="n"/>
      <c r="D185" s="32" t="n"/>
      <c r="E185" s="32" t="n"/>
      <c r="F185" s="32" t="n"/>
      <c r="G185" s="32" t="n"/>
      <c r="H185" s="32" t="n"/>
      <c r="I185" s="33" t="n"/>
      <c r="J185" s="33" t="n"/>
      <c r="K185" s="33" t="n"/>
      <c r="L185" s="34" t="str">
        <f>IF(AND(ISNUMBER(I185),ISNUMBER(J185),ISNUMBER(K185)),IF(OR(AND(F185="多",I185&gt;J185),AND(F185="空",I185&lt;J185)),ABS(K185-I185)/ABS(I185-J185),"止损方向不对"),"")</f>
        <v/>
      </c>
      <c r="M185" s="35" t="str">
        <f>IF(AND(ISNUMBER(I185),ISNUMBER(J185)),IF(I185=J185,"",IF(INT(ROUND('参数'!$C$7/(ABS(I185-J185)*IF(N(G185)&gt;0,G185,1)+2*(I185*IF(N(G185)&gt;0,G185,1)*'参数'!$C$12+'参数'!$C$13+'参数'!$C$14*IF(N(G185)&gt;0,G185,1)))/IF(N(H185)&gt;0,H185,1),6))*IF(N(H185)&gt;0,H185,1)&gt;0,INT(ROUND('参数'!$C$7/(ABS(I185-J185)*IF(N(G185)&gt;0,G185,1)+2*(I185*IF(N(G185)&gt;0,G185,1)*'参数'!$C$12+'参数'!$C$13+'参数'!$C$14*IF(N(G185)&gt;0,G185,1)))/IF(N(H185)&gt;0,H185,1),6))*IF(N(H185)&gt;0,H185,1),"预算不足，这笔不做")),"")</f>
        <v/>
      </c>
      <c r="N185" s="36" t="n"/>
      <c r="O185" s="20" t="str">
        <f>IF(AND(ISNUMBER(I185),ISNUMBER(J185),ISNUMBER(N185)),IF(AND(I185&lt;&gt;J185,N185&gt;0),ABS(I185-J185)*N185*IF(N(G185)&gt;0,G185,1),""),"")</f>
        <v/>
      </c>
      <c r="P185" s="31" t="n"/>
      <c r="Q185" s="32" t="n"/>
      <c r="R185" s="37" t="str">
        <f>IF(N(U185)&gt;0,SUMPRODUCT(LARGE(('成交明细'!$A$5:$A$804=A185)*('成交明细'!$D$5:$D$804=IF(F185="空","卖","买"))*'成交明细'!$B$5:$B$804,COUNTIFS('成交明细'!$A$5:$A$804,A185,'成交明细'!$D$5:$D$804,IF(F185="空","卖","买")))),"")</f>
        <v/>
      </c>
      <c r="S185" s="37" t="str">
        <f>IF(AND(N(U185)&gt;0,N(W185)&gt;=N(U185)),SUMPRODUCT(MAX(('成交明细'!$A$5:$A$804=A185)*('成交明细'!$D$5:$D$804=IF(F185="空","买","卖"))*'成交明细'!$B$5:$B$804)),"")</f>
        <v/>
      </c>
      <c r="T185" s="38" t="str">
        <f>IF(N(U185)=0,"",IF(SUMPRODUCT(('成交明细'!$A$5:$A$804=A185)*('成交明细'!$D$5:$D$804=IF(F185="空","卖","买"))*ISNUMBER('成交明细'!$C$5:$C$804))=0,"没填时间",IFERROR(VLOOKUP(MOD(SUMPRODUCT(LARGE(('成交明细'!$A$5:$A$804=A185)*('成交明细'!$D$5:$D$804=IF(F185="空","卖","买"))*('成交明细'!$B$5:$B$804+'成交明细'!$C$5:$C$804),COUNTIFS('成交明细'!$A$5:$A$804,A185,'成交明细'!$D$5:$D$804,IF(F185="空","卖","买")))),1),'参数'!$B$39:$C$48,2,TRUE),"")))</f>
        <v/>
      </c>
      <c r="U185" s="35" t="str">
        <f>IF(A185="","",SUMIFS('成交明细'!$F$5:$F$804,'成交明细'!$A$5:$A$804,A185,'成交明细'!$D$5:$D$804,IF(F185="空","卖","买")))</f>
        <v/>
      </c>
      <c r="V185" s="39" t="str">
        <f>IF(N(U185)&gt;0,SUMIFS('成交明细'!$H$5:$H$804,'成交明细'!$A$5:$A$804,A185,'成交明细'!$D$5:$D$804,IF(F185="空","卖","买"))/U185,"")</f>
        <v/>
      </c>
      <c r="W185" s="35" t="str">
        <f>IF(A185="","",SUMIFS('成交明细'!$F$5:$F$804,'成交明细'!$A$5:$A$804,A185,'成交明细'!$D$5:$D$804,IF(F185="空","买","卖")))</f>
        <v/>
      </c>
      <c r="X185" s="39" t="str">
        <f>IF(N(W185)&gt;0,SUMIFS('成交明细'!$H$5:$H$804,'成交明细'!$A$5:$A$804,A185,'成交明细'!$D$5:$D$804,IF(F185="空","买","卖"))/W185,"")</f>
        <v/>
      </c>
      <c r="Y185" s="40" t="str">
        <f>IF(A185="","",IF(Q185&lt;&gt;"已执行",IF(Q185="","未填执行情况",Q185),IF(N(U185)=0,"待录成交",IF(N(W185)&gt;N(U185),"平仓多于开仓",IF(N(W185)&lt;N(U185),"持仓中","已平仓")))))</f>
        <v/>
      </c>
      <c r="Z185" s="41" t="str">
        <f>IF(N(U185)=0,"",SUMIFS('成交明细'!$L$5:$L$804,'成交明细'!$A$5:$A$804,A185))</f>
        <v/>
      </c>
      <c r="AA185" s="42" t="str">
        <f>IF(Y185&lt;&gt;"已平仓","",(SUMIFS('成交明细'!$H$5:$H$804,'成交明细'!$A$5:$A$804,A185,'成交明细'!$D$5:$D$804,"卖")-SUMIFS('成交明细'!$H$5:$H$804,'成交明细'!$A$5:$A$804,A185,'成交明细'!$D$5:$D$804,"买"))*IF(N(G185)&gt;0,G185,1)-Z185)</f>
        <v/>
      </c>
      <c r="AB185" s="43" t="str">
        <f>IF(AND(Y185="已平仓",ISNUMBER(O185)),(SUMIFS('成交明细'!$H$5:$H$804,'成交明细'!$A$5:$A$804,A185,'成交明细'!$D$5:$D$804,"卖")-SUMIFS('成交明细'!$H$5:$H$804,'成交明细'!$A$5:$A$804,A185,'成交明细'!$D$5:$D$804,"买"))*IF(N(G185)&gt;0,G185,1)/O185,"")</f>
        <v/>
      </c>
      <c r="AC185" s="43" t="str">
        <f>IF(AND(Y185="已平仓",ISNUMBER(O185)),AA185/O185,"")</f>
        <v/>
      </c>
      <c r="AD185" s="44" t="str">
        <f>IF(AND(ISNUMBER(V185),ISNUMBER(I185)),IF(F185="空",I185-V185,V185-I185),"")</f>
        <v/>
      </c>
      <c r="AE185" s="44" t="str">
        <f>IF(OR(NOT(ISNUMBER(AA185)),NOT(ISNUMBER(X185))),"",IF(AA185&lt;0,IF(F185="空",X185-J185,J185-X185),IF(NOT(ISNUMBER(K185)),"",IF(F185="空",X185-K185,K185-X185))))</f>
        <v/>
      </c>
      <c r="AF185" s="32" t="n"/>
      <c r="AG185" s="32" t="n"/>
      <c r="AH185" s="31" t="n"/>
      <c r="AI185" s="43" t="str">
        <f>IF(A185="","",SUM(AC$5:AC185))</f>
        <v/>
      </c>
      <c r="AJ185" s="45" t="str">
        <f>IF(A185="","",MAX(0,MAX(AI$5:AI185))-AI185)</f>
        <v/>
      </c>
    </row>
    <row r="186">
      <c r="A186" s="29" t="n"/>
      <c r="B186" s="30" t="n"/>
      <c r="C186" s="31" t="n"/>
      <c r="D186" s="32" t="n"/>
      <c r="E186" s="32" t="n"/>
      <c r="F186" s="32" t="n"/>
      <c r="G186" s="32" t="n"/>
      <c r="H186" s="32" t="n"/>
      <c r="I186" s="33" t="n"/>
      <c r="J186" s="33" t="n"/>
      <c r="K186" s="33" t="n"/>
      <c r="L186" s="34" t="str">
        <f>IF(AND(ISNUMBER(I186),ISNUMBER(J186),ISNUMBER(K186)),IF(OR(AND(F186="多",I186&gt;J186),AND(F186="空",I186&lt;J186)),ABS(K186-I186)/ABS(I186-J186),"止损方向不对"),"")</f>
        <v/>
      </c>
      <c r="M186" s="35" t="str">
        <f>IF(AND(ISNUMBER(I186),ISNUMBER(J186)),IF(I186=J186,"",IF(INT(ROUND('参数'!$C$7/(ABS(I186-J186)*IF(N(G186)&gt;0,G186,1)+2*(I186*IF(N(G186)&gt;0,G186,1)*'参数'!$C$12+'参数'!$C$13+'参数'!$C$14*IF(N(G186)&gt;0,G186,1)))/IF(N(H186)&gt;0,H186,1),6))*IF(N(H186)&gt;0,H186,1)&gt;0,INT(ROUND('参数'!$C$7/(ABS(I186-J186)*IF(N(G186)&gt;0,G186,1)+2*(I186*IF(N(G186)&gt;0,G186,1)*'参数'!$C$12+'参数'!$C$13+'参数'!$C$14*IF(N(G186)&gt;0,G186,1)))/IF(N(H186)&gt;0,H186,1),6))*IF(N(H186)&gt;0,H186,1),"预算不足，这笔不做")),"")</f>
        <v/>
      </c>
      <c r="N186" s="36" t="n"/>
      <c r="O186" s="20" t="str">
        <f>IF(AND(ISNUMBER(I186),ISNUMBER(J186),ISNUMBER(N186)),IF(AND(I186&lt;&gt;J186,N186&gt;0),ABS(I186-J186)*N186*IF(N(G186)&gt;0,G186,1),""),"")</f>
        <v/>
      </c>
      <c r="P186" s="31" t="n"/>
      <c r="Q186" s="32" t="n"/>
      <c r="R186" s="37" t="str">
        <f>IF(N(U186)&gt;0,SUMPRODUCT(LARGE(('成交明细'!$A$5:$A$804=A186)*('成交明细'!$D$5:$D$804=IF(F186="空","卖","买"))*'成交明细'!$B$5:$B$804,COUNTIFS('成交明细'!$A$5:$A$804,A186,'成交明细'!$D$5:$D$804,IF(F186="空","卖","买")))),"")</f>
        <v/>
      </c>
      <c r="S186" s="37" t="str">
        <f>IF(AND(N(U186)&gt;0,N(W186)&gt;=N(U186)),SUMPRODUCT(MAX(('成交明细'!$A$5:$A$804=A186)*('成交明细'!$D$5:$D$804=IF(F186="空","买","卖"))*'成交明细'!$B$5:$B$804)),"")</f>
        <v/>
      </c>
      <c r="T186" s="38" t="str">
        <f>IF(N(U186)=0,"",IF(SUMPRODUCT(('成交明细'!$A$5:$A$804=A186)*('成交明细'!$D$5:$D$804=IF(F186="空","卖","买"))*ISNUMBER('成交明细'!$C$5:$C$804))=0,"没填时间",IFERROR(VLOOKUP(MOD(SUMPRODUCT(LARGE(('成交明细'!$A$5:$A$804=A186)*('成交明细'!$D$5:$D$804=IF(F186="空","卖","买"))*('成交明细'!$B$5:$B$804+'成交明细'!$C$5:$C$804),COUNTIFS('成交明细'!$A$5:$A$804,A186,'成交明细'!$D$5:$D$804,IF(F186="空","卖","买")))),1),'参数'!$B$39:$C$48,2,TRUE),"")))</f>
        <v/>
      </c>
      <c r="U186" s="35" t="str">
        <f>IF(A186="","",SUMIFS('成交明细'!$F$5:$F$804,'成交明细'!$A$5:$A$804,A186,'成交明细'!$D$5:$D$804,IF(F186="空","卖","买")))</f>
        <v/>
      </c>
      <c r="V186" s="39" t="str">
        <f>IF(N(U186)&gt;0,SUMIFS('成交明细'!$H$5:$H$804,'成交明细'!$A$5:$A$804,A186,'成交明细'!$D$5:$D$804,IF(F186="空","卖","买"))/U186,"")</f>
        <v/>
      </c>
      <c r="W186" s="35" t="str">
        <f>IF(A186="","",SUMIFS('成交明细'!$F$5:$F$804,'成交明细'!$A$5:$A$804,A186,'成交明细'!$D$5:$D$804,IF(F186="空","买","卖")))</f>
        <v/>
      </c>
      <c r="X186" s="39" t="str">
        <f>IF(N(W186)&gt;0,SUMIFS('成交明细'!$H$5:$H$804,'成交明细'!$A$5:$A$804,A186,'成交明细'!$D$5:$D$804,IF(F186="空","买","卖"))/W186,"")</f>
        <v/>
      </c>
      <c r="Y186" s="40" t="str">
        <f>IF(A186="","",IF(Q186&lt;&gt;"已执行",IF(Q186="","未填执行情况",Q186),IF(N(U186)=0,"待录成交",IF(N(W186)&gt;N(U186),"平仓多于开仓",IF(N(W186)&lt;N(U186),"持仓中","已平仓")))))</f>
        <v/>
      </c>
      <c r="Z186" s="41" t="str">
        <f>IF(N(U186)=0,"",SUMIFS('成交明细'!$L$5:$L$804,'成交明细'!$A$5:$A$804,A186))</f>
        <v/>
      </c>
      <c r="AA186" s="42" t="str">
        <f>IF(Y186&lt;&gt;"已平仓","",(SUMIFS('成交明细'!$H$5:$H$804,'成交明细'!$A$5:$A$804,A186,'成交明细'!$D$5:$D$804,"卖")-SUMIFS('成交明细'!$H$5:$H$804,'成交明细'!$A$5:$A$804,A186,'成交明细'!$D$5:$D$804,"买"))*IF(N(G186)&gt;0,G186,1)-Z186)</f>
        <v/>
      </c>
      <c r="AB186" s="43" t="str">
        <f>IF(AND(Y186="已平仓",ISNUMBER(O186)),(SUMIFS('成交明细'!$H$5:$H$804,'成交明细'!$A$5:$A$804,A186,'成交明细'!$D$5:$D$804,"卖")-SUMIFS('成交明细'!$H$5:$H$804,'成交明细'!$A$5:$A$804,A186,'成交明细'!$D$5:$D$804,"买"))*IF(N(G186)&gt;0,G186,1)/O186,"")</f>
        <v/>
      </c>
      <c r="AC186" s="43" t="str">
        <f>IF(AND(Y186="已平仓",ISNUMBER(O186)),AA186/O186,"")</f>
        <v/>
      </c>
      <c r="AD186" s="44" t="str">
        <f>IF(AND(ISNUMBER(V186),ISNUMBER(I186)),IF(F186="空",I186-V186,V186-I186),"")</f>
        <v/>
      </c>
      <c r="AE186" s="44" t="str">
        <f>IF(OR(NOT(ISNUMBER(AA186)),NOT(ISNUMBER(X186))),"",IF(AA186&lt;0,IF(F186="空",X186-J186,J186-X186),IF(NOT(ISNUMBER(K186)),"",IF(F186="空",X186-K186,K186-X186))))</f>
        <v/>
      </c>
      <c r="AF186" s="32" t="n"/>
      <c r="AG186" s="32" t="n"/>
      <c r="AH186" s="31" t="n"/>
      <c r="AI186" s="43" t="str">
        <f>IF(A186="","",SUM(AC$5:AC186))</f>
        <v/>
      </c>
      <c r="AJ186" s="45" t="str">
        <f>IF(A186="","",MAX(0,MAX(AI$5:AI186))-AI186)</f>
        <v/>
      </c>
    </row>
    <row r="187">
      <c r="A187" s="29" t="n"/>
      <c r="B187" s="30" t="n"/>
      <c r="C187" s="31" t="n"/>
      <c r="D187" s="32" t="n"/>
      <c r="E187" s="32" t="n"/>
      <c r="F187" s="32" t="n"/>
      <c r="G187" s="32" t="n"/>
      <c r="H187" s="32" t="n"/>
      <c r="I187" s="33" t="n"/>
      <c r="J187" s="33" t="n"/>
      <c r="K187" s="33" t="n"/>
      <c r="L187" s="34" t="str">
        <f>IF(AND(ISNUMBER(I187),ISNUMBER(J187),ISNUMBER(K187)),IF(OR(AND(F187="多",I187&gt;J187),AND(F187="空",I187&lt;J187)),ABS(K187-I187)/ABS(I187-J187),"止损方向不对"),"")</f>
        <v/>
      </c>
      <c r="M187" s="35" t="str">
        <f>IF(AND(ISNUMBER(I187),ISNUMBER(J187)),IF(I187=J187,"",IF(INT(ROUND('参数'!$C$7/(ABS(I187-J187)*IF(N(G187)&gt;0,G187,1)+2*(I187*IF(N(G187)&gt;0,G187,1)*'参数'!$C$12+'参数'!$C$13+'参数'!$C$14*IF(N(G187)&gt;0,G187,1)))/IF(N(H187)&gt;0,H187,1),6))*IF(N(H187)&gt;0,H187,1)&gt;0,INT(ROUND('参数'!$C$7/(ABS(I187-J187)*IF(N(G187)&gt;0,G187,1)+2*(I187*IF(N(G187)&gt;0,G187,1)*'参数'!$C$12+'参数'!$C$13+'参数'!$C$14*IF(N(G187)&gt;0,G187,1)))/IF(N(H187)&gt;0,H187,1),6))*IF(N(H187)&gt;0,H187,1),"预算不足，这笔不做")),"")</f>
        <v/>
      </c>
      <c r="N187" s="36" t="n"/>
      <c r="O187" s="20" t="str">
        <f>IF(AND(ISNUMBER(I187),ISNUMBER(J187),ISNUMBER(N187)),IF(AND(I187&lt;&gt;J187,N187&gt;0),ABS(I187-J187)*N187*IF(N(G187)&gt;0,G187,1),""),"")</f>
        <v/>
      </c>
      <c r="P187" s="31" t="n"/>
      <c r="Q187" s="32" t="n"/>
      <c r="R187" s="37" t="str">
        <f>IF(N(U187)&gt;0,SUMPRODUCT(LARGE(('成交明细'!$A$5:$A$804=A187)*('成交明细'!$D$5:$D$804=IF(F187="空","卖","买"))*'成交明细'!$B$5:$B$804,COUNTIFS('成交明细'!$A$5:$A$804,A187,'成交明细'!$D$5:$D$804,IF(F187="空","卖","买")))),"")</f>
        <v/>
      </c>
      <c r="S187" s="37" t="str">
        <f>IF(AND(N(U187)&gt;0,N(W187)&gt;=N(U187)),SUMPRODUCT(MAX(('成交明细'!$A$5:$A$804=A187)*('成交明细'!$D$5:$D$804=IF(F187="空","买","卖"))*'成交明细'!$B$5:$B$804)),"")</f>
        <v/>
      </c>
      <c r="T187" s="38" t="str">
        <f>IF(N(U187)=0,"",IF(SUMPRODUCT(('成交明细'!$A$5:$A$804=A187)*('成交明细'!$D$5:$D$804=IF(F187="空","卖","买"))*ISNUMBER('成交明细'!$C$5:$C$804))=0,"没填时间",IFERROR(VLOOKUP(MOD(SUMPRODUCT(LARGE(('成交明细'!$A$5:$A$804=A187)*('成交明细'!$D$5:$D$804=IF(F187="空","卖","买"))*('成交明细'!$B$5:$B$804+'成交明细'!$C$5:$C$804),COUNTIFS('成交明细'!$A$5:$A$804,A187,'成交明细'!$D$5:$D$804,IF(F187="空","卖","买")))),1),'参数'!$B$39:$C$48,2,TRUE),"")))</f>
        <v/>
      </c>
      <c r="U187" s="35" t="str">
        <f>IF(A187="","",SUMIFS('成交明细'!$F$5:$F$804,'成交明细'!$A$5:$A$804,A187,'成交明细'!$D$5:$D$804,IF(F187="空","卖","买")))</f>
        <v/>
      </c>
      <c r="V187" s="39" t="str">
        <f>IF(N(U187)&gt;0,SUMIFS('成交明细'!$H$5:$H$804,'成交明细'!$A$5:$A$804,A187,'成交明细'!$D$5:$D$804,IF(F187="空","卖","买"))/U187,"")</f>
        <v/>
      </c>
      <c r="W187" s="35" t="str">
        <f>IF(A187="","",SUMIFS('成交明细'!$F$5:$F$804,'成交明细'!$A$5:$A$804,A187,'成交明细'!$D$5:$D$804,IF(F187="空","买","卖")))</f>
        <v/>
      </c>
      <c r="X187" s="39" t="str">
        <f>IF(N(W187)&gt;0,SUMIFS('成交明细'!$H$5:$H$804,'成交明细'!$A$5:$A$804,A187,'成交明细'!$D$5:$D$804,IF(F187="空","买","卖"))/W187,"")</f>
        <v/>
      </c>
      <c r="Y187" s="40" t="str">
        <f>IF(A187="","",IF(Q187&lt;&gt;"已执行",IF(Q187="","未填执行情况",Q187),IF(N(U187)=0,"待录成交",IF(N(W187)&gt;N(U187),"平仓多于开仓",IF(N(W187)&lt;N(U187),"持仓中","已平仓")))))</f>
        <v/>
      </c>
      <c r="Z187" s="41" t="str">
        <f>IF(N(U187)=0,"",SUMIFS('成交明细'!$L$5:$L$804,'成交明细'!$A$5:$A$804,A187))</f>
        <v/>
      </c>
      <c r="AA187" s="42" t="str">
        <f>IF(Y187&lt;&gt;"已平仓","",(SUMIFS('成交明细'!$H$5:$H$804,'成交明细'!$A$5:$A$804,A187,'成交明细'!$D$5:$D$804,"卖")-SUMIFS('成交明细'!$H$5:$H$804,'成交明细'!$A$5:$A$804,A187,'成交明细'!$D$5:$D$804,"买"))*IF(N(G187)&gt;0,G187,1)-Z187)</f>
        <v/>
      </c>
      <c r="AB187" s="43" t="str">
        <f>IF(AND(Y187="已平仓",ISNUMBER(O187)),(SUMIFS('成交明细'!$H$5:$H$804,'成交明细'!$A$5:$A$804,A187,'成交明细'!$D$5:$D$804,"卖")-SUMIFS('成交明细'!$H$5:$H$804,'成交明细'!$A$5:$A$804,A187,'成交明细'!$D$5:$D$804,"买"))*IF(N(G187)&gt;0,G187,1)/O187,"")</f>
        <v/>
      </c>
      <c r="AC187" s="43" t="str">
        <f>IF(AND(Y187="已平仓",ISNUMBER(O187)),AA187/O187,"")</f>
        <v/>
      </c>
      <c r="AD187" s="44" t="str">
        <f>IF(AND(ISNUMBER(V187),ISNUMBER(I187)),IF(F187="空",I187-V187,V187-I187),"")</f>
        <v/>
      </c>
      <c r="AE187" s="44" t="str">
        <f>IF(OR(NOT(ISNUMBER(AA187)),NOT(ISNUMBER(X187))),"",IF(AA187&lt;0,IF(F187="空",X187-J187,J187-X187),IF(NOT(ISNUMBER(K187)),"",IF(F187="空",X187-K187,K187-X187))))</f>
        <v/>
      </c>
      <c r="AF187" s="32" t="n"/>
      <c r="AG187" s="32" t="n"/>
      <c r="AH187" s="31" t="n"/>
      <c r="AI187" s="43" t="str">
        <f>IF(A187="","",SUM(AC$5:AC187))</f>
        <v/>
      </c>
      <c r="AJ187" s="45" t="str">
        <f>IF(A187="","",MAX(0,MAX(AI$5:AI187))-AI187)</f>
        <v/>
      </c>
    </row>
    <row r="188">
      <c r="A188" s="29" t="n"/>
      <c r="B188" s="30" t="n"/>
      <c r="C188" s="31" t="n"/>
      <c r="D188" s="32" t="n"/>
      <c r="E188" s="32" t="n"/>
      <c r="F188" s="32" t="n"/>
      <c r="G188" s="32" t="n"/>
      <c r="H188" s="32" t="n"/>
      <c r="I188" s="33" t="n"/>
      <c r="J188" s="33" t="n"/>
      <c r="K188" s="33" t="n"/>
      <c r="L188" s="34" t="str">
        <f>IF(AND(ISNUMBER(I188),ISNUMBER(J188),ISNUMBER(K188)),IF(OR(AND(F188="多",I188&gt;J188),AND(F188="空",I188&lt;J188)),ABS(K188-I188)/ABS(I188-J188),"止损方向不对"),"")</f>
        <v/>
      </c>
      <c r="M188" s="35" t="str">
        <f>IF(AND(ISNUMBER(I188),ISNUMBER(J188)),IF(I188=J188,"",IF(INT(ROUND('参数'!$C$7/(ABS(I188-J188)*IF(N(G188)&gt;0,G188,1)+2*(I188*IF(N(G188)&gt;0,G188,1)*'参数'!$C$12+'参数'!$C$13+'参数'!$C$14*IF(N(G188)&gt;0,G188,1)))/IF(N(H188)&gt;0,H188,1),6))*IF(N(H188)&gt;0,H188,1)&gt;0,INT(ROUND('参数'!$C$7/(ABS(I188-J188)*IF(N(G188)&gt;0,G188,1)+2*(I188*IF(N(G188)&gt;0,G188,1)*'参数'!$C$12+'参数'!$C$13+'参数'!$C$14*IF(N(G188)&gt;0,G188,1)))/IF(N(H188)&gt;0,H188,1),6))*IF(N(H188)&gt;0,H188,1),"预算不足，这笔不做")),"")</f>
        <v/>
      </c>
      <c r="N188" s="36" t="n"/>
      <c r="O188" s="20" t="str">
        <f>IF(AND(ISNUMBER(I188),ISNUMBER(J188),ISNUMBER(N188)),IF(AND(I188&lt;&gt;J188,N188&gt;0),ABS(I188-J188)*N188*IF(N(G188)&gt;0,G188,1),""),"")</f>
        <v/>
      </c>
      <c r="P188" s="31" t="n"/>
      <c r="Q188" s="32" t="n"/>
      <c r="R188" s="37" t="str">
        <f>IF(N(U188)&gt;0,SUMPRODUCT(LARGE(('成交明细'!$A$5:$A$804=A188)*('成交明细'!$D$5:$D$804=IF(F188="空","卖","买"))*'成交明细'!$B$5:$B$804,COUNTIFS('成交明细'!$A$5:$A$804,A188,'成交明细'!$D$5:$D$804,IF(F188="空","卖","买")))),"")</f>
        <v/>
      </c>
      <c r="S188" s="37" t="str">
        <f>IF(AND(N(U188)&gt;0,N(W188)&gt;=N(U188)),SUMPRODUCT(MAX(('成交明细'!$A$5:$A$804=A188)*('成交明细'!$D$5:$D$804=IF(F188="空","买","卖"))*'成交明细'!$B$5:$B$804)),"")</f>
        <v/>
      </c>
      <c r="T188" s="38" t="str">
        <f>IF(N(U188)=0,"",IF(SUMPRODUCT(('成交明细'!$A$5:$A$804=A188)*('成交明细'!$D$5:$D$804=IF(F188="空","卖","买"))*ISNUMBER('成交明细'!$C$5:$C$804))=0,"没填时间",IFERROR(VLOOKUP(MOD(SUMPRODUCT(LARGE(('成交明细'!$A$5:$A$804=A188)*('成交明细'!$D$5:$D$804=IF(F188="空","卖","买"))*('成交明细'!$B$5:$B$804+'成交明细'!$C$5:$C$804),COUNTIFS('成交明细'!$A$5:$A$804,A188,'成交明细'!$D$5:$D$804,IF(F188="空","卖","买")))),1),'参数'!$B$39:$C$48,2,TRUE),"")))</f>
        <v/>
      </c>
      <c r="U188" s="35" t="str">
        <f>IF(A188="","",SUMIFS('成交明细'!$F$5:$F$804,'成交明细'!$A$5:$A$804,A188,'成交明细'!$D$5:$D$804,IF(F188="空","卖","买")))</f>
        <v/>
      </c>
      <c r="V188" s="39" t="str">
        <f>IF(N(U188)&gt;0,SUMIFS('成交明细'!$H$5:$H$804,'成交明细'!$A$5:$A$804,A188,'成交明细'!$D$5:$D$804,IF(F188="空","卖","买"))/U188,"")</f>
        <v/>
      </c>
      <c r="W188" s="35" t="str">
        <f>IF(A188="","",SUMIFS('成交明细'!$F$5:$F$804,'成交明细'!$A$5:$A$804,A188,'成交明细'!$D$5:$D$804,IF(F188="空","买","卖")))</f>
        <v/>
      </c>
      <c r="X188" s="39" t="str">
        <f>IF(N(W188)&gt;0,SUMIFS('成交明细'!$H$5:$H$804,'成交明细'!$A$5:$A$804,A188,'成交明细'!$D$5:$D$804,IF(F188="空","买","卖"))/W188,"")</f>
        <v/>
      </c>
      <c r="Y188" s="40" t="str">
        <f>IF(A188="","",IF(Q188&lt;&gt;"已执行",IF(Q188="","未填执行情况",Q188),IF(N(U188)=0,"待录成交",IF(N(W188)&gt;N(U188),"平仓多于开仓",IF(N(W188)&lt;N(U188),"持仓中","已平仓")))))</f>
        <v/>
      </c>
      <c r="Z188" s="41" t="str">
        <f>IF(N(U188)=0,"",SUMIFS('成交明细'!$L$5:$L$804,'成交明细'!$A$5:$A$804,A188))</f>
        <v/>
      </c>
      <c r="AA188" s="42" t="str">
        <f>IF(Y188&lt;&gt;"已平仓","",(SUMIFS('成交明细'!$H$5:$H$804,'成交明细'!$A$5:$A$804,A188,'成交明细'!$D$5:$D$804,"卖")-SUMIFS('成交明细'!$H$5:$H$804,'成交明细'!$A$5:$A$804,A188,'成交明细'!$D$5:$D$804,"买"))*IF(N(G188)&gt;0,G188,1)-Z188)</f>
        <v/>
      </c>
      <c r="AB188" s="43" t="str">
        <f>IF(AND(Y188="已平仓",ISNUMBER(O188)),(SUMIFS('成交明细'!$H$5:$H$804,'成交明细'!$A$5:$A$804,A188,'成交明细'!$D$5:$D$804,"卖")-SUMIFS('成交明细'!$H$5:$H$804,'成交明细'!$A$5:$A$804,A188,'成交明细'!$D$5:$D$804,"买"))*IF(N(G188)&gt;0,G188,1)/O188,"")</f>
        <v/>
      </c>
      <c r="AC188" s="43" t="str">
        <f>IF(AND(Y188="已平仓",ISNUMBER(O188)),AA188/O188,"")</f>
        <v/>
      </c>
      <c r="AD188" s="44" t="str">
        <f>IF(AND(ISNUMBER(V188),ISNUMBER(I188)),IF(F188="空",I188-V188,V188-I188),"")</f>
        <v/>
      </c>
      <c r="AE188" s="44" t="str">
        <f>IF(OR(NOT(ISNUMBER(AA188)),NOT(ISNUMBER(X188))),"",IF(AA188&lt;0,IF(F188="空",X188-J188,J188-X188),IF(NOT(ISNUMBER(K188)),"",IF(F188="空",X188-K188,K188-X188))))</f>
        <v/>
      </c>
      <c r="AF188" s="32" t="n"/>
      <c r="AG188" s="32" t="n"/>
      <c r="AH188" s="31" t="n"/>
      <c r="AI188" s="43" t="str">
        <f>IF(A188="","",SUM(AC$5:AC188))</f>
        <v/>
      </c>
      <c r="AJ188" s="45" t="str">
        <f>IF(A188="","",MAX(0,MAX(AI$5:AI188))-AI188)</f>
        <v/>
      </c>
    </row>
    <row r="189">
      <c r="A189" s="29" t="n"/>
      <c r="B189" s="30" t="n"/>
      <c r="C189" s="31" t="n"/>
      <c r="D189" s="32" t="n"/>
      <c r="E189" s="32" t="n"/>
      <c r="F189" s="32" t="n"/>
      <c r="G189" s="32" t="n"/>
      <c r="H189" s="32" t="n"/>
      <c r="I189" s="33" t="n"/>
      <c r="J189" s="33" t="n"/>
      <c r="K189" s="33" t="n"/>
      <c r="L189" s="34" t="str">
        <f>IF(AND(ISNUMBER(I189),ISNUMBER(J189),ISNUMBER(K189)),IF(OR(AND(F189="多",I189&gt;J189),AND(F189="空",I189&lt;J189)),ABS(K189-I189)/ABS(I189-J189),"止损方向不对"),"")</f>
        <v/>
      </c>
      <c r="M189" s="35" t="str">
        <f>IF(AND(ISNUMBER(I189),ISNUMBER(J189)),IF(I189=J189,"",IF(INT(ROUND('参数'!$C$7/(ABS(I189-J189)*IF(N(G189)&gt;0,G189,1)+2*(I189*IF(N(G189)&gt;0,G189,1)*'参数'!$C$12+'参数'!$C$13+'参数'!$C$14*IF(N(G189)&gt;0,G189,1)))/IF(N(H189)&gt;0,H189,1),6))*IF(N(H189)&gt;0,H189,1)&gt;0,INT(ROUND('参数'!$C$7/(ABS(I189-J189)*IF(N(G189)&gt;0,G189,1)+2*(I189*IF(N(G189)&gt;0,G189,1)*'参数'!$C$12+'参数'!$C$13+'参数'!$C$14*IF(N(G189)&gt;0,G189,1)))/IF(N(H189)&gt;0,H189,1),6))*IF(N(H189)&gt;0,H189,1),"预算不足，这笔不做")),"")</f>
        <v/>
      </c>
      <c r="N189" s="36" t="n"/>
      <c r="O189" s="20" t="str">
        <f>IF(AND(ISNUMBER(I189),ISNUMBER(J189),ISNUMBER(N189)),IF(AND(I189&lt;&gt;J189,N189&gt;0),ABS(I189-J189)*N189*IF(N(G189)&gt;0,G189,1),""),"")</f>
        <v/>
      </c>
      <c r="P189" s="31" t="n"/>
      <c r="Q189" s="32" t="n"/>
      <c r="R189" s="37" t="str">
        <f>IF(N(U189)&gt;0,SUMPRODUCT(LARGE(('成交明细'!$A$5:$A$804=A189)*('成交明细'!$D$5:$D$804=IF(F189="空","卖","买"))*'成交明细'!$B$5:$B$804,COUNTIFS('成交明细'!$A$5:$A$804,A189,'成交明细'!$D$5:$D$804,IF(F189="空","卖","买")))),"")</f>
        <v/>
      </c>
      <c r="S189" s="37" t="str">
        <f>IF(AND(N(U189)&gt;0,N(W189)&gt;=N(U189)),SUMPRODUCT(MAX(('成交明细'!$A$5:$A$804=A189)*('成交明细'!$D$5:$D$804=IF(F189="空","买","卖"))*'成交明细'!$B$5:$B$804)),"")</f>
        <v/>
      </c>
      <c r="T189" s="38" t="str">
        <f>IF(N(U189)=0,"",IF(SUMPRODUCT(('成交明细'!$A$5:$A$804=A189)*('成交明细'!$D$5:$D$804=IF(F189="空","卖","买"))*ISNUMBER('成交明细'!$C$5:$C$804))=0,"没填时间",IFERROR(VLOOKUP(MOD(SUMPRODUCT(LARGE(('成交明细'!$A$5:$A$804=A189)*('成交明细'!$D$5:$D$804=IF(F189="空","卖","买"))*('成交明细'!$B$5:$B$804+'成交明细'!$C$5:$C$804),COUNTIFS('成交明细'!$A$5:$A$804,A189,'成交明细'!$D$5:$D$804,IF(F189="空","卖","买")))),1),'参数'!$B$39:$C$48,2,TRUE),"")))</f>
        <v/>
      </c>
      <c r="U189" s="35" t="str">
        <f>IF(A189="","",SUMIFS('成交明细'!$F$5:$F$804,'成交明细'!$A$5:$A$804,A189,'成交明细'!$D$5:$D$804,IF(F189="空","卖","买")))</f>
        <v/>
      </c>
      <c r="V189" s="39" t="str">
        <f>IF(N(U189)&gt;0,SUMIFS('成交明细'!$H$5:$H$804,'成交明细'!$A$5:$A$804,A189,'成交明细'!$D$5:$D$804,IF(F189="空","卖","买"))/U189,"")</f>
        <v/>
      </c>
      <c r="W189" s="35" t="str">
        <f>IF(A189="","",SUMIFS('成交明细'!$F$5:$F$804,'成交明细'!$A$5:$A$804,A189,'成交明细'!$D$5:$D$804,IF(F189="空","买","卖")))</f>
        <v/>
      </c>
      <c r="X189" s="39" t="str">
        <f>IF(N(W189)&gt;0,SUMIFS('成交明细'!$H$5:$H$804,'成交明细'!$A$5:$A$804,A189,'成交明细'!$D$5:$D$804,IF(F189="空","买","卖"))/W189,"")</f>
        <v/>
      </c>
      <c r="Y189" s="40" t="str">
        <f>IF(A189="","",IF(Q189&lt;&gt;"已执行",IF(Q189="","未填执行情况",Q189),IF(N(U189)=0,"待录成交",IF(N(W189)&gt;N(U189),"平仓多于开仓",IF(N(W189)&lt;N(U189),"持仓中","已平仓")))))</f>
        <v/>
      </c>
      <c r="Z189" s="41" t="str">
        <f>IF(N(U189)=0,"",SUMIFS('成交明细'!$L$5:$L$804,'成交明细'!$A$5:$A$804,A189))</f>
        <v/>
      </c>
      <c r="AA189" s="42" t="str">
        <f>IF(Y189&lt;&gt;"已平仓","",(SUMIFS('成交明细'!$H$5:$H$804,'成交明细'!$A$5:$A$804,A189,'成交明细'!$D$5:$D$804,"卖")-SUMIFS('成交明细'!$H$5:$H$804,'成交明细'!$A$5:$A$804,A189,'成交明细'!$D$5:$D$804,"买"))*IF(N(G189)&gt;0,G189,1)-Z189)</f>
        <v/>
      </c>
      <c r="AB189" s="43" t="str">
        <f>IF(AND(Y189="已平仓",ISNUMBER(O189)),(SUMIFS('成交明细'!$H$5:$H$804,'成交明细'!$A$5:$A$804,A189,'成交明细'!$D$5:$D$804,"卖")-SUMIFS('成交明细'!$H$5:$H$804,'成交明细'!$A$5:$A$804,A189,'成交明细'!$D$5:$D$804,"买"))*IF(N(G189)&gt;0,G189,1)/O189,"")</f>
        <v/>
      </c>
      <c r="AC189" s="43" t="str">
        <f>IF(AND(Y189="已平仓",ISNUMBER(O189)),AA189/O189,"")</f>
        <v/>
      </c>
      <c r="AD189" s="44" t="str">
        <f>IF(AND(ISNUMBER(V189),ISNUMBER(I189)),IF(F189="空",I189-V189,V189-I189),"")</f>
        <v/>
      </c>
      <c r="AE189" s="44" t="str">
        <f>IF(OR(NOT(ISNUMBER(AA189)),NOT(ISNUMBER(X189))),"",IF(AA189&lt;0,IF(F189="空",X189-J189,J189-X189),IF(NOT(ISNUMBER(K189)),"",IF(F189="空",X189-K189,K189-X189))))</f>
        <v/>
      </c>
      <c r="AF189" s="32" t="n"/>
      <c r="AG189" s="32" t="n"/>
      <c r="AH189" s="31" t="n"/>
      <c r="AI189" s="43" t="str">
        <f>IF(A189="","",SUM(AC$5:AC189))</f>
        <v/>
      </c>
      <c r="AJ189" s="45" t="str">
        <f>IF(A189="","",MAX(0,MAX(AI$5:AI189))-AI189)</f>
        <v/>
      </c>
    </row>
    <row r="190">
      <c r="A190" s="29" t="n"/>
      <c r="B190" s="30" t="n"/>
      <c r="C190" s="31" t="n"/>
      <c r="D190" s="32" t="n"/>
      <c r="E190" s="32" t="n"/>
      <c r="F190" s="32" t="n"/>
      <c r="G190" s="32" t="n"/>
      <c r="H190" s="32" t="n"/>
      <c r="I190" s="33" t="n"/>
      <c r="J190" s="33" t="n"/>
      <c r="K190" s="33" t="n"/>
      <c r="L190" s="34" t="str">
        <f>IF(AND(ISNUMBER(I190),ISNUMBER(J190),ISNUMBER(K190)),IF(OR(AND(F190="多",I190&gt;J190),AND(F190="空",I190&lt;J190)),ABS(K190-I190)/ABS(I190-J190),"止损方向不对"),"")</f>
        <v/>
      </c>
      <c r="M190" s="35" t="str">
        <f>IF(AND(ISNUMBER(I190),ISNUMBER(J190)),IF(I190=J190,"",IF(INT(ROUND('参数'!$C$7/(ABS(I190-J190)*IF(N(G190)&gt;0,G190,1)+2*(I190*IF(N(G190)&gt;0,G190,1)*'参数'!$C$12+'参数'!$C$13+'参数'!$C$14*IF(N(G190)&gt;0,G190,1)))/IF(N(H190)&gt;0,H190,1),6))*IF(N(H190)&gt;0,H190,1)&gt;0,INT(ROUND('参数'!$C$7/(ABS(I190-J190)*IF(N(G190)&gt;0,G190,1)+2*(I190*IF(N(G190)&gt;0,G190,1)*'参数'!$C$12+'参数'!$C$13+'参数'!$C$14*IF(N(G190)&gt;0,G190,1)))/IF(N(H190)&gt;0,H190,1),6))*IF(N(H190)&gt;0,H190,1),"预算不足，这笔不做")),"")</f>
        <v/>
      </c>
      <c r="N190" s="36" t="n"/>
      <c r="O190" s="20" t="str">
        <f>IF(AND(ISNUMBER(I190),ISNUMBER(J190),ISNUMBER(N190)),IF(AND(I190&lt;&gt;J190,N190&gt;0),ABS(I190-J190)*N190*IF(N(G190)&gt;0,G190,1),""),"")</f>
        <v/>
      </c>
      <c r="P190" s="31" t="n"/>
      <c r="Q190" s="32" t="n"/>
      <c r="R190" s="37" t="str">
        <f>IF(N(U190)&gt;0,SUMPRODUCT(LARGE(('成交明细'!$A$5:$A$804=A190)*('成交明细'!$D$5:$D$804=IF(F190="空","卖","买"))*'成交明细'!$B$5:$B$804,COUNTIFS('成交明细'!$A$5:$A$804,A190,'成交明细'!$D$5:$D$804,IF(F190="空","卖","买")))),"")</f>
        <v/>
      </c>
      <c r="S190" s="37" t="str">
        <f>IF(AND(N(U190)&gt;0,N(W190)&gt;=N(U190)),SUMPRODUCT(MAX(('成交明细'!$A$5:$A$804=A190)*('成交明细'!$D$5:$D$804=IF(F190="空","买","卖"))*'成交明细'!$B$5:$B$804)),"")</f>
        <v/>
      </c>
      <c r="T190" s="38" t="str">
        <f>IF(N(U190)=0,"",IF(SUMPRODUCT(('成交明细'!$A$5:$A$804=A190)*('成交明细'!$D$5:$D$804=IF(F190="空","卖","买"))*ISNUMBER('成交明细'!$C$5:$C$804))=0,"没填时间",IFERROR(VLOOKUP(MOD(SUMPRODUCT(LARGE(('成交明细'!$A$5:$A$804=A190)*('成交明细'!$D$5:$D$804=IF(F190="空","卖","买"))*('成交明细'!$B$5:$B$804+'成交明细'!$C$5:$C$804),COUNTIFS('成交明细'!$A$5:$A$804,A190,'成交明细'!$D$5:$D$804,IF(F190="空","卖","买")))),1),'参数'!$B$39:$C$48,2,TRUE),"")))</f>
        <v/>
      </c>
      <c r="U190" s="35" t="str">
        <f>IF(A190="","",SUMIFS('成交明细'!$F$5:$F$804,'成交明细'!$A$5:$A$804,A190,'成交明细'!$D$5:$D$804,IF(F190="空","卖","买")))</f>
        <v/>
      </c>
      <c r="V190" s="39" t="str">
        <f>IF(N(U190)&gt;0,SUMIFS('成交明细'!$H$5:$H$804,'成交明细'!$A$5:$A$804,A190,'成交明细'!$D$5:$D$804,IF(F190="空","卖","买"))/U190,"")</f>
        <v/>
      </c>
      <c r="W190" s="35" t="str">
        <f>IF(A190="","",SUMIFS('成交明细'!$F$5:$F$804,'成交明细'!$A$5:$A$804,A190,'成交明细'!$D$5:$D$804,IF(F190="空","买","卖")))</f>
        <v/>
      </c>
      <c r="X190" s="39" t="str">
        <f>IF(N(W190)&gt;0,SUMIFS('成交明细'!$H$5:$H$804,'成交明细'!$A$5:$A$804,A190,'成交明细'!$D$5:$D$804,IF(F190="空","买","卖"))/W190,"")</f>
        <v/>
      </c>
      <c r="Y190" s="40" t="str">
        <f>IF(A190="","",IF(Q190&lt;&gt;"已执行",IF(Q190="","未填执行情况",Q190),IF(N(U190)=0,"待录成交",IF(N(W190)&gt;N(U190),"平仓多于开仓",IF(N(W190)&lt;N(U190),"持仓中","已平仓")))))</f>
        <v/>
      </c>
      <c r="Z190" s="41" t="str">
        <f>IF(N(U190)=0,"",SUMIFS('成交明细'!$L$5:$L$804,'成交明细'!$A$5:$A$804,A190))</f>
        <v/>
      </c>
      <c r="AA190" s="42" t="str">
        <f>IF(Y190&lt;&gt;"已平仓","",(SUMIFS('成交明细'!$H$5:$H$804,'成交明细'!$A$5:$A$804,A190,'成交明细'!$D$5:$D$804,"卖")-SUMIFS('成交明细'!$H$5:$H$804,'成交明细'!$A$5:$A$804,A190,'成交明细'!$D$5:$D$804,"买"))*IF(N(G190)&gt;0,G190,1)-Z190)</f>
        <v/>
      </c>
      <c r="AB190" s="43" t="str">
        <f>IF(AND(Y190="已平仓",ISNUMBER(O190)),(SUMIFS('成交明细'!$H$5:$H$804,'成交明细'!$A$5:$A$804,A190,'成交明细'!$D$5:$D$804,"卖")-SUMIFS('成交明细'!$H$5:$H$804,'成交明细'!$A$5:$A$804,A190,'成交明细'!$D$5:$D$804,"买"))*IF(N(G190)&gt;0,G190,1)/O190,"")</f>
        <v/>
      </c>
      <c r="AC190" s="43" t="str">
        <f>IF(AND(Y190="已平仓",ISNUMBER(O190)),AA190/O190,"")</f>
        <v/>
      </c>
      <c r="AD190" s="44" t="str">
        <f>IF(AND(ISNUMBER(V190),ISNUMBER(I190)),IF(F190="空",I190-V190,V190-I190),"")</f>
        <v/>
      </c>
      <c r="AE190" s="44" t="str">
        <f>IF(OR(NOT(ISNUMBER(AA190)),NOT(ISNUMBER(X190))),"",IF(AA190&lt;0,IF(F190="空",X190-J190,J190-X190),IF(NOT(ISNUMBER(K190)),"",IF(F190="空",X190-K190,K190-X190))))</f>
        <v/>
      </c>
      <c r="AF190" s="32" t="n"/>
      <c r="AG190" s="32" t="n"/>
      <c r="AH190" s="31" t="n"/>
      <c r="AI190" s="43" t="str">
        <f>IF(A190="","",SUM(AC$5:AC190))</f>
        <v/>
      </c>
      <c r="AJ190" s="45" t="str">
        <f>IF(A190="","",MAX(0,MAX(AI$5:AI190))-AI190)</f>
        <v/>
      </c>
    </row>
    <row r="191">
      <c r="A191" s="29" t="n"/>
      <c r="B191" s="30" t="n"/>
      <c r="C191" s="31" t="n"/>
      <c r="D191" s="32" t="n"/>
      <c r="E191" s="32" t="n"/>
      <c r="F191" s="32" t="n"/>
      <c r="G191" s="32" t="n"/>
      <c r="H191" s="32" t="n"/>
      <c r="I191" s="33" t="n"/>
      <c r="J191" s="33" t="n"/>
      <c r="K191" s="33" t="n"/>
      <c r="L191" s="34" t="str">
        <f>IF(AND(ISNUMBER(I191),ISNUMBER(J191),ISNUMBER(K191)),IF(OR(AND(F191="多",I191&gt;J191),AND(F191="空",I191&lt;J191)),ABS(K191-I191)/ABS(I191-J191),"止损方向不对"),"")</f>
        <v/>
      </c>
      <c r="M191" s="35" t="str">
        <f>IF(AND(ISNUMBER(I191),ISNUMBER(J191)),IF(I191=J191,"",IF(INT(ROUND('参数'!$C$7/(ABS(I191-J191)*IF(N(G191)&gt;0,G191,1)+2*(I191*IF(N(G191)&gt;0,G191,1)*'参数'!$C$12+'参数'!$C$13+'参数'!$C$14*IF(N(G191)&gt;0,G191,1)))/IF(N(H191)&gt;0,H191,1),6))*IF(N(H191)&gt;0,H191,1)&gt;0,INT(ROUND('参数'!$C$7/(ABS(I191-J191)*IF(N(G191)&gt;0,G191,1)+2*(I191*IF(N(G191)&gt;0,G191,1)*'参数'!$C$12+'参数'!$C$13+'参数'!$C$14*IF(N(G191)&gt;0,G191,1)))/IF(N(H191)&gt;0,H191,1),6))*IF(N(H191)&gt;0,H191,1),"预算不足，这笔不做")),"")</f>
        <v/>
      </c>
      <c r="N191" s="36" t="n"/>
      <c r="O191" s="20" t="str">
        <f>IF(AND(ISNUMBER(I191),ISNUMBER(J191),ISNUMBER(N191)),IF(AND(I191&lt;&gt;J191,N191&gt;0),ABS(I191-J191)*N191*IF(N(G191)&gt;0,G191,1),""),"")</f>
        <v/>
      </c>
      <c r="P191" s="31" t="n"/>
      <c r="Q191" s="32" t="n"/>
      <c r="R191" s="37" t="str">
        <f>IF(N(U191)&gt;0,SUMPRODUCT(LARGE(('成交明细'!$A$5:$A$804=A191)*('成交明细'!$D$5:$D$804=IF(F191="空","卖","买"))*'成交明细'!$B$5:$B$804,COUNTIFS('成交明细'!$A$5:$A$804,A191,'成交明细'!$D$5:$D$804,IF(F191="空","卖","买")))),"")</f>
        <v/>
      </c>
      <c r="S191" s="37" t="str">
        <f>IF(AND(N(U191)&gt;0,N(W191)&gt;=N(U191)),SUMPRODUCT(MAX(('成交明细'!$A$5:$A$804=A191)*('成交明细'!$D$5:$D$804=IF(F191="空","买","卖"))*'成交明细'!$B$5:$B$804)),"")</f>
        <v/>
      </c>
      <c r="T191" s="38" t="str">
        <f>IF(N(U191)=0,"",IF(SUMPRODUCT(('成交明细'!$A$5:$A$804=A191)*('成交明细'!$D$5:$D$804=IF(F191="空","卖","买"))*ISNUMBER('成交明细'!$C$5:$C$804))=0,"没填时间",IFERROR(VLOOKUP(MOD(SUMPRODUCT(LARGE(('成交明细'!$A$5:$A$804=A191)*('成交明细'!$D$5:$D$804=IF(F191="空","卖","买"))*('成交明细'!$B$5:$B$804+'成交明细'!$C$5:$C$804),COUNTIFS('成交明细'!$A$5:$A$804,A191,'成交明细'!$D$5:$D$804,IF(F191="空","卖","买")))),1),'参数'!$B$39:$C$48,2,TRUE),"")))</f>
        <v/>
      </c>
      <c r="U191" s="35" t="str">
        <f>IF(A191="","",SUMIFS('成交明细'!$F$5:$F$804,'成交明细'!$A$5:$A$804,A191,'成交明细'!$D$5:$D$804,IF(F191="空","卖","买")))</f>
        <v/>
      </c>
      <c r="V191" s="39" t="str">
        <f>IF(N(U191)&gt;0,SUMIFS('成交明细'!$H$5:$H$804,'成交明细'!$A$5:$A$804,A191,'成交明细'!$D$5:$D$804,IF(F191="空","卖","买"))/U191,"")</f>
        <v/>
      </c>
      <c r="W191" s="35" t="str">
        <f>IF(A191="","",SUMIFS('成交明细'!$F$5:$F$804,'成交明细'!$A$5:$A$804,A191,'成交明细'!$D$5:$D$804,IF(F191="空","买","卖")))</f>
        <v/>
      </c>
      <c r="X191" s="39" t="str">
        <f>IF(N(W191)&gt;0,SUMIFS('成交明细'!$H$5:$H$804,'成交明细'!$A$5:$A$804,A191,'成交明细'!$D$5:$D$804,IF(F191="空","买","卖"))/W191,"")</f>
        <v/>
      </c>
      <c r="Y191" s="40" t="str">
        <f>IF(A191="","",IF(Q191&lt;&gt;"已执行",IF(Q191="","未填执行情况",Q191),IF(N(U191)=0,"待录成交",IF(N(W191)&gt;N(U191),"平仓多于开仓",IF(N(W191)&lt;N(U191),"持仓中","已平仓")))))</f>
        <v/>
      </c>
      <c r="Z191" s="41" t="str">
        <f>IF(N(U191)=0,"",SUMIFS('成交明细'!$L$5:$L$804,'成交明细'!$A$5:$A$804,A191))</f>
        <v/>
      </c>
      <c r="AA191" s="42" t="str">
        <f>IF(Y191&lt;&gt;"已平仓","",(SUMIFS('成交明细'!$H$5:$H$804,'成交明细'!$A$5:$A$804,A191,'成交明细'!$D$5:$D$804,"卖")-SUMIFS('成交明细'!$H$5:$H$804,'成交明细'!$A$5:$A$804,A191,'成交明细'!$D$5:$D$804,"买"))*IF(N(G191)&gt;0,G191,1)-Z191)</f>
        <v/>
      </c>
      <c r="AB191" s="43" t="str">
        <f>IF(AND(Y191="已平仓",ISNUMBER(O191)),(SUMIFS('成交明细'!$H$5:$H$804,'成交明细'!$A$5:$A$804,A191,'成交明细'!$D$5:$D$804,"卖")-SUMIFS('成交明细'!$H$5:$H$804,'成交明细'!$A$5:$A$804,A191,'成交明细'!$D$5:$D$804,"买"))*IF(N(G191)&gt;0,G191,1)/O191,"")</f>
        <v/>
      </c>
      <c r="AC191" s="43" t="str">
        <f>IF(AND(Y191="已平仓",ISNUMBER(O191)),AA191/O191,"")</f>
        <v/>
      </c>
      <c r="AD191" s="44" t="str">
        <f>IF(AND(ISNUMBER(V191),ISNUMBER(I191)),IF(F191="空",I191-V191,V191-I191),"")</f>
        <v/>
      </c>
      <c r="AE191" s="44" t="str">
        <f>IF(OR(NOT(ISNUMBER(AA191)),NOT(ISNUMBER(X191))),"",IF(AA191&lt;0,IF(F191="空",X191-J191,J191-X191),IF(NOT(ISNUMBER(K191)),"",IF(F191="空",X191-K191,K191-X191))))</f>
        <v/>
      </c>
      <c r="AF191" s="32" t="n"/>
      <c r="AG191" s="32" t="n"/>
      <c r="AH191" s="31" t="n"/>
      <c r="AI191" s="43" t="str">
        <f>IF(A191="","",SUM(AC$5:AC191))</f>
        <v/>
      </c>
      <c r="AJ191" s="45" t="str">
        <f>IF(A191="","",MAX(0,MAX(AI$5:AI191))-AI191)</f>
        <v/>
      </c>
    </row>
    <row r="192">
      <c r="A192" s="29" t="n"/>
      <c r="B192" s="30" t="n"/>
      <c r="C192" s="31" t="n"/>
      <c r="D192" s="32" t="n"/>
      <c r="E192" s="32" t="n"/>
      <c r="F192" s="32" t="n"/>
      <c r="G192" s="32" t="n"/>
      <c r="H192" s="32" t="n"/>
      <c r="I192" s="33" t="n"/>
      <c r="J192" s="33" t="n"/>
      <c r="K192" s="33" t="n"/>
      <c r="L192" s="34" t="str">
        <f>IF(AND(ISNUMBER(I192),ISNUMBER(J192),ISNUMBER(K192)),IF(OR(AND(F192="多",I192&gt;J192),AND(F192="空",I192&lt;J192)),ABS(K192-I192)/ABS(I192-J192),"止损方向不对"),"")</f>
        <v/>
      </c>
      <c r="M192" s="35" t="str">
        <f>IF(AND(ISNUMBER(I192),ISNUMBER(J192)),IF(I192=J192,"",IF(INT(ROUND('参数'!$C$7/(ABS(I192-J192)*IF(N(G192)&gt;0,G192,1)+2*(I192*IF(N(G192)&gt;0,G192,1)*'参数'!$C$12+'参数'!$C$13+'参数'!$C$14*IF(N(G192)&gt;0,G192,1)))/IF(N(H192)&gt;0,H192,1),6))*IF(N(H192)&gt;0,H192,1)&gt;0,INT(ROUND('参数'!$C$7/(ABS(I192-J192)*IF(N(G192)&gt;0,G192,1)+2*(I192*IF(N(G192)&gt;0,G192,1)*'参数'!$C$12+'参数'!$C$13+'参数'!$C$14*IF(N(G192)&gt;0,G192,1)))/IF(N(H192)&gt;0,H192,1),6))*IF(N(H192)&gt;0,H192,1),"预算不足，这笔不做")),"")</f>
        <v/>
      </c>
      <c r="N192" s="36" t="n"/>
      <c r="O192" s="20" t="str">
        <f>IF(AND(ISNUMBER(I192),ISNUMBER(J192),ISNUMBER(N192)),IF(AND(I192&lt;&gt;J192,N192&gt;0),ABS(I192-J192)*N192*IF(N(G192)&gt;0,G192,1),""),"")</f>
        <v/>
      </c>
      <c r="P192" s="31" t="n"/>
      <c r="Q192" s="32" t="n"/>
      <c r="R192" s="37" t="str">
        <f>IF(N(U192)&gt;0,SUMPRODUCT(LARGE(('成交明细'!$A$5:$A$804=A192)*('成交明细'!$D$5:$D$804=IF(F192="空","卖","买"))*'成交明细'!$B$5:$B$804,COUNTIFS('成交明细'!$A$5:$A$804,A192,'成交明细'!$D$5:$D$804,IF(F192="空","卖","买")))),"")</f>
        <v/>
      </c>
      <c r="S192" s="37" t="str">
        <f>IF(AND(N(U192)&gt;0,N(W192)&gt;=N(U192)),SUMPRODUCT(MAX(('成交明细'!$A$5:$A$804=A192)*('成交明细'!$D$5:$D$804=IF(F192="空","买","卖"))*'成交明细'!$B$5:$B$804)),"")</f>
        <v/>
      </c>
      <c r="T192" s="38" t="str">
        <f>IF(N(U192)=0,"",IF(SUMPRODUCT(('成交明细'!$A$5:$A$804=A192)*('成交明细'!$D$5:$D$804=IF(F192="空","卖","买"))*ISNUMBER('成交明细'!$C$5:$C$804))=0,"没填时间",IFERROR(VLOOKUP(MOD(SUMPRODUCT(LARGE(('成交明细'!$A$5:$A$804=A192)*('成交明细'!$D$5:$D$804=IF(F192="空","卖","买"))*('成交明细'!$B$5:$B$804+'成交明细'!$C$5:$C$804),COUNTIFS('成交明细'!$A$5:$A$804,A192,'成交明细'!$D$5:$D$804,IF(F192="空","卖","买")))),1),'参数'!$B$39:$C$48,2,TRUE),"")))</f>
        <v/>
      </c>
      <c r="U192" s="35" t="str">
        <f>IF(A192="","",SUMIFS('成交明细'!$F$5:$F$804,'成交明细'!$A$5:$A$804,A192,'成交明细'!$D$5:$D$804,IF(F192="空","卖","买")))</f>
        <v/>
      </c>
      <c r="V192" s="39" t="str">
        <f>IF(N(U192)&gt;0,SUMIFS('成交明细'!$H$5:$H$804,'成交明细'!$A$5:$A$804,A192,'成交明细'!$D$5:$D$804,IF(F192="空","卖","买"))/U192,"")</f>
        <v/>
      </c>
      <c r="W192" s="35" t="str">
        <f>IF(A192="","",SUMIFS('成交明细'!$F$5:$F$804,'成交明细'!$A$5:$A$804,A192,'成交明细'!$D$5:$D$804,IF(F192="空","买","卖")))</f>
        <v/>
      </c>
      <c r="X192" s="39" t="str">
        <f>IF(N(W192)&gt;0,SUMIFS('成交明细'!$H$5:$H$804,'成交明细'!$A$5:$A$804,A192,'成交明细'!$D$5:$D$804,IF(F192="空","买","卖"))/W192,"")</f>
        <v/>
      </c>
      <c r="Y192" s="40" t="str">
        <f>IF(A192="","",IF(Q192&lt;&gt;"已执行",IF(Q192="","未填执行情况",Q192),IF(N(U192)=0,"待录成交",IF(N(W192)&gt;N(U192),"平仓多于开仓",IF(N(W192)&lt;N(U192),"持仓中","已平仓")))))</f>
        <v/>
      </c>
      <c r="Z192" s="41" t="str">
        <f>IF(N(U192)=0,"",SUMIFS('成交明细'!$L$5:$L$804,'成交明细'!$A$5:$A$804,A192))</f>
        <v/>
      </c>
      <c r="AA192" s="42" t="str">
        <f>IF(Y192&lt;&gt;"已平仓","",(SUMIFS('成交明细'!$H$5:$H$804,'成交明细'!$A$5:$A$804,A192,'成交明细'!$D$5:$D$804,"卖")-SUMIFS('成交明细'!$H$5:$H$804,'成交明细'!$A$5:$A$804,A192,'成交明细'!$D$5:$D$804,"买"))*IF(N(G192)&gt;0,G192,1)-Z192)</f>
        <v/>
      </c>
      <c r="AB192" s="43" t="str">
        <f>IF(AND(Y192="已平仓",ISNUMBER(O192)),(SUMIFS('成交明细'!$H$5:$H$804,'成交明细'!$A$5:$A$804,A192,'成交明细'!$D$5:$D$804,"卖")-SUMIFS('成交明细'!$H$5:$H$804,'成交明细'!$A$5:$A$804,A192,'成交明细'!$D$5:$D$804,"买"))*IF(N(G192)&gt;0,G192,1)/O192,"")</f>
        <v/>
      </c>
      <c r="AC192" s="43" t="str">
        <f>IF(AND(Y192="已平仓",ISNUMBER(O192)),AA192/O192,"")</f>
        <v/>
      </c>
      <c r="AD192" s="44" t="str">
        <f>IF(AND(ISNUMBER(V192),ISNUMBER(I192)),IF(F192="空",I192-V192,V192-I192),"")</f>
        <v/>
      </c>
      <c r="AE192" s="44" t="str">
        <f>IF(OR(NOT(ISNUMBER(AA192)),NOT(ISNUMBER(X192))),"",IF(AA192&lt;0,IF(F192="空",X192-J192,J192-X192),IF(NOT(ISNUMBER(K192)),"",IF(F192="空",X192-K192,K192-X192))))</f>
        <v/>
      </c>
      <c r="AF192" s="32" t="n"/>
      <c r="AG192" s="32" t="n"/>
      <c r="AH192" s="31" t="n"/>
      <c r="AI192" s="43" t="str">
        <f>IF(A192="","",SUM(AC$5:AC192))</f>
        <v/>
      </c>
      <c r="AJ192" s="45" t="str">
        <f>IF(A192="","",MAX(0,MAX(AI$5:AI192))-AI192)</f>
        <v/>
      </c>
    </row>
    <row r="193">
      <c r="A193" s="29" t="n"/>
      <c r="B193" s="30" t="n"/>
      <c r="C193" s="31" t="n"/>
      <c r="D193" s="32" t="n"/>
      <c r="E193" s="32" t="n"/>
      <c r="F193" s="32" t="n"/>
      <c r="G193" s="32" t="n"/>
      <c r="H193" s="32" t="n"/>
      <c r="I193" s="33" t="n"/>
      <c r="J193" s="33" t="n"/>
      <c r="K193" s="33" t="n"/>
      <c r="L193" s="34" t="str">
        <f>IF(AND(ISNUMBER(I193),ISNUMBER(J193),ISNUMBER(K193)),IF(OR(AND(F193="多",I193&gt;J193),AND(F193="空",I193&lt;J193)),ABS(K193-I193)/ABS(I193-J193),"止损方向不对"),"")</f>
        <v/>
      </c>
      <c r="M193" s="35" t="str">
        <f>IF(AND(ISNUMBER(I193),ISNUMBER(J193)),IF(I193=J193,"",IF(INT(ROUND('参数'!$C$7/(ABS(I193-J193)*IF(N(G193)&gt;0,G193,1)+2*(I193*IF(N(G193)&gt;0,G193,1)*'参数'!$C$12+'参数'!$C$13+'参数'!$C$14*IF(N(G193)&gt;0,G193,1)))/IF(N(H193)&gt;0,H193,1),6))*IF(N(H193)&gt;0,H193,1)&gt;0,INT(ROUND('参数'!$C$7/(ABS(I193-J193)*IF(N(G193)&gt;0,G193,1)+2*(I193*IF(N(G193)&gt;0,G193,1)*'参数'!$C$12+'参数'!$C$13+'参数'!$C$14*IF(N(G193)&gt;0,G193,1)))/IF(N(H193)&gt;0,H193,1),6))*IF(N(H193)&gt;0,H193,1),"预算不足，这笔不做")),"")</f>
        <v/>
      </c>
      <c r="N193" s="36" t="n"/>
      <c r="O193" s="20" t="str">
        <f>IF(AND(ISNUMBER(I193),ISNUMBER(J193),ISNUMBER(N193)),IF(AND(I193&lt;&gt;J193,N193&gt;0),ABS(I193-J193)*N193*IF(N(G193)&gt;0,G193,1),""),"")</f>
        <v/>
      </c>
      <c r="P193" s="31" t="n"/>
      <c r="Q193" s="32" t="n"/>
      <c r="R193" s="37" t="str">
        <f>IF(N(U193)&gt;0,SUMPRODUCT(LARGE(('成交明细'!$A$5:$A$804=A193)*('成交明细'!$D$5:$D$804=IF(F193="空","卖","买"))*'成交明细'!$B$5:$B$804,COUNTIFS('成交明细'!$A$5:$A$804,A193,'成交明细'!$D$5:$D$804,IF(F193="空","卖","买")))),"")</f>
        <v/>
      </c>
      <c r="S193" s="37" t="str">
        <f>IF(AND(N(U193)&gt;0,N(W193)&gt;=N(U193)),SUMPRODUCT(MAX(('成交明细'!$A$5:$A$804=A193)*('成交明细'!$D$5:$D$804=IF(F193="空","买","卖"))*'成交明细'!$B$5:$B$804)),"")</f>
        <v/>
      </c>
      <c r="T193" s="38" t="str">
        <f>IF(N(U193)=0,"",IF(SUMPRODUCT(('成交明细'!$A$5:$A$804=A193)*('成交明细'!$D$5:$D$804=IF(F193="空","卖","买"))*ISNUMBER('成交明细'!$C$5:$C$804))=0,"没填时间",IFERROR(VLOOKUP(MOD(SUMPRODUCT(LARGE(('成交明细'!$A$5:$A$804=A193)*('成交明细'!$D$5:$D$804=IF(F193="空","卖","买"))*('成交明细'!$B$5:$B$804+'成交明细'!$C$5:$C$804),COUNTIFS('成交明细'!$A$5:$A$804,A193,'成交明细'!$D$5:$D$804,IF(F193="空","卖","买")))),1),'参数'!$B$39:$C$48,2,TRUE),"")))</f>
        <v/>
      </c>
      <c r="U193" s="35" t="str">
        <f>IF(A193="","",SUMIFS('成交明细'!$F$5:$F$804,'成交明细'!$A$5:$A$804,A193,'成交明细'!$D$5:$D$804,IF(F193="空","卖","买")))</f>
        <v/>
      </c>
      <c r="V193" s="39" t="str">
        <f>IF(N(U193)&gt;0,SUMIFS('成交明细'!$H$5:$H$804,'成交明细'!$A$5:$A$804,A193,'成交明细'!$D$5:$D$804,IF(F193="空","卖","买"))/U193,"")</f>
        <v/>
      </c>
      <c r="W193" s="35" t="str">
        <f>IF(A193="","",SUMIFS('成交明细'!$F$5:$F$804,'成交明细'!$A$5:$A$804,A193,'成交明细'!$D$5:$D$804,IF(F193="空","买","卖")))</f>
        <v/>
      </c>
      <c r="X193" s="39" t="str">
        <f>IF(N(W193)&gt;0,SUMIFS('成交明细'!$H$5:$H$804,'成交明细'!$A$5:$A$804,A193,'成交明细'!$D$5:$D$804,IF(F193="空","买","卖"))/W193,"")</f>
        <v/>
      </c>
      <c r="Y193" s="40" t="str">
        <f>IF(A193="","",IF(Q193&lt;&gt;"已执行",IF(Q193="","未填执行情况",Q193),IF(N(U193)=0,"待录成交",IF(N(W193)&gt;N(U193),"平仓多于开仓",IF(N(W193)&lt;N(U193),"持仓中","已平仓")))))</f>
        <v/>
      </c>
      <c r="Z193" s="41" t="str">
        <f>IF(N(U193)=0,"",SUMIFS('成交明细'!$L$5:$L$804,'成交明细'!$A$5:$A$804,A193))</f>
        <v/>
      </c>
      <c r="AA193" s="42" t="str">
        <f>IF(Y193&lt;&gt;"已平仓","",(SUMIFS('成交明细'!$H$5:$H$804,'成交明细'!$A$5:$A$804,A193,'成交明细'!$D$5:$D$804,"卖")-SUMIFS('成交明细'!$H$5:$H$804,'成交明细'!$A$5:$A$804,A193,'成交明细'!$D$5:$D$804,"买"))*IF(N(G193)&gt;0,G193,1)-Z193)</f>
        <v/>
      </c>
      <c r="AB193" s="43" t="str">
        <f>IF(AND(Y193="已平仓",ISNUMBER(O193)),(SUMIFS('成交明细'!$H$5:$H$804,'成交明细'!$A$5:$A$804,A193,'成交明细'!$D$5:$D$804,"卖")-SUMIFS('成交明细'!$H$5:$H$804,'成交明细'!$A$5:$A$804,A193,'成交明细'!$D$5:$D$804,"买"))*IF(N(G193)&gt;0,G193,1)/O193,"")</f>
        <v/>
      </c>
      <c r="AC193" s="43" t="str">
        <f>IF(AND(Y193="已平仓",ISNUMBER(O193)),AA193/O193,"")</f>
        <v/>
      </c>
      <c r="AD193" s="44" t="str">
        <f>IF(AND(ISNUMBER(V193),ISNUMBER(I193)),IF(F193="空",I193-V193,V193-I193),"")</f>
        <v/>
      </c>
      <c r="AE193" s="44" t="str">
        <f>IF(OR(NOT(ISNUMBER(AA193)),NOT(ISNUMBER(X193))),"",IF(AA193&lt;0,IF(F193="空",X193-J193,J193-X193),IF(NOT(ISNUMBER(K193)),"",IF(F193="空",X193-K193,K193-X193))))</f>
        <v/>
      </c>
      <c r="AF193" s="32" t="n"/>
      <c r="AG193" s="32" t="n"/>
      <c r="AH193" s="31" t="n"/>
      <c r="AI193" s="43" t="str">
        <f>IF(A193="","",SUM(AC$5:AC193))</f>
        <v/>
      </c>
      <c r="AJ193" s="45" t="str">
        <f>IF(A193="","",MAX(0,MAX(AI$5:AI193))-AI193)</f>
        <v/>
      </c>
    </row>
    <row r="194">
      <c r="A194" s="29" t="n"/>
      <c r="B194" s="30" t="n"/>
      <c r="C194" s="31" t="n"/>
      <c r="D194" s="32" t="n"/>
      <c r="E194" s="32" t="n"/>
      <c r="F194" s="32" t="n"/>
      <c r="G194" s="32" t="n"/>
      <c r="H194" s="32" t="n"/>
      <c r="I194" s="33" t="n"/>
      <c r="J194" s="33" t="n"/>
      <c r="K194" s="33" t="n"/>
      <c r="L194" s="34" t="str">
        <f>IF(AND(ISNUMBER(I194),ISNUMBER(J194),ISNUMBER(K194)),IF(OR(AND(F194="多",I194&gt;J194),AND(F194="空",I194&lt;J194)),ABS(K194-I194)/ABS(I194-J194),"止损方向不对"),"")</f>
        <v/>
      </c>
      <c r="M194" s="35" t="str">
        <f>IF(AND(ISNUMBER(I194),ISNUMBER(J194)),IF(I194=J194,"",IF(INT(ROUND('参数'!$C$7/(ABS(I194-J194)*IF(N(G194)&gt;0,G194,1)+2*(I194*IF(N(G194)&gt;0,G194,1)*'参数'!$C$12+'参数'!$C$13+'参数'!$C$14*IF(N(G194)&gt;0,G194,1)))/IF(N(H194)&gt;0,H194,1),6))*IF(N(H194)&gt;0,H194,1)&gt;0,INT(ROUND('参数'!$C$7/(ABS(I194-J194)*IF(N(G194)&gt;0,G194,1)+2*(I194*IF(N(G194)&gt;0,G194,1)*'参数'!$C$12+'参数'!$C$13+'参数'!$C$14*IF(N(G194)&gt;0,G194,1)))/IF(N(H194)&gt;0,H194,1),6))*IF(N(H194)&gt;0,H194,1),"预算不足，这笔不做")),"")</f>
        <v/>
      </c>
      <c r="N194" s="36" t="n"/>
      <c r="O194" s="20" t="str">
        <f>IF(AND(ISNUMBER(I194),ISNUMBER(J194),ISNUMBER(N194)),IF(AND(I194&lt;&gt;J194,N194&gt;0),ABS(I194-J194)*N194*IF(N(G194)&gt;0,G194,1),""),"")</f>
        <v/>
      </c>
      <c r="P194" s="31" t="n"/>
      <c r="Q194" s="32" t="n"/>
      <c r="R194" s="37" t="str">
        <f>IF(N(U194)&gt;0,SUMPRODUCT(LARGE(('成交明细'!$A$5:$A$804=A194)*('成交明细'!$D$5:$D$804=IF(F194="空","卖","买"))*'成交明细'!$B$5:$B$804,COUNTIFS('成交明细'!$A$5:$A$804,A194,'成交明细'!$D$5:$D$804,IF(F194="空","卖","买")))),"")</f>
        <v/>
      </c>
      <c r="S194" s="37" t="str">
        <f>IF(AND(N(U194)&gt;0,N(W194)&gt;=N(U194)),SUMPRODUCT(MAX(('成交明细'!$A$5:$A$804=A194)*('成交明细'!$D$5:$D$804=IF(F194="空","买","卖"))*'成交明细'!$B$5:$B$804)),"")</f>
        <v/>
      </c>
      <c r="T194" s="38" t="str">
        <f>IF(N(U194)=0,"",IF(SUMPRODUCT(('成交明细'!$A$5:$A$804=A194)*('成交明细'!$D$5:$D$804=IF(F194="空","卖","买"))*ISNUMBER('成交明细'!$C$5:$C$804))=0,"没填时间",IFERROR(VLOOKUP(MOD(SUMPRODUCT(LARGE(('成交明细'!$A$5:$A$804=A194)*('成交明细'!$D$5:$D$804=IF(F194="空","卖","买"))*('成交明细'!$B$5:$B$804+'成交明细'!$C$5:$C$804),COUNTIFS('成交明细'!$A$5:$A$804,A194,'成交明细'!$D$5:$D$804,IF(F194="空","卖","买")))),1),'参数'!$B$39:$C$48,2,TRUE),"")))</f>
        <v/>
      </c>
      <c r="U194" s="35" t="str">
        <f>IF(A194="","",SUMIFS('成交明细'!$F$5:$F$804,'成交明细'!$A$5:$A$804,A194,'成交明细'!$D$5:$D$804,IF(F194="空","卖","买")))</f>
        <v/>
      </c>
      <c r="V194" s="39" t="str">
        <f>IF(N(U194)&gt;0,SUMIFS('成交明细'!$H$5:$H$804,'成交明细'!$A$5:$A$804,A194,'成交明细'!$D$5:$D$804,IF(F194="空","卖","买"))/U194,"")</f>
        <v/>
      </c>
      <c r="W194" s="35" t="str">
        <f>IF(A194="","",SUMIFS('成交明细'!$F$5:$F$804,'成交明细'!$A$5:$A$804,A194,'成交明细'!$D$5:$D$804,IF(F194="空","买","卖")))</f>
        <v/>
      </c>
      <c r="X194" s="39" t="str">
        <f>IF(N(W194)&gt;0,SUMIFS('成交明细'!$H$5:$H$804,'成交明细'!$A$5:$A$804,A194,'成交明细'!$D$5:$D$804,IF(F194="空","买","卖"))/W194,"")</f>
        <v/>
      </c>
      <c r="Y194" s="40" t="str">
        <f>IF(A194="","",IF(Q194&lt;&gt;"已执行",IF(Q194="","未填执行情况",Q194),IF(N(U194)=0,"待录成交",IF(N(W194)&gt;N(U194),"平仓多于开仓",IF(N(W194)&lt;N(U194),"持仓中","已平仓")))))</f>
        <v/>
      </c>
      <c r="Z194" s="41" t="str">
        <f>IF(N(U194)=0,"",SUMIFS('成交明细'!$L$5:$L$804,'成交明细'!$A$5:$A$804,A194))</f>
        <v/>
      </c>
      <c r="AA194" s="42" t="str">
        <f>IF(Y194&lt;&gt;"已平仓","",(SUMIFS('成交明细'!$H$5:$H$804,'成交明细'!$A$5:$A$804,A194,'成交明细'!$D$5:$D$804,"卖")-SUMIFS('成交明细'!$H$5:$H$804,'成交明细'!$A$5:$A$804,A194,'成交明细'!$D$5:$D$804,"买"))*IF(N(G194)&gt;0,G194,1)-Z194)</f>
        <v/>
      </c>
      <c r="AB194" s="43" t="str">
        <f>IF(AND(Y194="已平仓",ISNUMBER(O194)),(SUMIFS('成交明细'!$H$5:$H$804,'成交明细'!$A$5:$A$804,A194,'成交明细'!$D$5:$D$804,"卖")-SUMIFS('成交明细'!$H$5:$H$804,'成交明细'!$A$5:$A$804,A194,'成交明细'!$D$5:$D$804,"买"))*IF(N(G194)&gt;0,G194,1)/O194,"")</f>
        <v/>
      </c>
      <c r="AC194" s="43" t="str">
        <f>IF(AND(Y194="已平仓",ISNUMBER(O194)),AA194/O194,"")</f>
        <v/>
      </c>
      <c r="AD194" s="44" t="str">
        <f>IF(AND(ISNUMBER(V194),ISNUMBER(I194)),IF(F194="空",I194-V194,V194-I194),"")</f>
        <v/>
      </c>
      <c r="AE194" s="44" t="str">
        <f>IF(OR(NOT(ISNUMBER(AA194)),NOT(ISNUMBER(X194))),"",IF(AA194&lt;0,IF(F194="空",X194-J194,J194-X194),IF(NOT(ISNUMBER(K194)),"",IF(F194="空",X194-K194,K194-X194))))</f>
        <v/>
      </c>
      <c r="AF194" s="32" t="n"/>
      <c r="AG194" s="32" t="n"/>
      <c r="AH194" s="31" t="n"/>
      <c r="AI194" s="43" t="str">
        <f>IF(A194="","",SUM(AC$5:AC194))</f>
        <v/>
      </c>
      <c r="AJ194" s="45" t="str">
        <f>IF(A194="","",MAX(0,MAX(AI$5:AI194))-AI194)</f>
        <v/>
      </c>
    </row>
    <row r="195">
      <c r="A195" s="29" t="n"/>
      <c r="B195" s="30" t="n"/>
      <c r="C195" s="31" t="n"/>
      <c r="D195" s="32" t="n"/>
      <c r="E195" s="32" t="n"/>
      <c r="F195" s="32" t="n"/>
      <c r="G195" s="32" t="n"/>
      <c r="H195" s="32" t="n"/>
      <c r="I195" s="33" t="n"/>
      <c r="J195" s="33" t="n"/>
      <c r="K195" s="33" t="n"/>
      <c r="L195" s="34" t="str">
        <f>IF(AND(ISNUMBER(I195),ISNUMBER(J195),ISNUMBER(K195)),IF(OR(AND(F195="多",I195&gt;J195),AND(F195="空",I195&lt;J195)),ABS(K195-I195)/ABS(I195-J195),"止损方向不对"),"")</f>
        <v/>
      </c>
      <c r="M195" s="35" t="str">
        <f>IF(AND(ISNUMBER(I195),ISNUMBER(J195)),IF(I195=J195,"",IF(INT(ROUND('参数'!$C$7/(ABS(I195-J195)*IF(N(G195)&gt;0,G195,1)+2*(I195*IF(N(G195)&gt;0,G195,1)*'参数'!$C$12+'参数'!$C$13+'参数'!$C$14*IF(N(G195)&gt;0,G195,1)))/IF(N(H195)&gt;0,H195,1),6))*IF(N(H195)&gt;0,H195,1)&gt;0,INT(ROUND('参数'!$C$7/(ABS(I195-J195)*IF(N(G195)&gt;0,G195,1)+2*(I195*IF(N(G195)&gt;0,G195,1)*'参数'!$C$12+'参数'!$C$13+'参数'!$C$14*IF(N(G195)&gt;0,G195,1)))/IF(N(H195)&gt;0,H195,1),6))*IF(N(H195)&gt;0,H195,1),"预算不足，这笔不做")),"")</f>
        <v/>
      </c>
      <c r="N195" s="36" t="n"/>
      <c r="O195" s="20" t="str">
        <f>IF(AND(ISNUMBER(I195),ISNUMBER(J195),ISNUMBER(N195)),IF(AND(I195&lt;&gt;J195,N195&gt;0),ABS(I195-J195)*N195*IF(N(G195)&gt;0,G195,1),""),"")</f>
        <v/>
      </c>
      <c r="P195" s="31" t="n"/>
      <c r="Q195" s="32" t="n"/>
      <c r="R195" s="37" t="str">
        <f>IF(N(U195)&gt;0,SUMPRODUCT(LARGE(('成交明细'!$A$5:$A$804=A195)*('成交明细'!$D$5:$D$804=IF(F195="空","卖","买"))*'成交明细'!$B$5:$B$804,COUNTIFS('成交明细'!$A$5:$A$804,A195,'成交明细'!$D$5:$D$804,IF(F195="空","卖","买")))),"")</f>
        <v/>
      </c>
      <c r="S195" s="37" t="str">
        <f>IF(AND(N(U195)&gt;0,N(W195)&gt;=N(U195)),SUMPRODUCT(MAX(('成交明细'!$A$5:$A$804=A195)*('成交明细'!$D$5:$D$804=IF(F195="空","买","卖"))*'成交明细'!$B$5:$B$804)),"")</f>
        <v/>
      </c>
      <c r="T195" s="38" t="str">
        <f>IF(N(U195)=0,"",IF(SUMPRODUCT(('成交明细'!$A$5:$A$804=A195)*('成交明细'!$D$5:$D$804=IF(F195="空","卖","买"))*ISNUMBER('成交明细'!$C$5:$C$804))=0,"没填时间",IFERROR(VLOOKUP(MOD(SUMPRODUCT(LARGE(('成交明细'!$A$5:$A$804=A195)*('成交明细'!$D$5:$D$804=IF(F195="空","卖","买"))*('成交明细'!$B$5:$B$804+'成交明细'!$C$5:$C$804),COUNTIFS('成交明细'!$A$5:$A$804,A195,'成交明细'!$D$5:$D$804,IF(F195="空","卖","买")))),1),'参数'!$B$39:$C$48,2,TRUE),"")))</f>
        <v/>
      </c>
      <c r="U195" s="35" t="str">
        <f>IF(A195="","",SUMIFS('成交明细'!$F$5:$F$804,'成交明细'!$A$5:$A$804,A195,'成交明细'!$D$5:$D$804,IF(F195="空","卖","买")))</f>
        <v/>
      </c>
      <c r="V195" s="39" t="str">
        <f>IF(N(U195)&gt;0,SUMIFS('成交明细'!$H$5:$H$804,'成交明细'!$A$5:$A$804,A195,'成交明细'!$D$5:$D$804,IF(F195="空","卖","买"))/U195,"")</f>
        <v/>
      </c>
      <c r="W195" s="35" t="str">
        <f>IF(A195="","",SUMIFS('成交明细'!$F$5:$F$804,'成交明细'!$A$5:$A$804,A195,'成交明细'!$D$5:$D$804,IF(F195="空","买","卖")))</f>
        <v/>
      </c>
      <c r="X195" s="39" t="str">
        <f>IF(N(W195)&gt;0,SUMIFS('成交明细'!$H$5:$H$804,'成交明细'!$A$5:$A$804,A195,'成交明细'!$D$5:$D$804,IF(F195="空","买","卖"))/W195,"")</f>
        <v/>
      </c>
      <c r="Y195" s="40" t="str">
        <f>IF(A195="","",IF(Q195&lt;&gt;"已执行",IF(Q195="","未填执行情况",Q195),IF(N(U195)=0,"待录成交",IF(N(W195)&gt;N(U195),"平仓多于开仓",IF(N(W195)&lt;N(U195),"持仓中","已平仓")))))</f>
        <v/>
      </c>
      <c r="Z195" s="41" t="str">
        <f>IF(N(U195)=0,"",SUMIFS('成交明细'!$L$5:$L$804,'成交明细'!$A$5:$A$804,A195))</f>
        <v/>
      </c>
      <c r="AA195" s="42" t="str">
        <f>IF(Y195&lt;&gt;"已平仓","",(SUMIFS('成交明细'!$H$5:$H$804,'成交明细'!$A$5:$A$804,A195,'成交明细'!$D$5:$D$804,"卖")-SUMIFS('成交明细'!$H$5:$H$804,'成交明细'!$A$5:$A$804,A195,'成交明细'!$D$5:$D$804,"买"))*IF(N(G195)&gt;0,G195,1)-Z195)</f>
        <v/>
      </c>
      <c r="AB195" s="43" t="str">
        <f>IF(AND(Y195="已平仓",ISNUMBER(O195)),(SUMIFS('成交明细'!$H$5:$H$804,'成交明细'!$A$5:$A$804,A195,'成交明细'!$D$5:$D$804,"卖")-SUMIFS('成交明细'!$H$5:$H$804,'成交明细'!$A$5:$A$804,A195,'成交明细'!$D$5:$D$804,"买"))*IF(N(G195)&gt;0,G195,1)/O195,"")</f>
        <v/>
      </c>
      <c r="AC195" s="43" t="str">
        <f>IF(AND(Y195="已平仓",ISNUMBER(O195)),AA195/O195,"")</f>
        <v/>
      </c>
      <c r="AD195" s="44" t="str">
        <f>IF(AND(ISNUMBER(V195),ISNUMBER(I195)),IF(F195="空",I195-V195,V195-I195),"")</f>
        <v/>
      </c>
      <c r="AE195" s="44" t="str">
        <f>IF(OR(NOT(ISNUMBER(AA195)),NOT(ISNUMBER(X195))),"",IF(AA195&lt;0,IF(F195="空",X195-J195,J195-X195),IF(NOT(ISNUMBER(K195)),"",IF(F195="空",X195-K195,K195-X195))))</f>
        <v/>
      </c>
      <c r="AF195" s="32" t="n"/>
      <c r="AG195" s="32" t="n"/>
      <c r="AH195" s="31" t="n"/>
      <c r="AI195" s="43" t="str">
        <f>IF(A195="","",SUM(AC$5:AC195))</f>
        <v/>
      </c>
      <c r="AJ195" s="45" t="str">
        <f>IF(A195="","",MAX(0,MAX(AI$5:AI195))-AI195)</f>
        <v/>
      </c>
    </row>
    <row r="196">
      <c r="A196" s="29" t="n"/>
      <c r="B196" s="30" t="n"/>
      <c r="C196" s="31" t="n"/>
      <c r="D196" s="32" t="n"/>
      <c r="E196" s="32" t="n"/>
      <c r="F196" s="32" t="n"/>
      <c r="G196" s="32" t="n"/>
      <c r="H196" s="32" t="n"/>
      <c r="I196" s="33" t="n"/>
      <c r="J196" s="33" t="n"/>
      <c r="K196" s="33" t="n"/>
      <c r="L196" s="34" t="str">
        <f>IF(AND(ISNUMBER(I196),ISNUMBER(J196),ISNUMBER(K196)),IF(OR(AND(F196="多",I196&gt;J196),AND(F196="空",I196&lt;J196)),ABS(K196-I196)/ABS(I196-J196),"止损方向不对"),"")</f>
        <v/>
      </c>
      <c r="M196" s="35" t="str">
        <f>IF(AND(ISNUMBER(I196),ISNUMBER(J196)),IF(I196=J196,"",IF(INT(ROUND('参数'!$C$7/(ABS(I196-J196)*IF(N(G196)&gt;0,G196,1)+2*(I196*IF(N(G196)&gt;0,G196,1)*'参数'!$C$12+'参数'!$C$13+'参数'!$C$14*IF(N(G196)&gt;0,G196,1)))/IF(N(H196)&gt;0,H196,1),6))*IF(N(H196)&gt;0,H196,1)&gt;0,INT(ROUND('参数'!$C$7/(ABS(I196-J196)*IF(N(G196)&gt;0,G196,1)+2*(I196*IF(N(G196)&gt;0,G196,1)*'参数'!$C$12+'参数'!$C$13+'参数'!$C$14*IF(N(G196)&gt;0,G196,1)))/IF(N(H196)&gt;0,H196,1),6))*IF(N(H196)&gt;0,H196,1),"预算不足，这笔不做")),"")</f>
        <v/>
      </c>
      <c r="N196" s="36" t="n"/>
      <c r="O196" s="20" t="str">
        <f>IF(AND(ISNUMBER(I196),ISNUMBER(J196),ISNUMBER(N196)),IF(AND(I196&lt;&gt;J196,N196&gt;0),ABS(I196-J196)*N196*IF(N(G196)&gt;0,G196,1),""),"")</f>
        <v/>
      </c>
      <c r="P196" s="31" t="n"/>
      <c r="Q196" s="32" t="n"/>
      <c r="R196" s="37" t="str">
        <f>IF(N(U196)&gt;0,SUMPRODUCT(LARGE(('成交明细'!$A$5:$A$804=A196)*('成交明细'!$D$5:$D$804=IF(F196="空","卖","买"))*'成交明细'!$B$5:$B$804,COUNTIFS('成交明细'!$A$5:$A$804,A196,'成交明细'!$D$5:$D$804,IF(F196="空","卖","买")))),"")</f>
        <v/>
      </c>
      <c r="S196" s="37" t="str">
        <f>IF(AND(N(U196)&gt;0,N(W196)&gt;=N(U196)),SUMPRODUCT(MAX(('成交明细'!$A$5:$A$804=A196)*('成交明细'!$D$5:$D$804=IF(F196="空","买","卖"))*'成交明细'!$B$5:$B$804)),"")</f>
        <v/>
      </c>
      <c r="T196" s="38" t="str">
        <f>IF(N(U196)=0,"",IF(SUMPRODUCT(('成交明细'!$A$5:$A$804=A196)*('成交明细'!$D$5:$D$804=IF(F196="空","卖","买"))*ISNUMBER('成交明细'!$C$5:$C$804))=0,"没填时间",IFERROR(VLOOKUP(MOD(SUMPRODUCT(LARGE(('成交明细'!$A$5:$A$804=A196)*('成交明细'!$D$5:$D$804=IF(F196="空","卖","买"))*('成交明细'!$B$5:$B$804+'成交明细'!$C$5:$C$804),COUNTIFS('成交明细'!$A$5:$A$804,A196,'成交明细'!$D$5:$D$804,IF(F196="空","卖","买")))),1),'参数'!$B$39:$C$48,2,TRUE),"")))</f>
        <v/>
      </c>
      <c r="U196" s="35" t="str">
        <f>IF(A196="","",SUMIFS('成交明细'!$F$5:$F$804,'成交明细'!$A$5:$A$804,A196,'成交明细'!$D$5:$D$804,IF(F196="空","卖","买")))</f>
        <v/>
      </c>
      <c r="V196" s="39" t="str">
        <f>IF(N(U196)&gt;0,SUMIFS('成交明细'!$H$5:$H$804,'成交明细'!$A$5:$A$804,A196,'成交明细'!$D$5:$D$804,IF(F196="空","卖","买"))/U196,"")</f>
        <v/>
      </c>
      <c r="W196" s="35" t="str">
        <f>IF(A196="","",SUMIFS('成交明细'!$F$5:$F$804,'成交明细'!$A$5:$A$804,A196,'成交明细'!$D$5:$D$804,IF(F196="空","买","卖")))</f>
        <v/>
      </c>
      <c r="X196" s="39" t="str">
        <f>IF(N(W196)&gt;0,SUMIFS('成交明细'!$H$5:$H$804,'成交明细'!$A$5:$A$804,A196,'成交明细'!$D$5:$D$804,IF(F196="空","买","卖"))/W196,"")</f>
        <v/>
      </c>
      <c r="Y196" s="40" t="str">
        <f>IF(A196="","",IF(Q196&lt;&gt;"已执行",IF(Q196="","未填执行情况",Q196),IF(N(U196)=0,"待录成交",IF(N(W196)&gt;N(U196),"平仓多于开仓",IF(N(W196)&lt;N(U196),"持仓中","已平仓")))))</f>
        <v/>
      </c>
      <c r="Z196" s="41" t="str">
        <f>IF(N(U196)=0,"",SUMIFS('成交明细'!$L$5:$L$804,'成交明细'!$A$5:$A$804,A196))</f>
        <v/>
      </c>
      <c r="AA196" s="42" t="str">
        <f>IF(Y196&lt;&gt;"已平仓","",(SUMIFS('成交明细'!$H$5:$H$804,'成交明细'!$A$5:$A$804,A196,'成交明细'!$D$5:$D$804,"卖")-SUMIFS('成交明细'!$H$5:$H$804,'成交明细'!$A$5:$A$804,A196,'成交明细'!$D$5:$D$804,"买"))*IF(N(G196)&gt;0,G196,1)-Z196)</f>
        <v/>
      </c>
      <c r="AB196" s="43" t="str">
        <f>IF(AND(Y196="已平仓",ISNUMBER(O196)),(SUMIFS('成交明细'!$H$5:$H$804,'成交明细'!$A$5:$A$804,A196,'成交明细'!$D$5:$D$804,"卖")-SUMIFS('成交明细'!$H$5:$H$804,'成交明细'!$A$5:$A$804,A196,'成交明细'!$D$5:$D$804,"买"))*IF(N(G196)&gt;0,G196,1)/O196,"")</f>
        <v/>
      </c>
      <c r="AC196" s="43" t="str">
        <f>IF(AND(Y196="已平仓",ISNUMBER(O196)),AA196/O196,"")</f>
        <v/>
      </c>
      <c r="AD196" s="44" t="str">
        <f>IF(AND(ISNUMBER(V196),ISNUMBER(I196)),IF(F196="空",I196-V196,V196-I196),"")</f>
        <v/>
      </c>
      <c r="AE196" s="44" t="str">
        <f>IF(OR(NOT(ISNUMBER(AA196)),NOT(ISNUMBER(X196))),"",IF(AA196&lt;0,IF(F196="空",X196-J196,J196-X196),IF(NOT(ISNUMBER(K196)),"",IF(F196="空",X196-K196,K196-X196))))</f>
        <v/>
      </c>
      <c r="AF196" s="32" t="n"/>
      <c r="AG196" s="32" t="n"/>
      <c r="AH196" s="31" t="n"/>
      <c r="AI196" s="43" t="str">
        <f>IF(A196="","",SUM(AC$5:AC196))</f>
        <v/>
      </c>
      <c r="AJ196" s="45" t="str">
        <f>IF(A196="","",MAX(0,MAX(AI$5:AI196))-AI196)</f>
        <v/>
      </c>
    </row>
    <row r="197">
      <c r="A197" s="29" t="n"/>
      <c r="B197" s="30" t="n"/>
      <c r="C197" s="31" t="n"/>
      <c r="D197" s="32" t="n"/>
      <c r="E197" s="32" t="n"/>
      <c r="F197" s="32" t="n"/>
      <c r="G197" s="32" t="n"/>
      <c r="H197" s="32" t="n"/>
      <c r="I197" s="33" t="n"/>
      <c r="J197" s="33" t="n"/>
      <c r="K197" s="33" t="n"/>
      <c r="L197" s="34" t="str">
        <f>IF(AND(ISNUMBER(I197),ISNUMBER(J197),ISNUMBER(K197)),IF(OR(AND(F197="多",I197&gt;J197),AND(F197="空",I197&lt;J197)),ABS(K197-I197)/ABS(I197-J197),"止损方向不对"),"")</f>
        <v/>
      </c>
      <c r="M197" s="35" t="str">
        <f>IF(AND(ISNUMBER(I197),ISNUMBER(J197)),IF(I197=J197,"",IF(INT(ROUND('参数'!$C$7/(ABS(I197-J197)*IF(N(G197)&gt;0,G197,1)+2*(I197*IF(N(G197)&gt;0,G197,1)*'参数'!$C$12+'参数'!$C$13+'参数'!$C$14*IF(N(G197)&gt;0,G197,1)))/IF(N(H197)&gt;0,H197,1),6))*IF(N(H197)&gt;0,H197,1)&gt;0,INT(ROUND('参数'!$C$7/(ABS(I197-J197)*IF(N(G197)&gt;0,G197,1)+2*(I197*IF(N(G197)&gt;0,G197,1)*'参数'!$C$12+'参数'!$C$13+'参数'!$C$14*IF(N(G197)&gt;0,G197,1)))/IF(N(H197)&gt;0,H197,1),6))*IF(N(H197)&gt;0,H197,1),"预算不足，这笔不做")),"")</f>
        <v/>
      </c>
      <c r="N197" s="36" t="n"/>
      <c r="O197" s="20" t="str">
        <f>IF(AND(ISNUMBER(I197),ISNUMBER(J197),ISNUMBER(N197)),IF(AND(I197&lt;&gt;J197,N197&gt;0),ABS(I197-J197)*N197*IF(N(G197)&gt;0,G197,1),""),"")</f>
        <v/>
      </c>
      <c r="P197" s="31" t="n"/>
      <c r="Q197" s="32" t="n"/>
      <c r="R197" s="37" t="str">
        <f>IF(N(U197)&gt;0,SUMPRODUCT(LARGE(('成交明细'!$A$5:$A$804=A197)*('成交明细'!$D$5:$D$804=IF(F197="空","卖","买"))*'成交明细'!$B$5:$B$804,COUNTIFS('成交明细'!$A$5:$A$804,A197,'成交明细'!$D$5:$D$804,IF(F197="空","卖","买")))),"")</f>
        <v/>
      </c>
      <c r="S197" s="37" t="str">
        <f>IF(AND(N(U197)&gt;0,N(W197)&gt;=N(U197)),SUMPRODUCT(MAX(('成交明细'!$A$5:$A$804=A197)*('成交明细'!$D$5:$D$804=IF(F197="空","买","卖"))*'成交明细'!$B$5:$B$804)),"")</f>
        <v/>
      </c>
      <c r="T197" s="38" t="str">
        <f>IF(N(U197)=0,"",IF(SUMPRODUCT(('成交明细'!$A$5:$A$804=A197)*('成交明细'!$D$5:$D$804=IF(F197="空","卖","买"))*ISNUMBER('成交明细'!$C$5:$C$804))=0,"没填时间",IFERROR(VLOOKUP(MOD(SUMPRODUCT(LARGE(('成交明细'!$A$5:$A$804=A197)*('成交明细'!$D$5:$D$804=IF(F197="空","卖","买"))*('成交明细'!$B$5:$B$804+'成交明细'!$C$5:$C$804),COUNTIFS('成交明细'!$A$5:$A$804,A197,'成交明细'!$D$5:$D$804,IF(F197="空","卖","买")))),1),'参数'!$B$39:$C$48,2,TRUE),"")))</f>
        <v/>
      </c>
      <c r="U197" s="35" t="str">
        <f>IF(A197="","",SUMIFS('成交明细'!$F$5:$F$804,'成交明细'!$A$5:$A$804,A197,'成交明细'!$D$5:$D$804,IF(F197="空","卖","买")))</f>
        <v/>
      </c>
      <c r="V197" s="39" t="str">
        <f>IF(N(U197)&gt;0,SUMIFS('成交明细'!$H$5:$H$804,'成交明细'!$A$5:$A$804,A197,'成交明细'!$D$5:$D$804,IF(F197="空","卖","买"))/U197,"")</f>
        <v/>
      </c>
      <c r="W197" s="35" t="str">
        <f>IF(A197="","",SUMIFS('成交明细'!$F$5:$F$804,'成交明细'!$A$5:$A$804,A197,'成交明细'!$D$5:$D$804,IF(F197="空","买","卖")))</f>
        <v/>
      </c>
      <c r="X197" s="39" t="str">
        <f>IF(N(W197)&gt;0,SUMIFS('成交明细'!$H$5:$H$804,'成交明细'!$A$5:$A$804,A197,'成交明细'!$D$5:$D$804,IF(F197="空","买","卖"))/W197,"")</f>
        <v/>
      </c>
      <c r="Y197" s="40" t="str">
        <f>IF(A197="","",IF(Q197&lt;&gt;"已执行",IF(Q197="","未填执行情况",Q197),IF(N(U197)=0,"待录成交",IF(N(W197)&gt;N(U197),"平仓多于开仓",IF(N(W197)&lt;N(U197),"持仓中","已平仓")))))</f>
        <v/>
      </c>
      <c r="Z197" s="41" t="str">
        <f>IF(N(U197)=0,"",SUMIFS('成交明细'!$L$5:$L$804,'成交明细'!$A$5:$A$804,A197))</f>
        <v/>
      </c>
      <c r="AA197" s="42" t="str">
        <f>IF(Y197&lt;&gt;"已平仓","",(SUMIFS('成交明细'!$H$5:$H$804,'成交明细'!$A$5:$A$804,A197,'成交明细'!$D$5:$D$804,"卖")-SUMIFS('成交明细'!$H$5:$H$804,'成交明细'!$A$5:$A$804,A197,'成交明细'!$D$5:$D$804,"买"))*IF(N(G197)&gt;0,G197,1)-Z197)</f>
        <v/>
      </c>
      <c r="AB197" s="43" t="str">
        <f>IF(AND(Y197="已平仓",ISNUMBER(O197)),(SUMIFS('成交明细'!$H$5:$H$804,'成交明细'!$A$5:$A$804,A197,'成交明细'!$D$5:$D$804,"卖")-SUMIFS('成交明细'!$H$5:$H$804,'成交明细'!$A$5:$A$804,A197,'成交明细'!$D$5:$D$804,"买"))*IF(N(G197)&gt;0,G197,1)/O197,"")</f>
        <v/>
      </c>
      <c r="AC197" s="43" t="str">
        <f>IF(AND(Y197="已平仓",ISNUMBER(O197)),AA197/O197,"")</f>
        <v/>
      </c>
      <c r="AD197" s="44" t="str">
        <f>IF(AND(ISNUMBER(V197),ISNUMBER(I197)),IF(F197="空",I197-V197,V197-I197),"")</f>
        <v/>
      </c>
      <c r="AE197" s="44" t="str">
        <f>IF(OR(NOT(ISNUMBER(AA197)),NOT(ISNUMBER(X197))),"",IF(AA197&lt;0,IF(F197="空",X197-J197,J197-X197),IF(NOT(ISNUMBER(K197)),"",IF(F197="空",X197-K197,K197-X197))))</f>
        <v/>
      </c>
      <c r="AF197" s="32" t="n"/>
      <c r="AG197" s="32" t="n"/>
      <c r="AH197" s="31" t="n"/>
      <c r="AI197" s="43" t="str">
        <f>IF(A197="","",SUM(AC$5:AC197))</f>
        <v/>
      </c>
      <c r="AJ197" s="45" t="str">
        <f>IF(A197="","",MAX(0,MAX(AI$5:AI197))-AI197)</f>
        <v/>
      </c>
    </row>
    <row r="198">
      <c r="A198" s="29" t="n"/>
      <c r="B198" s="30" t="n"/>
      <c r="C198" s="31" t="n"/>
      <c r="D198" s="32" t="n"/>
      <c r="E198" s="32" t="n"/>
      <c r="F198" s="32" t="n"/>
      <c r="G198" s="32" t="n"/>
      <c r="H198" s="32" t="n"/>
      <c r="I198" s="33" t="n"/>
      <c r="J198" s="33" t="n"/>
      <c r="K198" s="33" t="n"/>
      <c r="L198" s="34" t="str">
        <f>IF(AND(ISNUMBER(I198),ISNUMBER(J198),ISNUMBER(K198)),IF(OR(AND(F198="多",I198&gt;J198),AND(F198="空",I198&lt;J198)),ABS(K198-I198)/ABS(I198-J198),"止损方向不对"),"")</f>
        <v/>
      </c>
      <c r="M198" s="35" t="str">
        <f>IF(AND(ISNUMBER(I198),ISNUMBER(J198)),IF(I198=J198,"",IF(INT(ROUND('参数'!$C$7/(ABS(I198-J198)*IF(N(G198)&gt;0,G198,1)+2*(I198*IF(N(G198)&gt;0,G198,1)*'参数'!$C$12+'参数'!$C$13+'参数'!$C$14*IF(N(G198)&gt;0,G198,1)))/IF(N(H198)&gt;0,H198,1),6))*IF(N(H198)&gt;0,H198,1)&gt;0,INT(ROUND('参数'!$C$7/(ABS(I198-J198)*IF(N(G198)&gt;0,G198,1)+2*(I198*IF(N(G198)&gt;0,G198,1)*'参数'!$C$12+'参数'!$C$13+'参数'!$C$14*IF(N(G198)&gt;0,G198,1)))/IF(N(H198)&gt;0,H198,1),6))*IF(N(H198)&gt;0,H198,1),"预算不足，这笔不做")),"")</f>
        <v/>
      </c>
      <c r="N198" s="36" t="n"/>
      <c r="O198" s="20" t="str">
        <f>IF(AND(ISNUMBER(I198),ISNUMBER(J198),ISNUMBER(N198)),IF(AND(I198&lt;&gt;J198,N198&gt;0),ABS(I198-J198)*N198*IF(N(G198)&gt;0,G198,1),""),"")</f>
        <v/>
      </c>
      <c r="P198" s="31" t="n"/>
      <c r="Q198" s="32" t="n"/>
      <c r="R198" s="37" t="str">
        <f>IF(N(U198)&gt;0,SUMPRODUCT(LARGE(('成交明细'!$A$5:$A$804=A198)*('成交明细'!$D$5:$D$804=IF(F198="空","卖","买"))*'成交明细'!$B$5:$B$804,COUNTIFS('成交明细'!$A$5:$A$804,A198,'成交明细'!$D$5:$D$804,IF(F198="空","卖","买")))),"")</f>
        <v/>
      </c>
      <c r="S198" s="37" t="str">
        <f>IF(AND(N(U198)&gt;0,N(W198)&gt;=N(U198)),SUMPRODUCT(MAX(('成交明细'!$A$5:$A$804=A198)*('成交明细'!$D$5:$D$804=IF(F198="空","买","卖"))*'成交明细'!$B$5:$B$804)),"")</f>
        <v/>
      </c>
      <c r="T198" s="38" t="str">
        <f>IF(N(U198)=0,"",IF(SUMPRODUCT(('成交明细'!$A$5:$A$804=A198)*('成交明细'!$D$5:$D$804=IF(F198="空","卖","买"))*ISNUMBER('成交明细'!$C$5:$C$804))=0,"没填时间",IFERROR(VLOOKUP(MOD(SUMPRODUCT(LARGE(('成交明细'!$A$5:$A$804=A198)*('成交明细'!$D$5:$D$804=IF(F198="空","卖","买"))*('成交明细'!$B$5:$B$804+'成交明细'!$C$5:$C$804),COUNTIFS('成交明细'!$A$5:$A$804,A198,'成交明细'!$D$5:$D$804,IF(F198="空","卖","买")))),1),'参数'!$B$39:$C$48,2,TRUE),"")))</f>
        <v/>
      </c>
      <c r="U198" s="35" t="str">
        <f>IF(A198="","",SUMIFS('成交明细'!$F$5:$F$804,'成交明细'!$A$5:$A$804,A198,'成交明细'!$D$5:$D$804,IF(F198="空","卖","买")))</f>
        <v/>
      </c>
      <c r="V198" s="39" t="str">
        <f>IF(N(U198)&gt;0,SUMIFS('成交明细'!$H$5:$H$804,'成交明细'!$A$5:$A$804,A198,'成交明细'!$D$5:$D$804,IF(F198="空","卖","买"))/U198,"")</f>
        <v/>
      </c>
      <c r="W198" s="35" t="str">
        <f>IF(A198="","",SUMIFS('成交明细'!$F$5:$F$804,'成交明细'!$A$5:$A$804,A198,'成交明细'!$D$5:$D$804,IF(F198="空","买","卖")))</f>
        <v/>
      </c>
      <c r="X198" s="39" t="str">
        <f>IF(N(W198)&gt;0,SUMIFS('成交明细'!$H$5:$H$804,'成交明细'!$A$5:$A$804,A198,'成交明细'!$D$5:$D$804,IF(F198="空","买","卖"))/W198,"")</f>
        <v/>
      </c>
      <c r="Y198" s="40" t="str">
        <f>IF(A198="","",IF(Q198&lt;&gt;"已执行",IF(Q198="","未填执行情况",Q198),IF(N(U198)=0,"待录成交",IF(N(W198)&gt;N(U198),"平仓多于开仓",IF(N(W198)&lt;N(U198),"持仓中","已平仓")))))</f>
        <v/>
      </c>
      <c r="Z198" s="41" t="str">
        <f>IF(N(U198)=0,"",SUMIFS('成交明细'!$L$5:$L$804,'成交明细'!$A$5:$A$804,A198))</f>
        <v/>
      </c>
      <c r="AA198" s="42" t="str">
        <f>IF(Y198&lt;&gt;"已平仓","",(SUMIFS('成交明细'!$H$5:$H$804,'成交明细'!$A$5:$A$804,A198,'成交明细'!$D$5:$D$804,"卖")-SUMIFS('成交明细'!$H$5:$H$804,'成交明细'!$A$5:$A$804,A198,'成交明细'!$D$5:$D$804,"买"))*IF(N(G198)&gt;0,G198,1)-Z198)</f>
        <v/>
      </c>
      <c r="AB198" s="43" t="str">
        <f>IF(AND(Y198="已平仓",ISNUMBER(O198)),(SUMIFS('成交明细'!$H$5:$H$804,'成交明细'!$A$5:$A$804,A198,'成交明细'!$D$5:$D$804,"卖")-SUMIFS('成交明细'!$H$5:$H$804,'成交明细'!$A$5:$A$804,A198,'成交明细'!$D$5:$D$804,"买"))*IF(N(G198)&gt;0,G198,1)/O198,"")</f>
        <v/>
      </c>
      <c r="AC198" s="43" t="str">
        <f>IF(AND(Y198="已平仓",ISNUMBER(O198)),AA198/O198,"")</f>
        <v/>
      </c>
      <c r="AD198" s="44" t="str">
        <f>IF(AND(ISNUMBER(V198),ISNUMBER(I198)),IF(F198="空",I198-V198,V198-I198),"")</f>
        <v/>
      </c>
      <c r="AE198" s="44" t="str">
        <f>IF(OR(NOT(ISNUMBER(AA198)),NOT(ISNUMBER(X198))),"",IF(AA198&lt;0,IF(F198="空",X198-J198,J198-X198),IF(NOT(ISNUMBER(K198)),"",IF(F198="空",X198-K198,K198-X198))))</f>
        <v/>
      </c>
      <c r="AF198" s="32" t="n"/>
      <c r="AG198" s="32" t="n"/>
      <c r="AH198" s="31" t="n"/>
      <c r="AI198" s="43" t="str">
        <f>IF(A198="","",SUM(AC$5:AC198))</f>
        <v/>
      </c>
      <c r="AJ198" s="45" t="str">
        <f>IF(A198="","",MAX(0,MAX(AI$5:AI198))-AI198)</f>
        <v/>
      </c>
    </row>
    <row r="199">
      <c r="A199" s="29" t="n"/>
      <c r="B199" s="30" t="n"/>
      <c r="C199" s="31" t="n"/>
      <c r="D199" s="32" t="n"/>
      <c r="E199" s="32" t="n"/>
      <c r="F199" s="32" t="n"/>
      <c r="G199" s="32" t="n"/>
      <c r="H199" s="32" t="n"/>
      <c r="I199" s="33" t="n"/>
      <c r="J199" s="33" t="n"/>
      <c r="K199" s="33" t="n"/>
      <c r="L199" s="34" t="str">
        <f>IF(AND(ISNUMBER(I199),ISNUMBER(J199),ISNUMBER(K199)),IF(OR(AND(F199="多",I199&gt;J199),AND(F199="空",I199&lt;J199)),ABS(K199-I199)/ABS(I199-J199),"止损方向不对"),"")</f>
        <v/>
      </c>
      <c r="M199" s="35" t="str">
        <f>IF(AND(ISNUMBER(I199),ISNUMBER(J199)),IF(I199=J199,"",IF(INT(ROUND('参数'!$C$7/(ABS(I199-J199)*IF(N(G199)&gt;0,G199,1)+2*(I199*IF(N(G199)&gt;0,G199,1)*'参数'!$C$12+'参数'!$C$13+'参数'!$C$14*IF(N(G199)&gt;0,G199,1)))/IF(N(H199)&gt;0,H199,1),6))*IF(N(H199)&gt;0,H199,1)&gt;0,INT(ROUND('参数'!$C$7/(ABS(I199-J199)*IF(N(G199)&gt;0,G199,1)+2*(I199*IF(N(G199)&gt;0,G199,1)*'参数'!$C$12+'参数'!$C$13+'参数'!$C$14*IF(N(G199)&gt;0,G199,1)))/IF(N(H199)&gt;0,H199,1),6))*IF(N(H199)&gt;0,H199,1),"预算不足，这笔不做")),"")</f>
        <v/>
      </c>
      <c r="N199" s="36" t="n"/>
      <c r="O199" s="20" t="str">
        <f>IF(AND(ISNUMBER(I199),ISNUMBER(J199),ISNUMBER(N199)),IF(AND(I199&lt;&gt;J199,N199&gt;0),ABS(I199-J199)*N199*IF(N(G199)&gt;0,G199,1),""),"")</f>
        <v/>
      </c>
      <c r="P199" s="31" t="n"/>
      <c r="Q199" s="32" t="n"/>
      <c r="R199" s="37" t="str">
        <f>IF(N(U199)&gt;0,SUMPRODUCT(LARGE(('成交明细'!$A$5:$A$804=A199)*('成交明细'!$D$5:$D$804=IF(F199="空","卖","买"))*'成交明细'!$B$5:$B$804,COUNTIFS('成交明细'!$A$5:$A$804,A199,'成交明细'!$D$5:$D$804,IF(F199="空","卖","买")))),"")</f>
        <v/>
      </c>
      <c r="S199" s="37" t="str">
        <f>IF(AND(N(U199)&gt;0,N(W199)&gt;=N(U199)),SUMPRODUCT(MAX(('成交明细'!$A$5:$A$804=A199)*('成交明细'!$D$5:$D$804=IF(F199="空","买","卖"))*'成交明细'!$B$5:$B$804)),"")</f>
        <v/>
      </c>
      <c r="T199" s="38" t="str">
        <f>IF(N(U199)=0,"",IF(SUMPRODUCT(('成交明细'!$A$5:$A$804=A199)*('成交明细'!$D$5:$D$804=IF(F199="空","卖","买"))*ISNUMBER('成交明细'!$C$5:$C$804))=0,"没填时间",IFERROR(VLOOKUP(MOD(SUMPRODUCT(LARGE(('成交明细'!$A$5:$A$804=A199)*('成交明细'!$D$5:$D$804=IF(F199="空","卖","买"))*('成交明细'!$B$5:$B$804+'成交明细'!$C$5:$C$804),COUNTIFS('成交明细'!$A$5:$A$804,A199,'成交明细'!$D$5:$D$804,IF(F199="空","卖","买")))),1),'参数'!$B$39:$C$48,2,TRUE),"")))</f>
        <v/>
      </c>
      <c r="U199" s="35" t="str">
        <f>IF(A199="","",SUMIFS('成交明细'!$F$5:$F$804,'成交明细'!$A$5:$A$804,A199,'成交明细'!$D$5:$D$804,IF(F199="空","卖","买")))</f>
        <v/>
      </c>
      <c r="V199" s="39" t="str">
        <f>IF(N(U199)&gt;0,SUMIFS('成交明细'!$H$5:$H$804,'成交明细'!$A$5:$A$804,A199,'成交明细'!$D$5:$D$804,IF(F199="空","卖","买"))/U199,"")</f>
        <v/>
      </c>
      <c r="W199" s="35" t="str">
        <f>IF(A199="","",SUMIFS('成交明细'!$F$5:$F$804,'成交明细'!$A$5:$A$804,A199,'成交明细'!$D$5:$D$804,IF(F199="空","买","卖")))</f>
        <v/>
      </c>
      <c r="X199" s="39" t="str">
        <f>IF(N(W199)&gt;0,SUMIFS('成交明细'!$H$5:$H$804,'成交明细'!$A$5:$A$804,A199,'成交明细'!$D$5:$D$804,IF(F199="空","买","卖"))/W199,"")</f>
        <v/>
      </c>
      <c r="Y199" s="40" t="str">
        <f>IF(A199="","",IF(Q199&lt;&gt;"已执行",IF(Q199="","未填执行情况",Q199),IF(N(U199)=0,"待录成交",IF(N(W199)&gt;N(U199),"平仓多于开仓",IF(N(W199)&lt;N(U199),"持仓中","已平仓")))))</f>
        <v/>
      </c>
      <c r="Z199" s="41" t="str">
        <f>IF(N(U199)=0,"",SUMIFS('成交明细'!$L$5:$L$804,'成交明细'!$A$5:$A$804,A199))</f>
        <v/>
      </c>
      <c r="AA199" s="42" t="str">
        <f>IF(Y199&lt;&gt;"已平仓","",(SUMIFS('成交明细'!$H$5:$H$804,'成交明细'!$A$5:$A$804,A199,'成交明细'!$D$5:$D$804,"卖")-SUMIFS('成交明细'!$H$5:$H$804,'成交明细'!$A$5:$A$804,A199,'成交明细'!$D$5:$D$804,"买"))*IF(N(G199)&gt;0,G199,1)-Z199)</f>
        <v/>
      </c>
      <c r="AB199" s="43" t="str">
        <f>IF(AND(Y199="已平仓",ISNUMBER(O199)),(SUMIFS('成交明细'!$H$5:$H$804,'成交明细'!$A$5:$A$804,A199,'成交明细'!$D$5:$D$804,"卖")-SUMIFS('成交明细'!$H$5:$H$804,'成交明细'!$A$5:$A$804,A199,'成交明细'!$D$5:$D$804,"买"))*IF(N(G199)&gt;0,G199,1)/O199,"")</f>
        <v/>
      </c>
      <c r="AC199" s="43" t="str">
        <f>IF(AND(Y199="已平仓",ISNUMBER(O199)),AA199/O199,"")</f>
        <v/>
      </c>
      <c r="AD199" s="44" t="str">
        <f>IF(AND(ISNUMBER(V199),ISNUMBER(I199)),IF(F199="空",I199-V199,V199-I199),"")</f>
        <v/>
      </c>
      <c r="AE199" s="44" t="str">
        <f>IF(OR(NOT(ISNUMBER(AA199)),NOT(ISNUMBER(X199))),"",IF(AA199&lt;0,IF(F199="空",X199-J199,J199-X199),IF(NOT(ISNUMBER(K199)),"",IF(F199="空",X199-K199,K199-X199))))</f>
        <v/>
      </c>
      <c r="AF199" s="32" t="n"/>
      <c r="AG199" s="32" t="n"/>
      <c r="AH199" s="31" t="n"/>
      <c r="AI199" s="43" t="str">
        <f>IF(A199="","",SUM(AC$5:AC199))</f>
        <v/>
      </c>
      <c r="AJ199" s="45" t="str">
        <f>IF(A199="","",MAX(0,MAX(AI$5:AI199))-AI199)</f>
        <v/>
      </c>
    </row>
    <row r="200">
      <c r="A200" s="29" t="n"/>
      <c r="B200" s="30" t="n"/>
      <c r="C200" s="31" t="n"/>
      <c r="D200" s="32" t="n"/>
      <c r="E200" s="32" t="n"/>
      <c r="F200" s="32" t="n"/>
      <c r="G200" s="32" t="n"/>
      <c r="H200" s="32" t="n"/>
      <c r="I200" s="33" t="n"/>
      <c r="J200" s="33" t="n"/>
      <c r="K200" s="33" t="n"/>
      <c r="L200" s="34" t="str">
        <f>IF(AND(ISNUMBER(I200),ISNUMBER(J200),ISNUMBER(K200)),IF(OR(AND(F200="多",I200&gt;J200),AND(F200="空",I200&lt;J200)),ABS(K200-I200)/ABS(I200-J200),"止损方向不对"),"")</f>
        <v/>
      </c>
      <c r="M200" s="35" t="str">
        <f>IF(AND(ISNUMBER(I200),ISNUMBER(J200)),IF(I200=J200,"",IF(INT(ROUND('参数'!$C$7/(ABS(I200-J200)*IF(N(G200)&gt;0,G200,1)+2*(I200*IF(N(G200)&gt;0,G200,1)*'参数'!$C$12+'参数'!$C$13+'参数'!$C$14*IF(N(G200)&gt;0,G200,1)))/IF(N(H200)&gt;0,H200,1),6))*IF(N(H200)&gt;0,H200,1)&gt;0,INT(ROUND('参数'!$C$7/(ABS(I200-J200)*IF(N(G200)&gt;0,G200,1)+2*(I200*IF(N(G200)&gt;0,G200,1)*'参数'!$C$12+'参数'!$C$13+'参数'!$C$14*IF(N(G200)&gt;0,G200,1)))/IF(N(H200)&gt;0,H200,1),6))*IF(N(H200)&gt;0,H200,1),"预算不足，这笔不做")),"")</f>
        <v/>
      </c>
      <c r="N200" s="36" t="n"/>
      <c r="O200" s="20" t="str">
        <f>IF(AND(ISNUMBER(I200),ISNUMBER(J200),ISNUMBER(N200)),IF(AND(I200&lt;&gt;J200,N200&gt;0),ABS(I200-J200)*N200*IF(N(G200)&gt;0,G200,1),""),"")</f>
        <v/>
      </c>
      <c r="P200" s="31" t="n"/>
      <c r="Q200" s="32" t="n"/>
      <c r="R200" s="37" t="str">
        <f>IF(N(U200)&gt;0,SUMPRODUCT(LARGE(('成交明细'!$A$5:$A$804=A200)*('成交明细'!$D$5:$D$804=IF(F200="空","卖","买"))*'成交明细'!$B$5:$B$804,COUNTIFS('成交明细'!$A$5:$A$804,A200,'成交明细'!$D$5:$D$804,IF(F200="空","卖","买")))),"")</f>
        <v/>
      </c>
      <c r="S200" s="37" t="str">
        <f>IF(AND(N(U200)&gt;0,N(W200)&gt;=N(U200)),SUMPRODUCT(MAX(('成交明细'!$A$5:$A$804=A200)*('成交明细'!$D$5:$D$804=IF(F200="空","买","卖"))*'成交明细'!$B$5:$B$804)),"")</f>
        <v/>
      </c>
      <c r="T200" s="38" t="str">
        <f>IF(N(U200)=0,"",IF(SUMPRODUCT(('成交明细'!$A$5:$A$804=A200)*('成交明细'!$D$5:$D$804=IF(F200="空","卖","买"))*ISNUMBER('成交明细'!$C$5:$C$804))=0,"没填时间",IFERROR(VLOOKUP(MOD(SUMPRODUCT(LARGE(('成交明细'!$A$5:$A$804=A200)*('成交明细'!$D$5:$D$804=IF(F200="空","卖","买"))*('成交明细'!$B$5:$B$804+'成交明细'!$C$5:$C$804),COUNTIFS('成交明细'!$A$5:$A$804,A200,'成交明细'!$D$5:$D$804,IF(F200="空","卖","买")))),1),'参数'!$B$39:$C$48,2,TRUE),"")))</f>
        <v/>
      </c>
      <c r="U200" s="35" t="str">
        <f>IF(A200="","",SUMIFS('成交明细'!$F$5:$F$804,'成交明细'!$A$5:$A$804,A200,'成交明细'!$D$5:$D$804,IF(F200="空","卖","买")))</f>
        <v/>
      </c>
      <c r="V200" s="39" t="str">
        <f>IF(N(U200)&gt;0,SUMIFS('成交明细'!$H$5:$H$804,'成交明细'!$A$5:$A$804,A200,'成交明细'!$D$5:$D$804,IF(F200="空","卖","买"))/U200,"")</f>
        <v/>
      </c>
      <c r="W200" s="35" t="str">
        <f>IF(A200="","",SUMIFS('成交明细'!$F$5:$F$804,'成交明细'!$A$5:$A$804,A200,'成交明细'!$D$5:$D$804,IF(F200="空","买","卖")))</f>
        <v/>
      </c>
      <c r="X200" s="39" t="str">
        <f>IF(N(W200)&gt;0,SUMIFS('成交明细'!$H$5:$H$804,'成交明细'!$A$5:$A$804,A200,'成交明细'!$D$5:$D$804,IF(F200="空","买","卖"))/W200,"")</f>
        <v/>
      </c>
      <c r="Y200" s="40" t="str">
        <f>IF(A200="","",IF(Q200&lt;&gt;"已执行",IF(Q200="","未填执行情况",Q200),IF(N(U200)=0,"待录成交",IF(N(W200)&gt;N(U200),"平仓多于开仓",IF(N(W200)&lt;N(U200),"持仓中","已平仓")))))</f>
        <v/>
      </c>
      <c r="Z200" s="41" t="str">
        <f>IF(N(U200)=0,"",SUMIFS('成交明细'!$L$5:$L$804,'成交明细'!$A$5:$A$804,A200))</f>
        <v/>
      </c>
      <c r="AA200" s="42" t="str">
        <f>IF(Y200&lt;&gt;"已平仓","",(SUMIFS('成交明细'!$H$5:$H$804,'成交明细'!$A$5:$A$804,A200,'成交明细'!$D$5:$D$804,"卖")-SUMIFS('成交明细'!$H$5:$H$804,'成交明细'!$A$5:$A$804,A200,'成交明细'!$D$5:$D$804,"买"))*IF(N(G200)&gt;0,G200,1)-Z200)</f>
        <v/>
      </c>
      <c r="AB200" s="43" t="str">
        <f>IF(AND(Y200="已平仓",ISNUMBER(O200)),(SUMIFS('成交明细'!$H$5:$H$804,'成交明细'!$A$5:$A$804,A200,'成交明细'!$D$5:$D$804,"卖")-SUMIFS('成交明细'!$H$5:$H$804,'成交明细'!$A$5:$A$804,A200,'成交明细'!$D$5:$D$804,"买"))*IF(N(G200)&gt;0,G200,1)/O200,"")</f>
        <v/>
      </c>
      <c r="AC200" s="43" t="str">
        <f>IF(AND(Y200="已平仓",ISNUMBER(O200)),AA200/O200,"")</f>
        <v/>
      </c>
      <c r="AD200" s="44" t="str">
        <f>IF(AND(ISNUMBER(V200),ISNUMBER(I200)),IF(F200="空",I200-V200,V200-I200),"")</f>
        <v/>
      </c>
      <c r="AE200" s="44" t="str">
        <f>IF(OR(NOT(ISNUMBER(AA200)),NOT(ISNUMBER(X200))),"",IF(AA200&lt;0,IF(F200="空",X200-J200,J200-X200),IF(NOT(ISNUMBER(K200)),"",IF(F200="空",X200-K200,K200-X200))))</f>
        <v/>
      </c>
      <c r="AF200" s="32" t="n"/>
      <c r="AG200" s="32" t="n"/>
      <c r="AH200" s="31" t="n"/>
      <c r="AI200" s="43" t="str">
        <f>IF(A200="","",SUM(AC$5:AC200))</f>
        <v/>
      </c>
      <c r="AJ200" s="45" t="str">
        <f>IF(A200="","",MAX(0,MAX(AI$5:AI200))-AI200)</f>
        <v/>
      </c>
    </row>
    <row r="201">
      <c r="A201" s="29" t="n"/>
      <c r="B201" s="30" t="n"/>
      <c r="C201" s="31" t="n"/>
      <c r="D201" s="32" t="n"/>
      <c r="E201" s="32" t="n"/>
      <c r="F201" s="32" t="n"/>
      <c r="G201" s="32" t="n"/>
      <c r="H201" s="32" t="n"/>
      <c r="I201" s="33" t="n"/>
      <c r="J201" s="33" t="n"/>
      <c r="K201" s="33" t="n"/>
      <c r="L201" s="34" t="str">
        <f>IF(AND(ISNUMBER(I201),ISNUMBER(J201),ISNUMBER(K201)),IF(OR(AND(F201="多",I201&gt;J201),AND(F201="空",I201&lt;J201)),ABS(K201-I201)/ABS(I201-J201),"止损方向不对"),"")</f>
        <v/>
      </c>
      <c r="M201" s="35" t="str">
        <f>IF(AND(ISNUMBER(I201),ISNUMBER(J201)),IF(I201=J201,"",IF(INT(ROUND('参数'!$C$7/(ABS(I201-J201)*IF(N(G201)&gt;0,G201,1)+2*(I201*IF(N(G201)&gt;0,G201,1)*'参数'!$C$12+'参数'!$C$13+'参数'!$C$14*IF(N(G201)&gt;0,G201,1)))/IF(N(H201)&gt;0,H201,1),6))*IF(N(H201)&gt;0,H201,1)&gt;0,INT(ROUND('参数'!$C$7/(ABS(I201-J201)*IF(N(G201)&gt;0,G201,1)+2*(I201*IF(N(G201)&gt;0,G201,1)*'参数'!$C$12+'参数'!$C$13+'参数'!$C$14*IF(N(G201)&gt;0,G201,1)))/IF(N(H201)&gt;0,H201,1),6))*IF(N(H201)&gt;0,H201,1),"预算不足，这笔不做")),"")</f>
        <v/>
      </c>
      <c r="N201" s="36" t="n"/>
      <c r="O201" s="20" t="str">
        <f>IF(AND(ISNUMBER(I201),ISNUMBER(J201),ISNUMBER(N201)),IF(AND(I201&lt;&gt;J201,N201&gt;0),ABS(I201-J201)*N201*IF(N(G201)&gt;0,G201,1),""),"")</f>
        <v/>
      </c>
      <c r="P201" s="31" t="n"/>
      <c r="Q201" s="32" t="n"/>
      <c r="R201" s="37" t="str">
        <f>IF(N(U201)&gt;0,SUMPRODUCT(LARGE(('成交明细'!$A$5:$A$804=A201)*('成交明细'!$D$5:$D$804=IF(F201="空","卖","买"))*'成交明细'!$B$5:$B$804,COUNTIFS('成交明细'!$A$5:$A$804,A201,'成交明细'!$D$5:$D$804,IF(F201="空","卖","买")))),"")</f>
        <v/>
      </c>
      <c r="S201" s="37" t="str">
        <f>IF(AND(N(U201)&gt;0,N(W201)&gt;=N(U201)),SUMPRODUCT(MAX(('成交明细'!$A$5:$A$804=A201)*('成交明细'!$D$5:$D$804=IF(F201="空","买","卖"))*'成交明细'!$B$5:$B$804)),"")</f>
        <v/>
      </c>
      <c r="T201" s="38" t="str">
        <f>IF(N(U201)=0,"",IF(SUMPRODUCT(('成交明细'!$A$5:$A$804=A201)*('成交明细'!$D$5:$D$804=IF(F201="空","卖","买"))*ISNUMBER('成交明细'!$C$5:$C$804))=0,"没填时间",IFERROR(VLOOKUP(MOD(SUMPRODUCT(LARGE(('成交明细'!$A$5:$A$804=A201)*('成交明细'!$D$5:$D$804=IF(F201="空","卖","买"))*('成交明细'!$B$5:$B$804+'成交明细'!$C$5:$C$804),COUNTIFS('成交明细'!$A$5:$A$804,A201,'成交明细'!$D$5:$D$804,IF(F201="空","卖","买")))),1),'参数'!$B$39:$C$48,2,TRUE),"")))</f>
        <v/>
      </c>
      <c r="U201" s="35" t="str">
        <f>IF(A201="","",SUMIFS('成交明细'!$F$5:$F$804,'成交明细'!$A$5:$A$804,A201,'成交明细'!$D$5:$D$804,IF(F201="空","卖","买")))</f>
        <v/>
      </c>
      <c r="V201" s="39" t="str">
        <f>IF(N(U201)&gt;0,SUMIFS('成交明细'!$H$5:$H$804,'成交明细'!$A$5:$A$804,A201,'成交明细'!$D$5:$D$804,IF(F201="空","卖","买"))/U201,"")</f>
        <v/>
      </c>
      <c r="W201" s="35" t="str">
        <f>IF(A201="","",SUMIFS('成交明细'!$F$5:$F$804,'成交明细'!$A$5:$A$804,A201,'成交明细'!$D$5:$D$804,IF(F201="空","买","卖")))</f>
        <v/>
      </c>
      <c r="X201" s="39" t="str">
        <f>IF(N(W201)&gt;0,SUMIFS('成交明细'!$H$5:$H$804,'成交明细'!$A$5:$A$804,A201,'成交明细'!$D$5:$D$804,IF(F201="空","买","卖"))/W201,"")</f>
        <v/>
      </c>
      <c r="Y201" s="40" t="str">
        <f>IF(A201="","",IF(Q201&lt;&gt;"已执行",IF(Q201="","未填执行情况",Q201),IF(N(U201)=0,"待录成交",IF(N(W201)&gt;N(U201),"平仓多于开仓",IF(N(W201)&lt;N(U201),"持仓中","已平仓")))))</f>
        <v/>
      </c>
      <c r="Z201" s="41" t="str">
        <f>IF(N(U201)=0,"",SUMIFS('成交明细'!$L$5:$L$804,'成交明细'!$A$5:$A$804,A201))</f>
        <v/>
      </c>
      <c r="AA201" s="42" t="str">
        <f>IF(Y201&lt;&gt;"已平仓","",(SUMIFS('成交明细'!$H$5:$H$804,'成交明细'!$A$5:$A$804,A201,'成交明细'!$D$5:$D$804,"卖")-SUMIFS('成交明细'!$H$5:$H$804,'成交明细'!$A$5:$A$804,A201,'成交明细'!$D$5:$D$804,"买"))*IF(N(G201)&gt;0,G201,1)-Z201)</f>
        <v/>
      </c>
      <c r="AB201" s="43" t="str">
        <f>IF(AND(Y201="已平仓",ISNUMBER(O201)),(SUMIFS('成交明细'!$H$5:$H$804,'成交明细'!$A$5:$A$804,A201,'成交明细'!$D$5:$D$804,"卖")-SUMIFS('成交明细'!$H$5:$H$804,'成交明细'!$A$5:$A$804,A201,'成交明细'!$D$5:$D$804,"买"))*IF(N(G201)&gt;0,G201,1)/O201,"")</f>
        <v/>
      </c>
      <c r="AC201" s="43" t="str">
        <f>IF(AND(Y201="已平仓",ISNUMBER(O201)),AA201/O201,"")</f>
        <v/>
      </c>
      <c r="AD201" s="44" t="str">
        <f>IF(AND(ISNUMBER(V201),ISNUMBER(I201)),IF(F201="空",I201-V201,V201-I201),"")</f>
        <v/>
      </c>
      <c r="AE201" s="44" t="str">
        <f>IF(OR(NOT(ISNUMBER(AA201)),NOT(ISNUMBER(X201))),"",IF(AA201&lt;0,IF(F201="空",X201-J201,J201-X201),IF(NOT(ISNUMBER(K201)),"",IF(F201="空",X201-K201,K201-X201))))</f>
        <v/>
      </c>
      <c r="AF201" s="32" t="n"/>
      <c r="AG201" s="32" t="n"/>
      <c r="AH201" s="31" t="n"/>
      <c r="AI201" s="43" t="str">
        <f>IF(A201="","",SUM(AC$5:AC201))</f>
        <v/>
      </c>
      <c r="AJ201" s="45" t="str">
        <f>IF(A201="","",MAX(0,MAX(AI$5:AI201))-AI201)</f>
        <v/>
      </c>
    </row>
    <row r="202">
      <c r="A202" s="29" t="n"/>
      <c r="B202" s="30" t="n"/>
      <c r="C202" s="31" t="n"/>
      <c r="D202" s="32" t="n"/>
      <c r="E202" s="32" t="n"/>
      <c r="F202" s="32" t="n"/>
      <c r="G202" s="32" t="n"/>
      <c r="H202" s="32" t="n"/>
      <c r="I202" s="33" t="n"/>
      <c r="J202" s="33" t="n"/>
      <c r="K202" s="33" t="n"/>
      <c r="L202" s="34" t="str">
        <f>IF(AND(ISNUMBER(I202),ISNUMBER(J202),ISNUMBER(K202)),IF(OR(AND(F202="多",I202&gt;J202),AND(F202="空",I202&lt;J202)),ABS(K202-I202)/ABS(I202-J202),"止损方向不对"),"")</f>
        <v/>
      </c>
      <c r="M202" s="35" t="str">
        <f>IF(AND(ISNUMBER(I202),ISNUMBER(J202)),IF(I202=J202,"",IF(INT(ROUND('参数'!$C$7/(ABS(I202-J202)*IF(N(G202)&gt;0,G202,1)+2*(I202*IF(N(G202)&gt;0,G202,1)*'参数'!$C$12+'参数'!$C$13+'参数'!$C$14*IF(N(G202)&gt;0,G202,1)))/IF(N(H202)&gt;0,H202,1),6))*IF(N(H202)&gt;0,H202,1)&gt;0,INT(ROUND('参数'!$C$7/(ABS(I202-J202)*IF(N(G202)&gt;0,G202,1)+2*(I202*IF(N(G202)&gt;0,G202,1)*'参数'!$C$12+'参数'!$C$13+'参数'!$C$14*IF(N(G202)&gt;0,G202,1)))/IF(N(H202)&gt;0,H202,1),6))*IF(N(H202)&gt;0,H202,1),"预算不足，这笔不做")),"")</f>
        <v/>
      </c>
      <c r="N202" s="36" t="n"/>
      <c r="O202" s="20" t="str">
        <f>IF(AND(ISNUMBER(I202),ISNUMBER(J202),ISNUMBER(N202)),IF(AND(I202&lt;&gt;J202,N202&gt;0),ABS(I202-J202)*N202*IF(N(G202)&gt;0,G202,1),""),"")</f>
        <v/>
      </c>
      <c r="P202" s="31" t="n"/>
      <c r="Q202" s="32" t="n"/>
      <c r="R202" s="37" t="str">
        <f>IF(N(U202)&gt;0,SUMPRODUCT(LARGE(('成交明细'!$A$5:$A$804=A202)*('成交明细'!$D$5:$D$804=IF(F202="空","卖","买"))*'成交明细'!$B$5:$B$804,COUNTIFS('成交明细'!$A$5:$A$804,A202,'成交明细'!$D$5:$D$804,IF(F202="空","卖","买")))),"")</f>
        <v/>
      </c>
      <c r="S202" s="37" t="str">
        <f>IF(AND(N(U202)&gt;0,N(W202)&gt;=N(U202)),SUMPRODUCT(MAX(('成交明细'!$A$5:$A$804=A202)*('成交明细'!$D$5:$D$804=IF(F202="空","买","卖"))*'成交明细'!$B$5:$B$804)),"")</f>
        <v/>
      </c>
      <c r="T202" s="38" t="str">
        <f>IF(N(U202)=0,"",IF(SUMPRODUCT(('成交明细'!$A$5:$A$804=A202)*('成交明细'!$D$5:$D$804=IF(F202="空","卖","买"))*ISNUMBER('成交明细'!$C$5:$C$804))=0,"没填时间",IFERROR(VLOOKUP(MOD(SUMPRODUCT(LARGE(('成交明细'!$A$5:$A$804=A202)*('成交明细'!$D$5:$D$804=IF(F202="空","卖","买"))*('成交明细'!$B$5:$B$804+'成交明细'!$C$5:$C$804),COUNTIFS('成交明细'!$A$5:$A$804,A202,'成交明细'!$D$5:$D$804,IF(F202="空","卖","买")))),1),'参数'!$B$39:$C$48,2,TRUE),"")))</f>
        <v/>
      </c>
      <c r="U202" s="35" t="str">
        <f>IF(A202="","",SUMIFS('成交明细'!$F$5:$F$804,'成交明细'!$A$5:$A$804,A202,'成交明细'!$D$5:$D$804,IF(F202="空","卖","买")))</f>
        <v/>
      </c>
      <c r="V202" s="39" t="str">
        <f>IF(N(U202)&gt;0,SUMIFS('成交明细'!$H$5:$H$804,'成交明细'!$A$5:$A$804,A202,'成交明细'!$D$5:$D$804,IF(F202="空","卖","买"))/U202,"")</f>
        <v/>
      </c>
      <c r="W202" s="35" t="str">
        <f>IF(A202="","",SUMIFS('成交明细'!$F$5:$F$804,'成交明细'!$A$5:$A$804,A202,'成交明细'!$D$5:$D$804,IF(F202="空","买","卖")))</f>
        <v/>
      </c>
      <c r="X202" s="39" t="str">
        <f>IF(N(W202)&gt;0,SUMIFS('成交明细'!$H$5:$H$804,'成交明细'!$A$5:$A$804,A202,'成交明细'!$D$5:$D$804,IF(F202="空","买","卖"))/W202,"")</f>
        <v/>
      </c>
      <c r="Y202" s="40" t="str">
        <f>IF(A202="","",IF(Q202&lt;&gt;"已执行",IF(Q202="","未填执行情况",Q202),IF(N(U202)=0,"待录成交",IF(N(W202)&gt;N(U202),"平仓多于开仓",IF(N(W202)&lt;N(U202),"持仓中","已平仓")))))</f>
        <v/>
      </c>
      <c r="Z202" s="41" t="str">
        <f>IF(N(U202)=0,"",SUMIFS('成交明细'!$L$5:$L$804,'成交明细'!$A$5:$A$804,A202))</f>
        <v/>
      </c>
      <c r="AA202" s="42" t="str">
        <f>IF(Y202&lt;&gt;"已平仓","",(SUMIFS('成交明细'!$H$5:$H$804,'成交明细'!$A$5:$A$804,A202,'成交明细'!$D$5:$D$804,"卖")-SUMIFS('成交明细'!$H$5:$H$804,'成交明细'!$A$5:$A$804,A202,'成交明细'!$D$5:$D$804,"买"))*IF(N(G202)&gt;0,G202,1)-Z202)</f>
        <v/>
      </c>
      <c r="AB202" s="43" t="str">
        <f>IF(AND(Y202="已平仓",ISNUMBER(O202)),(SUMIFS('成交明细'!$H$5:$H$804,'成交明细'!$A$5:$A$804,A202,'成交明细'!$D$5:$D$804,"卖")-SUMIFS('成交明细'!$H$5:$H$804,'成交明细'!$A$5:$A$804,A202,'成交明细'!$D$5:$D$804,"买"))*IF(N(G202)&gt;0,G202,1)/O202,"")</f>
        <v/>
      </c>
      <c r="AC202" s="43" t="str">
        <f>IF(AND(Y202="已平仓",ISNUMBER(O202)),AA202/O202,"")</f>
        <v/>
      </c>
      <c r="AD202" s="44" t="str">
        <f>IF(AND(ISNUMBER(V202),ISNUMBER(I202)),IF(F202="空",I202-V202,V202-I202),"")</f>
        <v/>
      </c>
      <c r="AE202" s="44" t="str">
        <f>IF(OR(NOT(ISNUMBER(AA202)),NOT(ISNUMBER(X202))),"",IF(AA202&lt;0,IF(F202="空",X202-J202,J202-X202),IF(NOT(ISNUMBER(K202)),"",IF(F202="空",X202-K202,K202-X202))))</f>
        <v/>
      </c>
      <c r="AF202" s="32" t="n"/>
      <c r="AG202" s="32" t="n"/>
      <c r="AH202" s="31" t="n"/>
      <c r="AI202" s="43" t="str">
        <f>IF(A202="","",SUM(AC$5:AC202))</f>
        <v/>
      </c>
      <c r="AJ202" s="45" t="str">
        <f>IF(A202="","",MAX(0,MAX(AI$5:AI202))-AI202)</f>
        <v/>
      </c>
    </row>
    <row r="203">
      <c r="A203" s="29" t="n"/>
      <c r="B203" s="30" t="n"/>
      <c r="C203" s="31" t="n"/>
      <c r="D203" s="32" t="n"/>
      <c r="E203" s="32" t="n"/>
      <c r="F203" s="32" t="n"/>
      <c r="G203" s="32" t="n"/>
      <c r="H203" s="32" t="n"/>
      <c r="I203" s="33" t="n"/>
      <c r="J203" s="33" t="n"/>
      <c r="K203" s="33" t="n"/>
      <c r="L203" s="34" t="str">
        <f>IF(AND(ISNUMBER(I203),ISNUMBER(J203),ISNUMBER(K203)),IF(OR(AND(F203="多",I203&gt;J203),AND(F203="空",I203&lt;J203)),ABS(K203-I203)/ABS(I203-J203),"止损方向不对"),"")</f>
        <v/>
      </c>
      <c r="M203" s="35" t="str">
        <f>IF(AND(ISNUMBER(I203),ISNUMBER(J203)),IF(I203=J203,"",IF(INT(ROUND('参数'!$C$7/(ABS(I203-J203)*IF(N(G203)&gt;0,G203,1)+2*(I203*IF(N(G203)&gt;0,G203,1)*'参数'!$C$12+'参数'!$C$13+'参数'!$C$14*IF(N(G203)&gt;0,G203,1)))/IF(N(H203)&gt;0,H203,1),6))*IF(N(H203)&gt;0,H203,1)&gt;0,INT(ROUND('参数'!$C$7/(ABS(I203-J203)*IF(N(G203)&gt;0,G203,1)+2*(I203*IF(N(G203)&gt;0,G203,1)*'参数'!$C$12+'参数'!$C$13+'参数'!$C$14*IF(N(G203)&gt;0,G203,1)))/IF(N(H203)&gt;0,H203,1),6))*IF(N(H203)&gt;0,H203,1),"预算不足，这笔不做")),"")</f>
        <v/>
      </c>
      <c r="N203" s="36" t="n"/>
      <c r="O203" s="20" t="str">
        <f>IF(AND(ISNUMBER(I203),ISNUMBER(J203),ISNUMBER(N203)),IF(AND(I203&lt;&gt;J203,N203&gt;0),ABS(I203-J203)*N203*IF(N(G203)&gt;0,G203,1),""),"")</f>
        <v/>
      </c>
      <c r="P203" s="31" t="n"/>
      <c r="Q203" s="32" t="n"/>
      <c r="R203" s="37" t="str">
        <f>IF(N(U203)&gt;0,SUMPRODUCT(LARGE(('成交明细'!$A$5:$A$804=A203)*('成交明细'!$D$5:$D$804=IF(F203="空","卖","买"))*'成交明细'!$B$5:$B$804,COUNTIFS('成交明细'!$A$5:$A$804,A203,'成交明细'!$D$5:$D$804,IF(F203="空","卖","买")))),"")</f>
        <v/>
      </c>
      <c r="S203" s="37" t="str">
        <f>IF(AND(N(U203)&gt;0,N(W203)&gt;=N(U203)),SUMPRODUCT(MAX(('成交明细'!$A$5:$A$804=A203)*('成交明细'!$D$5:$D$804=IF(F203="空","买","卖"))*'成交明细'!$B$5:$B$804)),"")</f>
        <v/>
      </c>
      <c r="T203" s="38" t="str">
        <f>IF(N(U203)=0,"",IF(SUMPRODUCT(('成交明细'!$A$5:$A$804=A203)*('成交明细'!$D$5:$D$804=IF(F203="空","卖","买"))*ISNUMBER('成交明细'!$C$5:$C$804))=0,"没填时间",IFERROR(VLOOKUP(MOD(SUMPRODUCT(LARGE(('成交明细'!$A$5:$A$804=A203)*('成交明细'!$D$5:$D$804=IF(F203="空","卖","买"))*('成交明细'!$B$5:$B$804+'成交明细'!$C$5:$C$804),COUNTIFS('成交明细'!$A$5:$A$804,A203,'成交明细'!$D$5:$D$804,IF(F203="空","卖","买")))),1),'参数'!$B$39:$C$48,2,TRUE),"")))</f>
        <v/>
      </c>
      <c r="U203" s="35" t="str">
        <f>IF(A203="","",SUMIFS('成交明细'!$F$5:$F$804,'成交明细'!$A$5:$A$804,A203,'成交明细'!$D$5:$D$804,IF(F203="空","卖","买")))</f>
        <v/>
      </c>
      <c r="V203" s="39" t="str">
        <f>IF(N(U203)&gt;0,SUMIFS('成交明细'!$H$5:$H$804,'成交明细'!$A$5:$A$804,A203,'成交明细'!$D$5:$D$804,IF(F203="空","卖","买"))/U203,"")</f>
        <v/>
      </c>
      <c r="W203" s="35" t="str">
        <f>IF(A203="","",SUMIFS('成交明细'!$F$5:$F$804,'成交明细'!$A$5:$A$804,A203,'成交明细'!$D$5:$D$804,IF(F203="空","买","卖")))</f>
        <v/>
      </c>
      <c r="X203" s="39" t="str">
        <f>IF(N(W203)&gt;0,SUMIFS('成交明细'!$H$5:$H$804,'成交明细'!$A$5:$A$804,A203,'成交明细'!$D$5:$D$804,IF(F203="空","买","卖"))/W203,"")</f>
        <v/>
      </c>
      <c r="Y203" s="40" t="str">
        <f>IF(A203="","",IF(Q203&lt;&gt;"已执行",IF(Q203="","未填执行情况",Q203),IF(N(U203)=0,"待录成交",IF(N(W203)&gt;N(U203),"平仓多于开仓",IF(N(W203)&lt;N(U203),"持仓中","已平仓")))))</f>
        <v/>
      </c>
      <c r="Z203" s="41" t="str">
        <f>IF(N(U203)=0,"",SUMIFS('成交明细'!$L$5:$L$804,'成交明细'!$A$5:$A$804,A203))</f>
        <v/>
      </c>
      <c r="AA203" s="42" t="str">
        <f>IF(Y203&lt;&gt;"已平仓","",(SUMIFS('成交明细'!$H$5:$H$804,'成交明细'!$A$5:$A$804,A203,'成交明细'!$D$5:$D$804,"卖")-SUMIFS('成交明细'!$H$5:$H$804,'成交明细'!$A$5:$A$804,A203,'成交明细'!$D$5:$D$804,"买"))*IF(N(G203)&gt;0,G203,1)-Z203)</f>
        <v/>
      </c>
      <c r="AB203" s="43" t="str">
        <f>IF(AND(Y203="已平仓",ISNUMBER(O203)),(SUMIFS('成交明细'!$H$5:$H$804,'成交明细'!$A$5:$A$804,A203,'成交明细'!$D$5:$D$804,"卖")-SUMIFS('成交明细'!$H$5:$H$804,'成交明细'!$A$5:$A$804,A203,'成交明细'!$D$5:$D$804,"买"))*IF(N(G203)&gt;0,G203,1)/O203,"")</f>
        <v/>
      </c>
      <c r="AC203" s="43" t="str">
        <f>IF(AND(Y203="已平仓",ISNUMBER(O203)),AA203/O203,"")</f>
        <v/>
      </c>
      <c r="AD203" s="44" t="str">
        <f>IF(AND(ISNUMBER(V203),ISNUMBER(I203)),IF(F203="空",I203-V203,V203-I203),"")</f>
        <v/>
      </c>
      <c r="AE203" s="44" t="str">
        <f>IF(OR(NOT(ISNUMBER(AA203)),NOT(ISNUMBER(X203))),"",IF(AA203&lt;0,IF(F203="空",X203-J203,J203-X203),IF(NOT(ISNUMBER(K203)),"",IF(F203="空",X203-K203,K203-X203))))</f>
        <v/>
      </c>
      <c r="AF203" s="32" t="n"/>
      <c r="AG203" s="32" t="n"/>
      <c r="AH203" s="31" t="n"/>
      <c r="AI203" s="43" t="str">
        <f>IF(A203="","",SUM(AC$5:AC203))</f>
        <v/>
      </c>
      <c r="AJ203" s="45" t="str">
        <f>IF(A203="","",MAX(0,MAX(AI$5:AI203))-AI203)</f>
        <v/>
      </c>
    </row>
    <row r="204">
      <c r="A204" s="29" t="n"/>
      <c r="B204" s="30" t="n"/>
      <c r="C204" s="31" t="n"/>
      <c r="D204" s="32" t="n"/>
      <c r="E204" s="32" t="n"/>
      <c r="F204" s="32" t="n"/>
      <c r="G204" s="32" t="n"/>
      <c r="H204" s="32" t="n"/>
      <c r="I204" s="33" t="n"/>
      <c r="J204" s="33" t="n"/>
      <c r="K204" s="33" t="n"/>
      <c r="L204" s="34" t="str">
        <f>IF(AND(ISNUMBER(I204),ISNUMBER(J204),ISNUMBER(K204)),IF(OR(AND(F204="多",I204&gt;J204),AND(F204="空",I204&lt;J204)),ABS(K204-I204)/ABS(I204-J204),"止损方向不对"),"")</f>
        <v/>
      </c>
      <c r="M204" s="35" t="str">
        <f>IF(AND(ISNUMBER(I204),ISNUMBER(J204)),IF(I204=J204,"",IF(INT(ROUND('参数'!$C$7/(ABS(I204-J204)*IF(N(G204)&gt;0,G204,1)+2*(I204*IF(N(G204)&gt;0,G204,1)*'参数'!$C$12+'参数'!$C$13+'参数'!$C$14*IF(N(G204)&gt;0,G204,1)))/IF(N(H204)&gt;0,H204,1),6))*IF(N(H204)&gt;0,H204,1)&gt;0,INT(ROUND('参数'!$C$7/(ABS(I204-J204)*IF(N(G204)&gt;0,G204,1)+2*(I204*IF(N(G204)&gt;0,G204,1)*'参数'!$C$12+'参数'!$C$13+'参数'!$C$14*IF(N(G204)&gt;0,G204,1)))/IF(N(H204)&gt;0,H204,1),6))*IF(N(H204)&gt;0,H204,1),"预算不足，这笔不做")),"")</f>
        <v/>
      </c>
      <c r="N204" s="36" t="n"/>
      <c r="O204" s="20" t="str">
        <f>IF(AND(ISNUMBER(I204),ISNUMBER(J204),ISNUMBER(N204)),IF(AND(I204&lt;&gt;J204,N204&gt;0),ABS(I204-J204)*N204*IF(N(G204)&gt;0,G204,1),""),"")</f>
        <v/>
      </c>
      <c r="P204" s="31" t="n"/>
      <c r="Q204" s="32" t="n"/>
      <c r="R204" s="37" t="str">
        <f>IF(N(U204)&gt;0,SUMPRODUCT(LARGE(('成交明细'!$A$5:$A$804=A204)*('成交明细'!$D$5:$D$804=IF(F204="空","卖","买"))*'成交明细'!$B$5:$B$804,COUNTIFS('成交明细'!$A$5:$A$804,A204,'成交明细'!$D$5:$D$804,IF(F204="空","卖","买")))),"")</f>
        <v/>
      </c>
      <c r="S204" s="37" t="str">
        <f>IF(AND(N(U204)&gt;0,N(W204)&gt;=N(U204)),SUMPRODUCT(MAX(('成交明细'!$A$5:$A$804=A204)*('成交明细'!$D$5:$D$804=IF(F204="空","买","卖"))*'成交明细'!$B$5:$B$804)),"")</f>
        <v/>
      </c>
      <c r="T204" s="38" t="str">
        <f>IF(N(U204)=0,"",IF(SUMPRODUCT(('成交明细'!$A$5:$A$804=A204)*('成交明细'!$D$5:$D$804=IF(F204="空","卖","买"))*ISNUMBER('成交明细'!$C$5:$C$804))=0,"没填时间",IFERROR(VLOOKUP(MOD(SUMPRODUCT(LARGE(('成交明细'!$A$5:$A$804=A204)*('成交明细'!$D$5:$D$804=IF(F204="空","卖","买"))*('成交明细'!$B$5:$B$804+'成交明细'!$C$5:$C$804),COUNTIFS('成交明细'!$A$5:$A$804,A204,'成交明细'!$D$5:$D$804,IF(F204="空","卖","买")))),1),'参数'!$B$39:$C$48,2,TRUE),"")))</f>
        <v/>
      </c>
      <c r="U204" s="35" t="str">
        <f>IF(A204="","",SUMIFS('成交明细'!$F$5:$F$804,'成交明细'!$A$5:$A$804,A204,'成交明细'!$D$5:$D$804,IF(F204="空","卖","买")))</f>
        <v/>
      </c>
      <c r="V204" s="39" t="str">
        <f>IF(N(U204)&gt;0,SUMIFS('成交明细'!$H$5:$H$804,'成交明细'!$A$5:$A$804,A204,'成交明细'!$D$5:$D$804,IF(F204="空","卖","买"))/U204,"")</f>
        <v/>
      </c>
      <c r="W204" s="35" t="str">
        <f>IF(A204="","",SUMIFS('成交明细'!$F$5:$F$804,'成交明细'!$A$5:$A$804,A204,'成交明细'!$D$5:$D$804,IF(F204="空","买","卖")))</f>
        <v/>
      </c>
      <c r="X204" s="39" t="str">
        <f>IF(N(W204)&gt;0,SUMIFS('成交明细'!$H$5:$H$804,'成交明细'!$A$5:$A$804,A204,'成交明细'!$D$5:$D$804,IF(F204="空","买","卖"))/W204,"")</f>
        <v/>
      </c>
      <c r="Y204" s="40" t="str">
        <f>IF(A204="","",IF(Q204&lt;&gt;"已执行",IF(Q204="","未填执行情况",Q204),IF(N(U204)=0,"待录成交",IF(N(W204)&gt;N(U204),"平仓多于开仓",IF(N(W204)&lt;N(U204),"持仓中","已平仓")))))</f>
        <v/>
      </c>
      <c r="Z204" s="41" t="str">
        <f>IF(N(U204)=0,"",SUMIFS('成交明细'!$L$5:$L$804,'成交明细'!$A$5:$A$804,A204))</f>
        <v/>
      </c>
      <c r="AA204" s="42" t="str">
        <f>IF(Y204&lt;&gt;"已平仓","",(SUMIFS('成交明细'!$H$5:$H$804,'成交明细'!$A$5:$A$804,A204,'成交明细'!$D$5:$D$804,"卖")-SUMIFS('成交明细'!$H$5:$H$804,'成交明细'!$A$5:$A$804,A204,'成交明细'!$D$5:$D$804,"买"))*IF(N(G204)&gt;0,G204,1)-Z204)</f>
        <v/>
      </c>
      <c r="AB204" s="43" t="str">
        <f>IF(AND(Y204="已平仓",ISNUMBER(O204)),(SUMIFS('成交明细'!$H$5:$H$804,'成交明细'!$A$5:$A$804,A204,'成交明细'!$D$5:$D$804,"卖")-SUMIFS('成交明细'!$H$5:$H$804,'成交明细'!$A$5:$A$804,A204,'成交明细'!$D$5:$D$804,"买"))*IF(N(G204)&gt;0,G204,1)/O204,"")</f>
        <v/>
      </c>
      <c r="AC204" s="43" t="str">
        <f>IF(AND(Y204="已平仓",ISNUMBER(O204)),AA204/O204,"")</f>
        <v/>
      </c>
      <c r="AD204" s="44" t="str">
        <f>IF(AND(ISNUMBER(V204),ISNUMBER(I204)),IF(F204="空",I204-V204,V204-I204),"")</f>
        <v/>
      </c>
      <c r="AE204" s="44" t="str">
        <f>IF(OR(NOT(ISNUMBER(AA204)),NOT(ISNUMBER(X204))),"",IF(AA204&lt;0,IF(F204="空",X204-J204,J204-X204),IF(NOT(ISNUMBER(K204)),"",IF(F204="空",X204-K204,K204-X204))))</f>
        <v/>
      </c>
      <c r="AF204" s="32" t="n"/>
      <c r="AG204" s="32" t="n"/>
      <c r="AH204" s="31" t="n"/>
      <c r="AI204" s="43" t="str">
        <f>IF(A204="","",SUM(AC$5:AC204))</f>
        <v/>
      </c>
      <c r="AJ204" s="45" t="str">
        <f>IF(A204="","",MAX(0,MAX(AI$5:AI204))-AI204)</f>
        <v/>
      </c>
    </row>
    <row r="205">
      <c r="A205" s="29" t="n"/>
      <c r="B205" s="30" t="n"/>
      <c r="C205" s="31" t="n"/>
      <c r="D205" s="32" t="n"/>
      <c r="E205" s="32" t="n"/>
      <c r="F205" s="32" t="n"/>
      <c r="G205" s="32" t="n"/>
      <c r="H205" s="32" t="n"/>
      <c r="I205" s="33" t="n"/>
      <c r="J205" s="33" t="n"/>
      <c r="K205" s="33" t="n"/>
      <c r="L205" s="34" t="str">
        <f>IF(AND(ISNUMBER(I205),ISNUMBER(J205),ISNUMBER(K205)),IF(OR(AND(F205="多",I205&gt;J205),AND(F205="空",I205&lt;J205)),ABS(K205-I205)/ABS(I205-J205),"止损方向不对"),"")</f>
        <v/>
      </c>
      <c r="M205" s="35" t="str">
        <f>IF(AND(ISNUMBER(I205),ISNUMBER(J205)),IF(I205=J205,"",IF(INT(ROUND('参数'!$C$7/(ABS(I205-J205)*IF(N(G205)&gt;0,G205,1)+2*(I205*IF(N(G205)&gt;0,G205,1)*'参数'!$C$12+'参数'!$C$13+'参数'!$C$14*IF(N(G205)&gt;0,G205,1)))/IF(N(H205)&gt;0,H205,1),6))*IF(N(H205)&gt;0,H205,1)&gt;0,INT(ROUND('参数'!$C$7/(ABS(I205-J205)*IF(N(G205)&gt;0,G205,1)+2*(I205*IF(N(G205)&gt;0,G205,1)*'参数'!$C$12+'参数'!$C$13+'参数'!$C$14*IF(N(G205)&gt;0,G205,1)))/IF(N(H205)&gt;0,H205,1),6))*IF(N(H205)&gt;0,H205,1),"预算不足，这笔不做")),"")</f>
        <v/>
      </c>
      <c r="N205" s="36" t="n"/>
      <c r="O205" s="20" t="str">
        <f>IF(AND(ISNUMBER(I205),ISNUMBER(J205),ISNUMBER(N205)),IF(AND(I205&lt;&gt;J205,N205&gt;0),ABS(I205-J205)*N205*IF(N(G205)&gt;0,G205,1),""),"")</f>
        <v/>
      </c>
      <c r="P205" s="31" t="n"/>
      <c r="Q205" s="32" t="n"/>
      <c r="R205" s="37" t="str">
        <f>IF(N(U205)&gt;0,SUMPRODUCT(LARGE(('成交明细'!$A$5:$A$804=A205)*('成交明细'!$D$5:$D$804=IF(F205="空","卖","买"))*'成交明细'!$B$5:$B$804,COUNTIFS('成交明细'!$A$5:$A$804,A205,'成交明细'!$D$5:$D$804,IF(F205="空","卖","买")))),"")</f>
        <v/>
      </c>
      <c r="S205" s="37" t="str">
        <f>IF(AND(N(U205)&gt;0,N(W205)&gt;=N(U205)),SUMPRODUCT(MAX(('成交明细'!$A$5:$A$804=A205)*('成交明细'!$D$5:$D$804=IF(F205="空","买","卖"))*'成交明细'!$B$5:$B$804)),"")</f>
        <v/>
      </c>
      <c r="T205" s="38" t="str">
        <f>IF(N(U205)=0,"",IF(SUMPRODUCT(('成交明细'!$A$5:$A$804=A205)*('成交明细'!$D$5:$D$804=IF(F205="空","卖","买"))*ISNUMBER('成交明细'!$C$5:$C$804))=0,"没填时间",IFERROR(VLOOKUP(MOD(SUMPRODUCT(LARGE(('成交明细'!$A$5:$A$804=A205)*('成交明细'!$D$5:$D$804=IF(F205="空","卖","买"))*('成交明细'!$B$5:$B$804+'成交明细'!$C$5:$C$804),COUNTIFS('成交明细'!$A$5:$A$804,A205,'成交明细'!$D$5:$D$804,IF(F205="空","卖","买")))),1),'参数'!$B$39:$C$48,2,TRUE),"")))</f>
        <v/>
      </c>
      <c r="U205" s="35" t="str">
        <f>IF(A205="","",SUMIFS('成交明细'!$F$5:$F$804,'成交明细'!$A$5:$A$804,A205,'成交明细'!$D$5:$D$804,IF(F205="空","卖","买")))</f>
        <v/>
      </c>
      <c r="V205" s="39" t="str">
        <f>IF(N(U205)&gt;0,SUMIFS('成交明细'!$H$5:$H$804,'成交明细'!$A$5:$A$804,A205,'成交明细'!$D$5:$D$804,IF(F205="空","卖","买"))/U205,"")</f>
        <v/>
      </c>
      <c r="W205" s="35" t="str">
        <f>IF(A205="","",SUMIFS('成交明细'!$F$5:$F$804,'成交明细'!$A$5:$A$804,A205,'成交明细'!$D$5:$D$804,IF(F205="空","买","卖")))</f>
        <v/>
      </c>
      <c r="X205" s="39" t="str">
        <f>IF(N(W205)&gt;0,SUMIFS('成交明细'!$H$5:$H$804,'成交明细'!$A$5:$A$804,A205,'成交明细'!$D$5:$D$804,IF(F205="空","买","卖"))/W205,"")</f>
        <v/>
      </c>
      <c r="Y205" s="40" t="str">
        <f>IF(A205="","",IF(Q205&lt;&gt;"已执行",IF(Q205="","未填执行情况",Q205),IF(N(U205)=0,"待录成交",IF(N(W205)&gt;N(U205),"平仓多于开仓",IF(N(W205)&lt;N(U205),"持仓中","已平仓")))))</f>
        <v/>
      </c>
      <c r="Z205" s="41" t="str">
        <f>IF(N(U205)=0,"",SUMIFS('成交明细'!$L$5:$L$804,'成交明细'!$A$5:$A$804,A205))</f>
        <v/>
      </c>
      <c r="AA205" s="42" t="str">
        <f>IF(Y205&lt;&gt;"已平仓","",(SUMIFS('成交明细'!$H$5:$H$804,'成交明细'!$A$5:$A$804,A205,'成交明细'!$D$5:$D$804,"卖")-SUMIFS('成交明细'!$H$5:$H$804,'成交明细'!$A$5:$A$804,A205,'成交明细'!$D$5:$D$804,"买"))*IF(N(G205)&gt;0,G205,1)-Z205)</f>
        <v/>
      </c>
      <c r="AB205" s="43" t="str">
        <f>IF(AND(Y205="已平仓",ISNUMBER(O205)),(SUMIFS('成交明细'!$H$5:$H$804,'成交明细'!$A$5:$A$804,A205,'成交明细'!$D$5:$D$804,"卖")-SUMIFS('成交明细'!$H$5:$H$804,'成交明细'!$A$5:$A$804,A205,'成交明细'!$D$5:$D$804,"买"))*IF(N(G205)&gt;0,G205,1)/O205,"")</f>
        <v/>
      </c>
      <c r="AC205" s="43" t="str">
        <f>IF(AND(Y205="已平仓",ISNUMBER(O205)),AA205/O205,"")</f>
        <v/>
      </c>
      <c r="AD205" s="44" t="str">
        <f>IF(AND(ISNUMBER(V205),ISNUMBER(I205)),IF(F205="空",I205-V205,V205-I205),"")</f>
        <v/>
      </c>
      <c r="AE205" s="44" t="str">
        <f>IF(OR(NOT(ISNUMBER(AA205)),NOT(ISNUMBER(X205))),"",IF(AA205&lt;0,IF(F205="空",X205-J205,J205-X205),IF(NOT(ISNUMBER(K205)),"",IF(F205="空",X205-K205,K205-X205))))</f>
        <v/>
      </c>
      <c r="AF205" s="32" t="n"/>
      <c r="AG205" s="32" t="n"/>
      <c r="AH205" s="31" t="n"/>
      <c r="AI205" s="43" t="str">
        <f>IF(A205="","",SUM(AC$5:AC205))</f>
        <v/>
      </c>
      <c r="AJ205" s="45" t="str">
        <f>IF(A205="","",MAX(0,MAX(AI$5:AI205))-AI205)</f>
        <v/>
      </c>
    </row>
    <row r="206">
      <c r="A206" s="29" t="n"/>
      <c r="B206" s="30" t="n"/>
      <c r="C206" s="31" t="n"/>
      <c r="D206" s="32" t="n"/>
      <c r="E206" s="32" t="n"/>
      <c r="F206" s="32" t="n"/>
      <c r="G206" s="32" t="n"/>
      <c r="H206" s="32" t="n"/>
      <c r="I206" s="33" t="n"/>
      <c r="J206" s="33" t="n"/>
      <c r="K206" s="33" t="n"/>
      <c r="L206" s="34" t="str">
        <f>IF(AND(ISNUMBER(I206),ISNUMBER(J206),ISNUMBER(K206)),IF(OR(AND(F206="多",I206&gt;J206),AND(F206="空",I206&lt;J206)),ABS(K206-I206)/ABS(I206-J206),"止损方向不对"),"")</f>
        <v/>
      </c>
      <c r="M206" s="35" t="str">
        <f>IF(AND(ISNUMBER(I206),ISNUMBER(J206)),IF(I206=J206,"",IF(INT(ROUND('参数'!$C$7/(ABS(I206-J206)*IF(N(G206)&gt;0,G206,1)+2*(I206*IF(N(G206)&gt;0,G206,1)*'参数'!$C$12+'参数'!$C$13+'参数'!$C$14*IF(N(G206)&gt;0,G206,1)))/IF(N(H206)&gt;0,H206,1),6))*IF(N(H206)&gt;0,H206,1)&gt;0,INT(ROUND('参数'!$C$7/(ABS(I206-J206)*IF(N(G206)&gt;0,G206,1)+2*(I206*IF(N(G206)&gt;0,G206,1)*'参数'!$C$12+'参数'!$C$13+'参数'!$C$14*IF(N(G206)&gt;0,G206,1)))/IF(N(H206)&gt;0,H206,1),6))*IF(N(H206)&gt;0,H206,1),"预算不足，这笔不做")),"")</f>
        <v/>
      </c>
      <c r="N206" s="36" t="n"/>
      <c r="O206" s="20" t="str">
        <f>IF(AND(ISNUMBER(I206),ISNUMBER(J206),ISNUMBER(N206)),IF(AND(I206&lt;&gt;J206,N206&gt;0),ABS(I206-J206)*N206*IF(N(G206)&gt;0,G206,1),""),"")</f>
        <v/>
      </c>
      <c r="P206" s="31" t="n"/>
      <c r="Q206" s="32" t="n"/>
      <c r="R206" s="37" t="str">
        <f>IF(N(U206)&gt;0,SUMPRODUCT(LARGE(('成交明细'!$A$5:$A$804=A206)*('成交明细'!$D$5:$D$804=IF(F206="空","卖","买"))*'成交明细'!$B$5:$B$804,COUNTIFS('成交明细'!$A$5:$A$804,A206,'成交明细'!$D$5:$D$804,IF(F206="空","卖","买")))),"")</f>
        <v/>
      </c>
      <c r="S206" s="37" t="str">
        <f>IF(AND(N(U206)&gt;0,N(W206)&gt;=N(U206)),SUMPRODUCT(MAX(('成交明细'!$A$5:$A$804=A206)*('成交明细'!$D$5:$D$804=IF(F206="空","买","卖"))*'成交明细'!$B$5:$B$804)),"")</f>
        <v/>
      </c>
      <c r="T206" s="38" t="str">
        <f>IF(N(U206)=0,"",IF(SUMPRODUCT(('成交明细'!$A$5:$A$804=A206)*('成交明细'!$D$5:$D$804=IF(F206="空","卖","买"))*ISNUMBER('成交明细'!$C$5:$C$804))=0,"没填时间",IFERROR(VLOOKUP(MOD(SUMPRODUCT(LARGE(('成交明细'!$A$5:$A$804=A206)*('成交明细'!$D$5:$D$804=IF(F206="空","卖","买"))*('成交明细'!$B$5:$B$804+'成交明细'!$C$5:$C$804),COUNTIFS('成交明细'!$A$5:$A$804,A206,'成交明细'!$D$5:$D$804,IF(F206="空","卖","买")))),1),'参数'!$B$39:$C$48,2,TRUE),"")))</f>
        <v/>
      </c>
      <c r="U206" s="35" t="str">
        <f>IF(A206="","",SUMIFS('成交明细'!$F$5:$F$804,'成交明细'!$A$5:$A$804,A206,'成交明细'!$D$5:$D$804,IF(F206="空","卖","买")))</f>
        <v/>
      </c>
      <c r="V206" s="39" t="str">
        <f>IF(N(U206)&gt;0,SUMIFS('成交明细'!$H$5:$H$804,'成交明细'!$A$5:$A$804,A206,'成交明细'!$D$5:$D$804,IF(F206="空","卖","买"))/U206,"")</f>
        <v/>
      </c>
      <c r="W206" s="35" t="str">
        <f>IF(A206="","",SUMIFS('成交明细'!$F$5:$F$804,'成交明细'!$A$5:$A$804,A206,'成交明细'!$D$5:$D$804,IF(F206="空","买","卖")))</f>
        <v/>
      </c>
      <c r="X206" s="39" t="str">
        <f>IF(N(W206)&gt;0,SUMIFS('成交明细'!$H$5:$H$804,'成交明细'!$A$5:$A$804,A206,'成交明细'!$D$5:$D$804,IF(F206="空","买","卖"))/W206,"")</f>
        <v/>
      </c>
      <c r="Y206" s="40" t="str">
        <f>IF(A206="","",IF(Q206&lt;&gt;"已执行",IF(Q206="","未填执行情况",Q206),IF(N(U206)=0,"待录成交",IF(N(W206)&gt;N(U206),"平仓多于开仓",IF(N(W206)&lt;N(U206),"持仓中","已平仓")))))</f>
        <v/>
      </c>
      <c r="Z206" s="41" t="str">
        <f>IF(N(U206)=0,"",SUMIFS('成交明细'!$L$5:$L$804,'成交明细'!$A$5:$A$804,A206))</f>
        <v/>
      </c>
      <c r="AA206" s="42" t="str">
        <f>IF(Y206&lt;&gt;"已平仓","",(SUMIFS('成交明细'!$H$5:$H$804,'成交明细'!$A$5:$A$804,A206,'成交明细'!$D$5:$D$804,"卖")-SUMIFS('成交明细'!$H$5:$H$804,'成交明细'!$A$5:$A$804,A206,'成交明细'!$D$5:$D$804,"买"))*IF(N(G206)&gt;0,G206,1)-Z206)</f>
        <v/>
      </c>
      <c r="AB206" s="43" t="str">
        <f>IF(AND(Y206="已平仓",ISNUMBER(O206)),(SUMIFS('成交明细'!$H$5:$H$804,'成交明细'!$A$5:$A$804,A206,'成交明细'!$D$5:$D$804,"卖")-SUMIFS('成交明细'!$H$5:$H$804,'成交明细'!$A$5:$A$804,A206,'成交明细'!$D$5:$D$804,"买"))*IF(N(G206)&gt;0,G206,1)/O206,"")</f>
        <v/>
      </c>
      <c r="AC206" s="43" t="str">
        <f>IF(AND(Y206="已平仓",ISNUMBER(O206)),AA206/O206,"")</f>
        <v/>
      </c>
      <c r="AD206" s="44" t="str">
        <f>IF(AND(ISNUMBER(V206),ISNUMBER(I206)),IF(F206="空",I206-V206,V206-I206),"")</f>
        <v/>
      </c>
      <c r="AE206" s="44" t="str">
        <f>IF(OR(NOT(ISNUMBER(AA206)),NOT(ISNUMBER(X206))),"",IF(AA206&lt;0,IF(F206="空",X206-J206,J206-X206),IF(NOT(ISNUMBER(K206)),"",IF(F206="空",X206-K206,K206-X206))))</f>
        <v/>
      </c>
      <c r="AF206" s="32" t="n"/>
      <c r="AG206" s="32" t="n"/>
      <c r="AH206" s="31" t="n"/>
      <c r="AI206" s="43" t="str">
        <f>IF(A206="","",SUM(AC$5:AC206))</f>
        <v/>
      </c>
      <c r="AJ206" s="45" t="str">
        <f>IF(A206="","",MAX(0,MAX(AI$5:AI206))-AI206)</f>
        <v/>
      </c>
    </row>
    <row r="207">
      <c r="A207" s="29" t="n"/>
      <c r="B207" s="30" t="n"/>
      <c r="C207" s="31" t="n"/>
      <c r="D207" s="32" t="n"/>
      <c r="E207" s="32" t="n"/>
      <c r="F207" s="32" t="n"/>
      <c r="G207" s="32" t="n"/>
      <c r="H207" s="32" t="n"/>
      <c r="I207" s="33" t="n"/>
      <c r="J207" s="33" t="n"/>
      <c r="K207" s="33" t="n"/>
      <c r="L207" s="34" t="str">
        <f>IF(AND(ISNUMBER(I207),ISNUMBER(J207),ISNUMBER(K207)),IF(OR(AND(F207="多",I207&gt;J207),AND(F207="空",I207&lt;J207)),ABS(K207-I207)/ABS(I207-J207),"止损方向不对"),"")</f>
        <v/>
      </c>
      <c r="M207" s="35" t="str">
        <f>IF(AND(ISNUMBER(I207),ISNUMBER(J207)),IF(I207=J207,"",IF(INT(ROUND('参数'!$C$7/(ABS(I207-J207)*IF(N(G207)&gt;0,G207,1)+2*(I207*IF(N(G207)&gt;0,G207,1)*'参数'!$C$12+'参数'!$C$13+'参数'!$C$14*IF(N(G207)&gt;0,G207,1)))/IF(N(H207)&gt;0,H207,1),6))*IF(N(H207)&gt;0,H207,1)&gt;0,INT(ROUND('参数'!$C$7/(ABS(I207-J207)*IF(N(G207)&gt;0,G207,1)+2*(I207*IF(N(G207)&gt;0,G207,1)*'参数'!$C$12+'参数'!$C$13+'参数'!$C$14*IF(N(G207)&gt;0,G207,1)))/IF(N(H207)&gt;0,H207,1),6))*IF(N(H207)&gt;0,H207,1),"预算不足，这笔不做")),"")</f>
        <v/>
      </c>
      <c r="N207" s="36" t="n"/>
      <c r="O207" s="20" t="str">
        <f>IF(AND(ISNUMBER(I207),ISNUMBER(J207),ISNUMBER(N207)),IF(AND(I207&lt;&gt;J207,N207&gt;0),ABS(I207-J207)*N207*IF(N(G207)&gt;0,G207,1),""),"")</f>
        <v/>
      </c>
      <c r="P207" s="31" t="n"/>
      <c r="Q207" s="32" t="n"/>
      <c r="R207" s="37" t="str">
        <f>IF(N(U207)&gt;0,SUMPRODUCT(LARGE(('成交明细'!$A$5:$A$804=A207)*('成交明细'!$D$5:$D$804=IF(F207="空","卖","买"))*'成交明细'!$B$5:$B$804,COUNTIFS('成交明细'!$A$5:$A$804,A207,'成交明细'!$D$5:$D$804,IF(F207="空","卖","买")))),"")</f>
        <v/>
      </c>
      <c r="S207" s="37" t="str">
        <f>IF(AND(N(U207)&gt;0,N(W207)&gt;=N(U207)),SUMPRODUCT(MAX(('成交明细'!$A$5:$A$804=A207)*('成交明细'!$D$5:$D$804=IF(F207="空","买","卖"))*'成交明细'!$B$5:$B$804)),"")</f>
        <v/>
      </c>
      <c r="T207" s="38" t="str">
        <f>IF(N(U207)=0,"",IF(SUMPRODUCT(('成交明细'!$A$5:$A$804=A207)*('成交明细'!$D$5:$D$804=IF(F207="空","卖","买"))*ISNUMBER('成交明细'!$C$5:$C$804))=0,"没填时间",IFERROR(VLOOKUP(MOD(SUMPRODUCT(LARGE(('成交明细'!$A$5:$A$804=A207)*('成交明细'!$D$5:$D$804=IF(F207="空","卖","买"))*('成交明细'!$B$5:$B$804+'成交明细'!$C$5:$C$804),COUNTIFS('成交明细'!$A$5:$A$804,A207,'成交明细'!$D$5:$D$804,IF(F207="空","卖","买")))),1),'参数'!$B$39:$C$48,2,TRUE),"")))</f>
        <v/>
      </c>
      <c r="U207" s="35" t="str">
        <f>IF(A207="","",SUMIFS('成交明细'!$F$5:$F$804,'成交明细'!$A$5:$A$804,A207,'成交明细'!$D$5:$D$804,IF(F207="空","卖","买")))</f>
        <v/>
      </c>
      <c r="V207" s="39" t="str">
        <f>IF(N(U207)&gt;0,SUMIFS('成交明细'!$H$5:$H$804,'成交明细'!$A$5:$A$804,A207,'成交明细'!$D$5:$D$804,IF(F207="空","卖","买"))/U207,"")</f>
        <v/>
      </c>
      <c r="W207" s="35" t="str">
        <f>IF(A207="","",SUMIFS('成交明细'!$F$5:$F$804,'成交明细'!$A$5:$A$804,A207,'成交明细'!$D$5:$D$804,IF(F207="空","买","卖")))</f>
        <v/>
      </c>
      <c r="X207" s="39" t="str">
        <f>IF(N(W207)&gt;0,SUMIFS('成交明细'!$H$5:$H$804,'成交明细'!$A$5:$A$804,A207,'成交明细'!$D$5:$D$804,IF(F207="空","买","卖"))/W207,"")</f>
        <v/>
      </c>
      <c r="Y207" s="40" t="str">
        <f>IF(A207="","",IF(Q207&lt;&gt;"已执行",IF(Q207="","未填执行情况",Q207),IF(N(U207)=0,"待录成交",IF(N(W207)&gt;N(U207),"平仓多于开仓",IF(N(W207)&lt;N(U207),"持仓中","已平仓")))))</f>
        <v/>
      </c>
      <c r="Z207" s="41" t="str">
        <f>IF(N(U207)=0,"",SUMIFS('成交明细'!$L$5:$L$804,'成交明细'!$A$5:$A$804,A207))</f>
        <v/>
      </c>
      <c r="AA207" s="42" t="str">
        <f>IF(Y207&lt;&gt;"已平仓","",(SUMIFS('成交明细'!$H$5:$H$804,'成交明细'!$A$5:$A$804,A207,'成交明细'!$D$5:$D$804,"卖")-SUMIFS('成交明细'!$H$5:$H$804,'成交明细'!$A$5:$A$804,A207,'成交明细'!$D$5:$D$804,"买"))*IF(N(G207)&gt;0,G207,1)-Z207)</f>
        <v/>
      </c>
      <c r="AB207" s="43" t="str">
        <f>IF(AND(Y207="已平仓",ISNUMBER(O207)),(SUMIFS('成交明细'!$H$5:$H$804,'成交明细'!$A$5:$A$804,A207,'成交明细'!$D$5:$D$804,"卖")-SUMIFS('成交明细'!$H$5:$H$804,'成交明细'!$A$5:$A$804,A207,'成交明细'!$D$5:$D$804,"买"))*IF(N(G207)&gt;0,G207,1)/O207,"")</f>
        <v/>
      </c>
      <c r="AC207" s="43" t="str">
        <f>IF(AND(Y207="已平仓",ISNUMBER(O207)),AA207/O207,"")</f>
        <v/>
      </c>
      <c r="AD207" s="44" t="str">
        <f>IF(AND(ISNUMBER(V207),ISNUMBER(I207)),IF(F207="空",I207-V207,V207-I207),"")</f>
        <v/>
      </c>
      <c r="AE207" s="44" t="str">
        <f>IF(OR(NOT(ISNUMBER(AA207)),NOT(ISNUMBER(X207))),"",IF(AA207&lt;0,IF(F207="空",X207-J207,J207-X207),IF(NOT(ISNUMBER(K207)),"",IF(F207="空",X207-K207,K207-X207))))</f>
        <v/>
      </c>
      <c r="AF207" s="32" t="n"/>
      <c r="AG207" s="32" t="n"/>
      <c r="AH207" s="31" t="n"/>
      <c r="AI207" s="43" t="str">
        <f>IF(A207="","",SUM(AC$5:AC207))</f>
        <v/>
      </c>
      <c r="AJ207" s="45" t="str">
        <f>IF(A207="","",MAX(0,MAX(AI$5:AI207))-AI207)</f>
        <v/>
      </c>
    </row>
    <row r="208">
      <c r="A208" s="29" t="n"/>
      <c r="B208" s="30" t="n"/>
      <c r="C208" s="31" t="n"/>
      <c r="D208" s="32" t="n"/>
      <c r="E208" s="32" t="n"/>
      <c r="F208" s="32" t="n"/>
      <c r="G208" s="32" t="n"/>
      <c r="H208" s="32" t="n"/>
      <c r="I208" s="33" t="n"/>
      <c r="J208" s="33" t="n"/>
      <c r="K208" s="33" t="n"/>
      <c r="L208" s="34" t="str">
        <f>IF(AND(ISNUMBER(I208),ISNUMBER(J208),ISNUMBER(K208)),IF(OR(AND(F208="多",I208&gt;J208),AND(F208="空",I208&lt;J208)),ABS(K208-I208)/ABS(I208-J208),"止损方向不对"),"")</f>
        <v/>
      </c>
      <c r="M208" s="35" t="str">
        <f>IF(AND(ISNUMBER(I208),ISNUMBER(J208)),IF(I208=J208,"",IF(INT(ROUND('参数'!$C$7/(ABS(I208-J208)*IF(N(G208)&gt;0,G208,1)+2*(I208*IF(N(G208)&gt;0,G208,1)*'参数'!$C$12+'参数'!$C$13+'参数'!$C$14*IF(N(G208)&gt;0,G208,1)))/IF(N(H208)&gt;0,H208,1),6))*IF(N(H208)&gt;0,H208,1)&gt;0,INT(ROUND('参数'!$C$7/(ABS(I208-J208)*IF(N(G208)&gt;0,G208,1)+2*(I208*IF(N(G208)&gt;0,G208,1)*'参数'!$C$12+'参数'!$C$13+'参数'!$C$14*IF(N(G208)&gt;0,G208,1)))/IF(N(H208)&gt;0,H208,1),6))*IF(N(H208)&gt;0,H208,1),"预算不足，这笔不做")),"")</f>
        <v/>
      </c>
      <c r="N208" s="36" t="n"/>
      <c r="O208" s="20" t="str">
        <f>IF(AND(ISNUMBER(I208),ISNUMBER(J208),ISNUMBER(N208)),IF(AND(I208&lt;&gt;J208,N208&gt;0),ABS(I208-J208)*N208*IF(N(G208)&gt;0,G208,1),""),"")</f>
        <v/>
      </c>
      <c r="P208" s="31" t="n"/>
      <c r="Q208" s="32" t="n"/>
      <c r="R208" s="37" t="str">
        <f>IF(N(U208)&gt;0,SUMPRODUCT(LARGE(('成交明细'!$A$5:$A$804=A208)*('成交明细'!$D$5:$D$804=IF(F208="空","卖","买"))*'成交明细'!$B$5:$B$804,COUNTIFS('成交明细'!$A$5:$A$804,A208,'成交明细'!$D$5:$D$804,IF(F208="空","卖","买")))),"")</f>
        <v/>
      </c>
      <c r="S208" s="37" t="str">
        <f>IF(AND(N(U208)&gt;0,N(W208)&gt;=N(U208)),SUMPRODUCT(MAX(('成交明细'!$A$5:$A$804=A208)*('成交明细'!$D$5:$D$804=IF(F208="空","买","卖"))*'成交明细'!$B$5:$B$804)),"")</f>
        <v/>
      </c>
      <c r="T208" s="38" t="str">
        <f>IF(N(U208)=0,"",IF(SUMPRODUCT(('成交明细'!$A$5:$A$804=A208)*('成交明细'!$D$5:$D$804=IF(F208="空","卖","买"))*ISNUMBER('成交明细'!$C$5:$C$804))=0,"没填时间",IFERROR(VLOOKUP(MOD(SUMPRODUCT(LARGE(('成交明细'!$A$5:$A$804=A208)*('成交明细'!$D$5:$D$804=IF(F208="空","卖","买"))*('成交明细'!$B$5:$B$804+'成交明细'!$C$5:$C$804),COUNTIFS('成交明细'!$A$5:$A$804,A208,'成交明细'!$D$5:$D$804,IF(F208="空","卖","买")))),1),'参数'!$B$39:$C$48,2,TRUE),"")))</f>
        <v/>
      </c>
      <c r="U208" s="35" t="str">
        <f>IF(A208="","",SUMIFS('成交明细'!$F$5:$F$804,'成交明细'!$A$5:$A$804,A208,'成交明细'!$D$5:$D$804,IF(F208="空","卖","买")))</f>
        <v/>
      </c>
      <c r="V208" s="39" t="str">
        <f>IF(N(U208)&gt;0,SUMIFS('成交明细'!$H$5:$H$804,'成交明细'!$A$5:$A$804,A208,'成交明细'!$D$5:$D$804,IF(F208="空","卖","买"))/U208,"")</f>
        <v/>
      </c>
      <c r="W208" s="35" t="str">
        <f>IF(A208="","",SUMIFS('成交明细'!$F$5:$F$804,'成交明细'!$A$5:$A$804,A208,'成交明细'!$D$5:$D$804,IF(F208="空","买","卖")))</f>
        <v/>
      </c>
      <c r="X208" s="39" t="str">
        <f>IF(N(W208)&gt;0,SUMIFS('成交明细'!$H$5:$H$804,'成交明细'!$A$5:$A$804,A208,'成交明细'!$D$5:$D$804,IF(F208="空","买","卖"))/W208,"")</f>
        <v/>
      </c>
      <c r="Y208" s="40" t="str">
        <f>IF(A208="","",IF(Q208&lt;&gt;"已执行",IF(Q208="","未填执行情况",Q208),IF(N(U208)=0,"待录成交",IF(N(W208)&gt;N(U208),"平仓多于开仓",IF(N(W208)&lt;N(U208),"持仓中","已平仓")))))</f>
        <v/>
      </c>
      <c r="Z208" s="41" t="str">
        <f>IF(N(U208)=0,"",SUMIFS('成交明细'!$L$5:$L$804,'成交明细'!$A$5:$A$804,A208))</f>
        <v/>
      </c>
      <c r="AA208" s="42" t="str">
        <f>IF(Y208&lt;&gt;"已平仓","",(SUMIFS('成交明细'!$H$5:$H$804,'成交明细'!$A$5:$A$804,A208,'成交明细'!$D$5:$D$804,"卖")-SUMIFS('成交明细'!$H$5:$H$804,'成交明细'!$A$5:$A$804,A208,'成交明细'!$D$5:$D$804,"买"))*IF(N(G208)&gt;0,G208,1)-Z208)</f>
        <v/>
      </c>
      <c r="AB208" s="43" t="str">
        <f>IF(AND(Y208="已平仓",ISNUMBER(O208)),(SUMIFS('成交明细'!$H$5:$H$804,'成交明细'!$A$5:$A$804,A208,'成交明细'!$D$5:$D$804,"卖")-SUMIFS('成交明细'!$H$5:$H$804,'成交明细'!$A$5:$A$804,A208,'成交明细'!$D$5:$D$804,"买"))*IF(N(G208)&gt;0,G208,1)/O208,"")</f>
        <v/>
      </c>
      <c r="AC208" s="43" t="str">
        <f>IF(AND(Y208="已平仓",ISNUMBER(O208)),AA208/O208,"")</f>
        <v/>
      </c>
      <c r="AD208" s="44" t="str">
        <f>IF(AND(ISNUMBER(V208),ISNUMBER(I208)),IF(F208="空",I208-V208,V208-I208),"")</f>
        <v/>
      </c>
      <c r="AE208" s="44" t="str">
        <f>IF(OR(NOT(ISNUMBER(AA208)),NOT(ISNUMBER(X208))),"",IF(AA208&lt;0,IF(F208="空",X208-J208,J208-X208),IF(NOT(ISNUMBER(K208)),"",IF(F208="空",X208-K208,K208-X208))))</f>
        <v/>
      </c>
      <c r="AF208" s="32" t="n"/>
      <c r="AG208" s="32" t="n"/>
      <c r="AH208" s="31" t="n"/>
      <c r="AI208" s="43" t="str">
        <f>IF(A208="","",SUM(AC$5:AC208))</f>
        <v/>
      </c>
      <c r="AJ208" s="45" t="str">
        <f>IF(A208="","",MAX(0,MAX(AI$5:AI208))-AI208)</f>
        <v/>
      </c>
    </row>
    <row r="209">
      <c r="A209" s="29" t="n"/>
      <c r="B209" s="30" t="n"/>
      <c r="C209" s="31" t="n"/>
      <c r="D209" s="32" t="n"/>
      <c r="E209" s="32" t="n"/>
      <c r="F209" s="32" t="n"/>
      <c r="G209" s="32" t="n"/>
      <c r="H209" s="32" t="n"/>
      <c r="I209" s="33" t="n"/>
      <c r="J209" s="33" t="n"/>
      <c r="K209" s="33" t="n"/>
      <c r="L209" s="34" t="str">
        <f>IF(AND(ISNUMBER(I209),ISNUMBER(J209),ISNUMBER(K209)),IF(OR(AND(F209="多",I209&gt;J209),AND(F209="空",I209&lt;J209)),ABS(K209-I209)/ABS(I209-J209),"止损方向不对"),"")</f>
        <v/>
      </c>
      <c r="M209" s="35" t="str">
        <f>IF(AND(ISNUMBER(I209),ISNUMBER(J209)),IF(I209=J209,"",IF(INT(ROUND('参数'!$C$7/(ABS(I209-J209)*IF(N(G209)&gt;0,G209,1)+2*(I209*IF(N(G209)&gt;0,G209,1)*'参数'!$C$12+'参数'!$C$13+'参数'!$C$14*IF(N(G209)&gt;0,G209,1)))/IF(N(H209)&gt;0,H209,1),6))*IF(N(H209)&gt;0,H209,1)&gt;0,INT(ROUND('参数'!$C$7/(ABS(I209-J209)*IF(N(G209)&gt;0,G209,1)+2*(I209*IF(N(G209)&gt;0,G209,1)*'参数'!$C$12+'参数'!$C$13+'参数'!$C$14*IF(N(G209)&gt;0,G209,1)))/IF(N(H209)&gt;0,H209,1),6))*IF(N(H209)&gt;0,H209,1),"预算不足，这笔不做")),"")</f>
        <v/>
      </c>
      <c r="N209" s="36" t="n"/>
      <c r="O209" s="20" t="str">
        <f>IF(AND(ISNUMBER(I209),ISNUMBER(J209),ISNUMBER(N209)),IF(AND(I209&lt;&gt;J209,N209&gt;0),ABS(I209-J209)*N209*IF(N(G209)&gt;0,G209,1),""),"")</f>
        <v/>
      </c>
      <c r="P209" s="31" t="n"/>
      <c r="Q209" s="32" t="n"/>
      <c r="R209" s="37" t="str">
        <f>IF(N(U209)&gt;0,SUMPRODUCT(LARGE(('成交明细'!$A$5:$A$804=A209)*('成交明细'!$D$5:$D$804=IF(F209="空","卖","买"))*'成交明细'!$B$5:$B$804,COUNTIFS('成交明细'!$A$5:$A$804,A209,'成交明细'!$D$5:$D$804,IF(F209="空","卖","买")))),"")</f>
        <v/>
      </c>
      <c r="S209" s="37" t="str">
        <f>IF(AND(N(U209)&gt;0,N(W209)&gt;=N(U209)),SUMPRODUCT(MAX(('成交明细'!$A$5:$A$804=A209)*('成交明细'!$D$5:$D$804=IF(F209="空","买","卖"))*'成交明细'!$B$5:$B$804)),"")</f>
        <v/>
      </c>
      <c r="T209" s="38" t="str">
        <f>IF(N(U209)=0,"",IF(SUMPRODUCT(('成交明细'!$A$5:$A$804=A209)*('成交明细'!$D$5:$D$804=IF(F209="空","卖","买"))*ISNUMBER('成交明细'!$C$5:$C$804))=0,"没填时间",IFERROR(VLOOKUP(MOD(SUMPRODUCT(LARGE(('成交明细'!$A$5:$A$804=A209)*('成交明细'!$D$5:$D$804=IF(F209="空","卖","买"))*('成交明细'!$B$5:$B$804+'成交明细'!$C$5:$C$804),COUNTIFS('成交明细'!$A$5:$A$804,A209,'成交明细'!$D$5:$D$804,IF(F209="空","卖","买")))),1),'参数'!$B$39:$C$48,2,TRUE),"")))</f>
        <v/>
      </c>
      <c r="U209" s="35" t="str">
        <f>IF(A209="","",SUMIFS('成交明细'!$F$5:$F$804,'成交明细'!$A$5:$A$804,A209,'成交明细'!$D$5:$D$804,IF(F209="空","卖","买")))</f>
        <v/>
      </c>
      <c r="V209" s="39" t="str">
        <f>IF(N(U209)&gt;0,SUMIFS('成交明细'!$H$5:$H$804,'成交明细'!$A$5:$A$804,A209,'成交明细'!$D$5:$D$804,IF(F209="空","卖","买"))/U209,"")</f>
        <v/>
      </c>
      <c r="W209" s="35" t="str">
        <f>IF(A209="","",SUMIFS('成交明细'!$F$5:$F$804,'成交明细'!$A$5:$A$804,A209,'成交明细'!$D$5:$D$804,IF(F209="空","买","卖")))</f>
        <v/>
      </c>
      <c r="X209" s="39" t="str">
        <f>IF(N(W209)&gt;0,SUMIFS('成交明细'!$H$5:$H$804,'成交明细'!$A$5:$A$804,A209,'成交明细'!$D$5:$D$804,IF(F209="空","买","卖"))/W209,"")</f>
        <v/>
      </c>
      <c r="Y209" s="40" t="str">
        <f>IF(A209="","",IF(Q209&lt;&gt;"已执行",IF(Q209="","未填执行情况",Q209),IF(N(U209)=0,"待录成交",IF(N(W209)&gt;N(U209),"平仓多于开仓",IF(N(W209)&lt;N(U209),"持仓中","已平仓")))))</f>
        <v/>
      </c>
      <c r="Z209" s="41" t="str">
        <f>IF(N(U209)=0,"",SUMIFS('成交明细'!$L$5:$L$804,'成交明细'!$A$5:$A$804,A209))</f>
        <v/>
      </c>
      <c r="AA209" s="42" t="str">
        <f>IF(Y209&lt;&gt;"已平仓","",(SUMIFS('成交明细'!$H$5:$H$804,'成交明细'!$A$5:$A$804,A209,'成交明细'!$D$5:$D$804,"卖")-SUMIFS('成交明细'!$H$5:$H$804,'成交明细'!$A$5:$A$804,A209,'成交明细'!$D$5:$D$804,"买"))*IF(N(G209)&gt;0,G209,1)-Z209)</f>
        <v/>
      </c>
      <c r="AB209" s="43" t="str">
        <f>IF(AND(Y209="已平仓",ISNUMBER(O209)),(SUMIFS('成交明细'!$H$5:$H$804,'成交明细'!$A$5:$A$804,A209,'成交明细'!$D$5:$D$804,"卖")-SUMIFS('成交明细'!$H$5:$H$804,'成交明细'!$A$5:$A$804,A209,'成交明细'!$D$5:$D$804,"买"))*IF(N(G209)&gt;0,G209,1)/O209,"")</f>
        <v/>
      </c>
      <c r="AC209" s="43" t="str">
        <f>IF(AND(Y209="已平仓",ISNUMBER(O209)),AA209/O209,"")</f>
        <v/>
      </c>
      <c r="AD209" s="44" t="str">
        <f>IF(AND(ISNUMBER(V209),ISNUMBER(I209)),IF(F209="空",I209-V209,V209-I209),"")</f>
        <v/>
      </c>
      <c r="AE209" s="44" t="str">
        <f>IF(OR(NOT(ISNUMBER(AA209)),NOT(ISNUMBER(X209))),"",IF(AA209&lt;0,IF(F209="空",X209-J209,J209-X209),IF(NOT(ISNUMBER(K209)),"",IF(F209="空",X209-K209,K209-X209))))</f>
        <v/>
      </c>
      <c r="AF209" s="32" t="n"/>
      <c r="AG209" s="32" t="n"/>
      <c r="AH209" s="31" t="n"/>
      <c r="AI209" s="43" t="str">
        <f>IF(A209="","",SUM(AC$5:AC209))</f>
        <v/>
      </c>
      <c r="AJ209" s="45" t="str">
        <f>IF(A209="","",MAX(0,MAX(AI$5:AI209))-AI209)</f>
        <v/>
      </c>
    </row>
    <row r="210">
      <c r="A210" s="29" t="n"/>
      <c r="B210" s="30" t="n"/>
      <c r="C210" s="31" t="n"/>
      <c r="D210" s="32" t="n"/>
      <c r="E210" s="32" t="n"/>
      <c r="F210" s="32" t="n"/>
      <c r="G210" s="32" t="n"/>
      <c r="H210" s="32" t="n"/>
      <c r="I210" s="33" t="n"/>
      <c r="J210" s="33" t="n"/>
      <c r="K210" s="33" t="n"/>
      <c r="L210" s="34" t="str">
        <f>IF(AND(ISNUMBER(I210),ISNUMBER(J210),ISNUMBER(K210)),IF(OR(AND(F210="多",I210&gt;J210),AND(F210="空",I210&lt;J210)),ABS(K210-I210)/ABS(I210-J210),"止损方向不对"),"")</f>
        <v/>
      </c>
      <c r="M210" s="35" t="str">
        <f>IF(AND(ISNUMBER(I210),ISNUMBER(J210)),IF(I210=J210,"",IF(INT(ROUND('参数'!$C$7/(ABS(I210-J210)*IF(N(G210)&gt;0,G210,1)+2*(I210*IF(N(G210)&gt;0,G210,1)*'参数'!$C$12+'参数'!$C$13+'参数'!$C$14*IF(N(G210)&gt;0,G210,1)))/IF(N(H210)&gt;0,H210,1),6))*IF(N(H210)&gt;0,H210,1)&gt;0,INT(ROUND('参数'!$C$7/(ABS(I210-J210)*IF(N(G210)&gt;0,G210,1)+2*(I210*IF(N(G210)&gt;0,G210,1)*'参数'!$C$12+'参数'!$C$13+'参数'!$C$14*IF(N(G210)&gt;0,G210,1)))/IF(N(H210)&gt;0,H210,1),6))*IF(N(H210)&gt;0,H210,1),"预算不足，这笔不做")),"")</f>
        <v/>
      </c>
      <c r="N210" s="36" t="n"/>
      <c r="O210" s="20" t="str">
        <f>IF(AND(ISNUMBER(I210),ISNUMBER(J210),ISNUMBER(N210)),IF(AND(I210&lt;&gt;J210,N210&gt;0),ABS(I210-J210)*N210*IF(N(G210)&gt;0,G210,1),""),"")</f>
        <v/>
      </c>
      <c r="P210" s="31" t="n"/>
      <c r="Q210" s="32" t="n"/>
      <c r="R210" s="37" t="str">
        <f>IF(N(U210)&gt;0,SUMPRODUCT(LARGE(('成交明细'!$A$5:$A$804=A210)*('成交明细'!$D$5:$D$804=IF(F210="空","卖","买"))*'成交明细'!$B$5:$B$804,COUNTIFS('成交明细'!$A$5:$A$804,A210,'成交明细'!$D$5:$D$804,IF(F210="空","卖","买")))),"")</f>
        <v/>
      </c>
      <c r="S210" s="37" t="str">
        <f>IF(AND(N(U210)&gt;0,N(W210)&gt;=N(U210)),SUMPRODUCT(MAX(('成交明细'!$A$5:$A$804=A210)*('成交明细'!$D$5:$D$804=IF(F210="空","买","卖"))*'成交明细'!$B$5:$B$804)),"")</f>
        <v/>
      </c>
      <c r="T210" s="38" t="str">
        <f>IF(N(U210)=0,"",IF(SUMPRODUCT(('成交明细'!$A$5:$A$804=A210)*('成交明细'!$D$5:$D$804=IF(F210="空","卖","买"))*ISNUMBER('成交明细'!$C$5:$C$804))=0,"没填时间",IFERROR(VLOOKUP(MOD(SUMPRODUCT(LARGE(('成交明细'!$A$5:$A$804=A210)*('成交明细'!$D$5:$D$804=IF(F210="空","卖","买"))*('成交明细'!$B$5:$B$804+'成交明细'!$C$5:$C$804),COUNTIFS('成交明细'!$A$5:$A$804,A210,'成交明细'!$D$5:$D$804,IF(F210="空","卖","买")))),1),'参数'!$B$39:$C$48,2,TRUE),"")))</f>
        <v/>
      </c>
      <c r="U210" s="35" t="str">
        <f>IF(A210="","",SUMIFS('成交明细'!$F$5:$F$804,'成交明细'!$A$5:$A$804,A210,'成交明细'!$D$5:$D$804,IF(F210="空","卖","买")))</f>
        <v/>
      </c>
      <c r="V210" s="39" t="str">
        <f>IF(N(U210)&gt;0,SUMIFS('成交明细'!$H$5:$H$804,'成交明细'!$A$5:$A$804,A210,'成交明细'!$D$5:$D$804,IF(F210="空","卖","买"))/U210,"")</f>
        <v/>
      </c>
      <c r="W210" s="35" t="str">
        <f>IF(A210="","",SUMIFS('成交明细'!$F$5:$F$804,'成交明细'!$A$5:$A$804,A210,'成交明细'!$D$5:$D$804,IF(F210="空","买","卖")))</f>
        <v/>
      </c>
      <c r="X210" s="39" t="str">
        <f>IF(N(W210)&gt;0,SUMIFS('成交明细'!$H$5:$H$804,'成交明细'!$A$5:$A$804,A210,'成交明细'!$D$5:$D$804,IF(F210="空","买","卖"))/W210,"")</f>
        <v/>
      </c>
      <c r="Y210" s="40" t="str">
        <f>IF(A210="","",IF(Q210&lt;&gt;"已执行",IF(Q210="","未填执行情况",Q210),IF(N(U210)=0,"待录成交",IF(N(W210)&gt;N(U210),"平仓多于开仓",IF(N(W210)&lt;N(U210),"持仓中","已平仓")))))</f>
        <v/>
      </c>
      <c r="Z210" s="41" t="str">
        <f>IF(N(U210)=0,"",SUMIFS('成交明细'!$L$5:$L$804,'成交明细'!$A$5:$A$804,A210))</f>
        <v/>
      </c>
      <c r="AA210" s="42" t="str">
        <f>IF(Y210&lt;&gt;"已平仓","",(SUMIFS('成交明细'!$H$5:$H$804,'成交明细'!$A$5:$A$804,A210,'成交明细'!$D$5:$D$804,"卖")-SUMIFS('成交明细'!$H$5:$H$804,'成交明细'!$A$5:$A$804,A210,'成交明细'!$D$5:$D$804,"买"))*IF(N(G210)&gt;0,G210,1)-Z210)</f>
        <v/>
      </c>
      <c r="AB210" s="43" t="str">
        <f>IF(AND(Y210="已平仓",ISNUMBER(O210)),(SUMIFS('成交明细'!$H$5:$H$804,'成交明细'!$A$5:$A$804,A210,'成交明细'!$D$5:$D$804,"卖")-SUMIFS('成交明细'!$H$5:$H$804,'成交明细'!$A$5:$A$804,A210,'成交明细'!$D$5:$D$804,"买"))*IF(N(G210)&gt;0,G210,1)/O210,"")</f>
        <v/>
      </c>
      <c r="AC210" s="43" t="str">
        <f>IF(AND(Y210="已平仓",ISNUMBER(O210)),AA210/O210,"")</f>
        <v/>
      </c>
      <c r="AD210" s="44" t="str">
        <f>IF(AND(ISNUMBER(V210),ISNUMBER(I210)),IF(F210="空",I210-V210,V210-I210),"")</f>
        <v/>
      </c>
      <c r="AE210" s="44" t="str">
        <f>IF(OR(NOT(ISNUMBER(AA210)),NOT(ISNUMBER(X210))),"",IF(AA210&lt;0,IF(F210="空",X210-J210,J210-X210),IF(NOT(ISNUMBER(K210)),"",IF(F210="空",X210-K210,K210-X210))))</f>
        <v/>
      </c>
      <c r="AF210" s="32" t="n"/>
      <c r="AG210" s="32" t="n"/>
      <c r="AH210" s="31" t="n"/>
      <c r="AI210" s="43" t="str">
        <f>IF(A210="","",SUM(AC$5:AC210))</f>
        <v/>
      </c>
      <c r="AJ210" s="45" t="str">
        <f>IF(A210="","",MAX(0,MAX(AI$5:AI210))-AI210)</f>
        <v/>
      </c>
    </row>
    <row r="211">
      <c r="A211" s="29" t="n"/>
      <c r="B211" s="30" t="n"/>
      <c r="C211" s="31" t="n"/>
      <c r="D211" s="32" t="n"/>
      <c r="E211" s="32" t="n"/>
      <c r="F211" s="32" t="n"/>
      <c r="G211" s="32" t="n"/>
      <c r="H211" s="32" t="n"/>
      <c r="I211" s="33" t="n"/>
      <c r="J211" s="33" t="n"/>
      <c r="K211" s="33" t="n"/>
      <c r="L211" s="34" t="str">
        <f>IF(AND(ISNUMBER(I211),ISNUMBER(J211),ISNUMBER(K211)),IF(OR(AND(F211="多",I211&gt;J211),AND(F211="空",I211&lt;J211)),ABS(K211-I211)/ABS(I211-J211),"止损方向不对"),"")</f>
        <v/>
      </c>
      <c r="M211" s="35" t="str">
        <f>IF(AND(ISNUMBER(I211),ISNUMBER(J211)),IF(I211=J211,"",IF(INT(ROUND('参数'!$C$7/(ABS(I211-J211)*IF(N(G211)&gt;0,G211,1)+2*(I211*IF(N(G211)&gt;0,G211,1)*'参数'!$C$12+'参数'!$C$13+'参数'!$C$14*IF(N(G211)&gt;0,G211,1)))/IF(N(H211)&gt;0,H211,1),6))*IF(N(H211)&gt;0,H211,1)&gt;0,INT(ROUND('参数'!$C$7/(ABS(I211-J211)*IF(N(G211)&gt;0,G211,1)+2*(I211*IF(N(G211)&gt;0,G211,1)*'参数'!$C$12+'参数'!$C$13+'参数'!$C$14*IF(N(G211)&gt;0,G211,1)))/IF(N(H211)&gt;0,H211,1),6))*IF(N(H211)&gt;0,H211,1),"预算不足，这笔不做")),"")</f>
        <v/>
      </c>
      <c r="N211" s="36" t="n"/>
      <c r="O211" s="20" t="str">
        <f>IF(AND(ISNUMBER(I211),ISNUMBER(J211),ISNUMBER(N211)),IF(AND(I211&lt;&gt;J211,N211&gt;0),ABS(I211-J211)*N211*IF(N(G211)&gt;0,G211,1),""),"")</f>
        <v/>
      </c>
      <c r="P211" s="31" t="n"/>
      <c r="Q211" s="32" t="n"/>
      <c r="R211" s="37" t="str">
        <f>IF(N(U211)&gt;0,SUMPRODUCT(LARGE(('成交明细'!$A$5:$A$804=A211)*('成交明细'!$D$5:$D$804=IF(F211="空","卖","买"))*'成交明细'!$B$5:$B$804,COUNTIFS('成交明细'!$A$5:$A$804,A211,'成交明细'!$D$5:$D$804,IF(F211="空","卖","买")))),"")</f>
        <v/>
      </c>
      <c r="S211" s="37" t="str">
        <f>IF(AND(N(U211)&gt;0,N(W211)&gt;=N(U211)),SUMPRODUCT(MAX(('成交明细'!$A$5:$A$804=A211)*('成交明细'!$D$5:$D$804=IF(F211="空","买","卖"))*'成交明细'!$B$5:$B$804)),"")</f>
        <v/>
      </c>
      <c r="T211" s="38" t="str">
        <f>IF(N(U211)=0,"",IF(SUMPRODUCT(('成交明细'!$A$5:$A$804=A211)*('成交明细'!$D$5:$D$804=IF(F211="空","卖","买"))*ISNUMBER('成交明细'!$C$5:$C$804))=0,"没填时间",IFERROR(VLOOKUP(MOD(SUMPRODUCT(LARGE(('成交明细'!$A$5:$A$804=A211)*('成交明细'!$D$5:$D$804=IF(F211="空","卖","买"))*('成交明细'!$B$5:$B$804+'成交明细'!$C$5:$C$804),COUNTIFS('成交明细'!$A$5:$A$804,A211,'成交明细'!$D$5:$D$804,IF(F211="空","卖","买")))),1),'参数'!$B$39:$C$48,2,TRUE),"")))</f>
        <v/>
      </c>
      <c r="U211" s="35" t="str">
        <f>IF(A211="","",SUMIFS('成交明细'!$F$5:$F$804,'成交明细'!$A$5:$A$804,A211,'成交明细'!$D$5:$D$804,IF(F211="空","卖","买")))</f>
        <v/>
      </c>
      <c r="V211" s="39" t="str">
        <f>IF(N(U211)&gt;0,SUMIFS('成交明细'!$H$5:$H$804,'成交明细'!$A$5:$A$804,A211,'成交明细'!$D$5:$D$804,IF(F211="空","卖","买"))/U211,"")</f>
        <v/>
      </c>
      <c r="W211" s="35" t="str">
        <f>IF(A211="","",SUMIFS('成交明细'!$F$5:$F$804,'成交明细'!$A$5:$A$804,A211,'成交明细'!$D$5:$D$804,IF(F211="空","买","卖")))</f>
        <v/>
      </c>
      <c r="X211" s="39" t="str">
        <f>IF(N(W211)&gt;0,SUMIFS('成交明细'!$H$5:$H$804,'成交明细'!$A$5:$A$804,A211,'成交明细'!$D$5:$D$804,IF(F211="空","买","卖"))/W211,"")</f>
        <v/>
      </c>
      <c r="Y211" s="40" t="str">
        <f>IF(A211="","",IF(Q211&lt;&gt;"已执行",IF(Q211="","未填执行情况",Q211),IF(N(U211)=0,"待录成交",IF(N(W211)&gt;N(U211),"平仓多于开仓",IF(N(W211)&lt;N(U211),"持仓中","已平仓")))))</f>
        <v/>
      </c>
      <c r="Z211" s="41" t="str">
        <f>IF(N(U211)=0,"",SUMIFS('成交明细'!$L$5:$L$804,'成交明细'!$A$5:$A$804,A211))</f>
        <v/>
      </c>
      <c r="AA211" s="42" t="str">
        <f>IF(Y211&lt;&gt;"已平仓","",(SUMIFS('成交明细'!$H$5:$H$804,'成交明细'!$A$5:$A$804,A211,'成交明细'!$D$5:$D$804,"卖")-SUMIFS('成交明细'!$H$5:$H$804,'成交明细'!$A$5:$A$804,A211,'成交明细'!$D$5:$D$804,"买"))*IF(N(G211)&gt;0,G211,1)-Z211)</f>
        <v/>
      </c>
      <c r="AB211" s="43" t="str">
        <f>IF(AND(Y211="已平仓",ISNUMBER(O211)),(SUMIFS('成交明细'!$H$5:$H$804,'成交明细'!$A$5:$A$804,A211,'成交明细'!$D$5:$D$804,"卖")-SUMIFS('成交明细'!$H$5:$H$804,'成交明细'!$A$5:$A$804,A211,'成交明细'!$D$5:$D$804,"买"))*IF(N(G211)&gt;0,G211,1)/O211,"")</f>
        <v/>
      </c>
      <c r="AC211" s="43" t="str">
        <f>IF(AND(Y211="已平仓",ISNUMBER(O211)),AA211/O211,"")</f>
        <v/>
      </c>
      <c r="AD211" s="44" t="str">
        <f>IF(AND(ISNUMBER(V211),ISNUMBER(I211)),IF(F211="空",I211-V211,V211-I211),"")</f>
        <v/>
      </c>
      <c r="AE211" s="44" t="str">
        <f>IF(OR(NOT(ISNUMBER(AA211)),NOT(ISNUMBER(X211))),"",IF(AA211&lt;0,IF(F211="空",X211-J211,J211-X211),IF(NOT(ISNUMBER(K211)),"",IF(F211="空",X211-K211,K211-X211))))</f>
        <v/>
      </c>
      <c r="AF211" s="32" t="n"/>
      <c r="AG211" s="32" t="n"/>
      <c r="AH211" s="31" t="n"/>
      <c r="AI211" s="43" t="str">
        <f>IF(A211="","",SUM(AC$5:AC211))</f>
        <v/>
      </c>
      <c r="AJ211" s="45" t="str">
        <f>IF(A211="","",MAX(0,MAX(AI$5:AI211))-AI211)</f>
        <v/>
      </c>
    </row>
    <row r="212">
      <c r="A212" s="29" t="n"/>
      <c r="B212" s="30" t="n"/>
      <c r="C212" s="31" t="n"/>
      <c r="D212" s="32" t="n"/>
      <c r="E212" s="32" t="n"/>
      <c r="F212" s="32" t="n"/>
      <c r="G212" s="32" t="n"/>
      <c r="H212" s="32" t="n"/>
      <c r="I212" s="33" t="n"/>
      <c r="J212" s="33" t="n"/>
      <c r="K212" s="33" t="n"/>
      <c r="L212" s="34" t="str">
        <f>IF(AND(ISNUMBER(I212),ISNUMBER(J212),ISNUMBER(K212)),IF(OR(AND(F212="多",I212&gt;J212),AND(F212="空",I212&lt;J212)),ABS(K212-I212)/ABS(I212-J212),"止损方向不对"),"")</f>
        <v/>
      </c>
      <c r="M212" s="35" t="str">
        <f>IF(AND(ISNUMBER(I212),ISNUMBER(J212)),IF(I212=J212,"",IF(INT(ROUND('参数'!$C$7/(ABS(I212-J212)*IF(N(G212)&gt;0,G212,1)+2*(I212*IF(N(G212)&gt;0,G212,1)*'参数'!$C$12+'参数'!$C$13+'参数'!$C$14*IF(N(G212)&gt;0,G212,1)))/IF(N(H212)&gt;0,H212,1),6))*IF(N(H212)&gt;0,H212,1)&gt;0,INT(ROUND('参数'!$C$7/(ABS(I212-J212)*IF(N(G212)&gt;0,G212,1)+2*(I212*IF(N(G212)&gt;0,G212,1)*'参数'!$C$12+'参数'!$C$13+'参数'!$C$14*IF(N(G212)&gt;0,G212,1)))/IF(N(H212)&gt;0,H212,1),6))*IF(N(H212)&gt;0,H212,1),"预算不足，这笔不做")),"")</f>
        <v/>
      </c>
      <c r="N212" s="36" t="n"/>
      <c r="O212" s="20" t="str">
        <f>IF(AND(ISNUMBER(I212),ISNUMBER(J212),ISNUMBER(N212)),IF(AND(I212&lt;&gt;J212,N212&gt;0),ABS(I212-J212)*N212*IF(N(G212)&gt;0,G212,1),""),"")</f>
        <v/>
      </c>
      <c r="P212" s="31" t="n"/>
      <c r="Q212" s="32" t="n"/>
      <c r="R212" s="37" t="str">
        <f>IF(N(U212)&gt;0,SUMPRODUCT(LARGE(('成交明细'!$A$5:$A$804=A212)*('成交明细'!$D$5:$D$804=IF(F212="空","卖","买"))*'成交明细'!$B$5:$B$804,COUNTIFS('成交明细'!$A$5:$A$804,A212,'成交明细'!$D$5:$D$804,IF(F212="空","卖","买")))),"")</f>
        <v/>
      </c>
      <c r="S212" s="37" t="str">
        <f>IF(AND(N(U212)&gt;0,N(W212)&gt;=N(U212)),SUMPRODUCT(MAX(('成交明细'!$A$5:$A$804=A212)*('成交明细'!$D$5:$D$804=IF(F212="空","买","卖"))*'成交明细'!$B$5:$B$804)),"")</f>
        <v/>
      </c>
      <c r="T212" s="38" t="str">
        <f>IF(N(U212)=0,"",IF(SUMPRODUCT(('成交明细'!$A$5:$A$804=A212)*('成交明细'!$D$5:$D$804=IF(F212="空","卖","买"))*ISNUMBER('成交明细'!$C$5:$C$804))=0,"没填时间",IFERROR(VLOOKUP(MOD(SUMPRODUCT(LARGE(('成交明细'!$A$5:$A$804=A212)*('成交明细'!$D$5:$D$804=IF(F212="空","卖","买"))*('成交明细'!$B$5:$B$804+'成交明细'!$C$5:$C$804),COUNTIFS('成交明细'!$A$5:$A$804,A212,'成交明细'!$D$5:$D$804,IF(F212="空","卖","买")))),1),'参数'!$B$39:$C$48,2,TRUE),"")))</f>
        <v/>
      </c>
      <c r="U212" s="35" t="str">
        <f>IF(A212="","",SUMIFS('成交明细'!$F$5:$F$804,'成交明细'!$A$5:$A$804,A212,'成交明细'!$D$5:$D$804,IF(F212="空","卖","买")))</f>
        <v/>
      </c>
      <c r="V212" s="39" t="str">
        <f>IF(N(U212)&gt;0,SUMIFS('成交明细'!$H$5:$H$804,'成交明细'!$A$5:$A$804,A212,'成交明细'!$D$5:$D$804,IF(F212="空","卖","买"))/U212,"")</f>
        <v/>
      </c>
      <c r="W212" s="35" t="str">
        <f>IF(A212="","",SUMIFS('成交明细'!$F$5:$F$804,'成交明细'!$A$5:$A$804,A212,'成交明细'!$D$5:$D$804,IF(F212="空","买","卖")))</f>
        <v/>
      </c>
      <c r="X212" s="39" t="str">
        <f>IF(N(W212)&gt;0,SUMIFS('成交明细'!$H$5:$H$804,'成交明细'!$A$5:$A$804,A212,'成交明细'!$D$5:$D$804,IF(F212="空","买","卖"))/W212,"")</f>
        <v/>
      </c>
      <c r="Y212" s="40" t="str">
        <f>IF(A212="","",IF(Q212&lt;&gt;"已执行",IF(Q212="","未填执行情况",Q212),IF(N(U212)=0,"待录成交",IF(N(W212)&gt;N(U212),"平仓多于开仓",IF(N(W212)&lt;N(U212),"持仓中","已平仓")))))</f>
        <v/>
      </c>
      <c r="Z212" s="41" t="str">
        <f>IF(N(U212)=0,"",SUMIFS('成交明细'!$L$5:$L$804,'成交明细'!$A$5:$A$804,A212))</f>
        <v/>
      </c>
      <c r="AA212" s="42" t="str">
        <f>IF(Y212&lt;&gt;"已平仓","",(SUMIFS('成交明细'!$H$5:$H$804,'成交明细'!$A$5:$A$804,A212,'成交明细'!$D$5:$D$804,"卖")-SUMIFS('成交明细'!$H$5:$H$804,'成交明细'!$A$5:$A$804,A212,'成交明细'!$D$5:$D$804,"买"))*IF(N(G212)&gt;0,G212,1)-Z212)</f>
        <v/>
      </c>
      <c r="AB212" s="43" t="str">
        <f>IF(AND(Y212="已平仓",ISNUMBER(O212)),(SUMIFS('成交明细'!$H$5:$H$804,'成交明细'!$A$5:$A$804,A212,'成交明细'!$D$5:$D$804,"卖")-SUMIFS('成交明细'!$H$5:$H$804,'成交明细'!$A$5:$A$804,A212,'成交明细'!$D$5:$D$804,"买"))*IF(N(G212)&gt;0,G212,1)/O212,"")</f>
        <v/>
      </c>
      <c r="AC212" s="43" t="str">
        <f>IF(AND(Y212="已平仓",ISNUMBER(O212)),AA212/O212,"")</f>
        <v/>
      </c>
      <c r="AD212" s="44" t="str">
        <f>IF(AND(ISNUMBER(V212),ISNUMBER(I212)),IF(F212="空",I212-V212,V212-I212),"")</f>
        <v/>
      </c>
      <c r="AE212" s="44" t="str">
        <f>IF(OR(NOT(ISNUMBER(AA212)),NOT(ISNUMBER(X212))),"",IF(AA212&lt;0,IF(F212="空",X212-J212,J212-X212),IF(NOT(ISNUMBER(K212)),"",IF(F212="空",X212-K212,K212-X212))))</f>
        <v/>
      </c>
      <c r="AF212" s="32" t="n"/>
      <c r="AG212" s="32" t="n"/>
      <c r="AH212" s="31" t="n"/>
      <c r="AI212" s="43" t="str">
        <f>IF(A212="","",SUM(AC$5:AC212))</f>
        <v/>
      </c>
      <c r="AJ212" s="45" t="str">
        <f>IF(A212="","",MAX(0,MAX(AI$5:AI212))-AI212)</f>
        <v/>
      </c>
    </row>
    <row r="213">
      <c r="A213" s="29" t="n"/>
      <c r="B213" s="30" t="n"/>
      <c r="C213" s="31" t="n"/>
      <c r="D213" s="32" t="n"/>
      <c r="E213" s="32" t="n"/>
      <c r="F213" s="32" t="n"/>
      <c r="G213" s="32" t="n"/>
      <c r="H213" s="32" t="n"/>
      <c r="I213" s="33" t="n"/>
      <c r="J213" s="33" t="n"/>
      <c r="K213" s="33" t="n"/>
      <c r="L213" s="34" t="str">
        <f>IF(AND(ISNUMBER(I213),ISNUMBER(J213),ISNUMBER(K213)),IF(OR(AND(F213="多",I213&gt;J213),AND(F213="空",I213&lt;J213)),ABS(K213-I213)/ABS(I213-J213),"止损方向不对"),"")</f>
        <v/>
      </c>
      <c r="M213" s="35" t="str">
        <f>IF(AND(ISNUMBER(I213),ISNUMBER(J213)),IF(I213=J213,"",IF(INT(ROUND('参数'!$C$7/(ABS(I213-J213)*IF(N(G213)&gt;0,G213,1)+2*(I213*IF(N(G213)&gt;0,G213,1)*'参数'!$C$12+'参数'!$C$13+'参数'!$C$14*IF(N(G213)&gt;0,G213,1)))/IF(N(H213)&gt;0,H213,1),6))*IF(N(H213)&gt;0,H213,1)&gt;0,INT(ROUND('参数'!$C$7/(ABS(I213-J213)*IF(N(G213)&gt;0,G213,1)+2*(I213*IF(N(G213)&gt;0,G213,1)*'参数'!$C$12+'参数'!$C$13+'参数'!$C$14*IF(N(G213)&gt;0,G213,1)))/IF(N(H213)&gt;0,H213,1),6))*IF(N(H213)&gt;0,H213,1),"预算不足，这笔不做")),"")</f>
        <v/>
      </c>
      <c r="N213" s="36" t="n"/>
      <c r="O213" s="20" t="str">
        <f>IF(AND(ISNUMBER(I213),ISNUMBER(J213),ISNUMBER(N213)),IF(AND(I213&lt;&gt;J213,N213&gt;0),ABS(I213-J213)*N213*IF(N(G213)&gt;0,G213,1),""),"")</f>
        <v/>
      </c>
      <c r="P213" s="31" t="n"/>
      <c r="Q213" s="32" t="n"/>
      <c r="R213" s="37" t="str">
        <f>IF(N(U213)&gt;0,SUMPRODUCT(LARGE(('成交明细'!$A$5:$A$804=A213)*('成交明细'!$D$5:$D$804=IF(F213="空","卖","买"))*'成交明细'!$B$5:$B$804,COUNTIFS('成交明细'!$A$5:$A$804,A213,'成交明细'!$D$5:$D$804,IF(F213="空","卖","买")))),"")</f>
        <v/>
      </c>
      <c r="S213" s="37" t="str">
        <f>IF(AND(N(U213)&gt;0,N(W213)&gt;=N(U213)),SUMPRODUCT(MAX(('成交明细'!$A$5:$A$804=A213)*('成交明细'!$D$5:$D$804=IF(F213="空","买","卖"))*'成交明细'!$B$5:$B$804)),"")</f>
        <v/>
      </c>
      <c r="T213" s="38" t="str">
        <f>IF(N(U213)=0,"",IF(SUMPRODUCT(('成交明细'!$A$5:$A$804=A213)*('成交明细'!$D$5:$D$804=IF(F213="空","卖","买"))*ISNUMBER('成交明细'!$C$5:$C$804))=0,"没填时间",IFERROR(VLOOKUP(MOD(SUMPRODUCT(LARGE(('成交明细'!$A$5:$A$804=A213)*('成交明细'!$D$5:$D$804=IF(F213="空","卖","买"))*('成交明细'!$B$5:$B$804+'成交明细'!$C$5:$C$804),COUNTIFS('成交明细'!$A$5:$A$804,A213,'成交明细'!$D$5:$D$804,IF(F213="空","卖","买")))),1),'参数'!$B$39:$C$48,2,TRUE),"")))</f>
        <v/>
      </c>
      <c r="U213" s="35" t="str">
        <f>IF(A213="","",SUMIFS('成交明细'!$F$5:$F$804,'成交明细'!$A$5:$A$804,A213,'成交明细'!$D$5:$D$804,IF(F213="空","卖","买")))</f>
        <v/>
      </c>
      <c r="V213" s="39" t="str">
        <f>IF(N(U213)&gt;0,SUMIFS('成交明细'!$H$5:$H$804,'成交明细'!$A$5:$A$804,A213,'成交明细'!$D$5:$D$804,IF(F213="空","卖","买"))/U213,"")</f>
        <v/>
      </c>
      <c r="W213" s="35" t="str">
        <f>IF(A213="","",SUMIFS('成交明细'!$F$5:$F$804,'成交明细'!$A$5:$A$804,A213,'成交明细'!$D$5:$D$804,IF(F213="空","买","卖")))</f>
        <v/>
      </c>
      <c r="X213" s="39" t="str">
        <f>IF(N(W213)&gt;0,SUMIFS('成交明细'!$H$5:$H$804,'成交明细'!$A$5:$A$804,A213,'成交明细'!$D$5:$D$804,IF(F213="空","买","卖"))/W213,"")</f>
        <v/>
      </c>
      <c r="Y213" s="40" t="str">
        <f>IF(A213="","",IF(Q213&lt;&gt;"已执行",IF(Q213="","未填执行情况",Q213),IF(N(U213)=0,"待录成交",IF(N(W213)&gt;N(U213),"平仓多于开仓",IF(N(W213)&lt;N(U213),"持仓中","已平仓")))))</f>
        <v/>
      </c>
      <c r="Z213" s="41" t="str">
        <f>IF(N(U213)=0,"",SUMIFS('成交明细'!$L$5:$L$804,'成交明细'!$A$5:$A$804,A213))</f>
        <v/>
      </c>
      <c r="AA213" s="42" t="str">
        <f>IF(Y213&lt;&gt;"已平仓","",(SUMIFS('成交明细'!$H$5:$H$804,'成交明细'!$A$5:$A$804,A213,'成交明细'!$D$5:$D$804,"卖")-SUMIFS('成交明细'!$H$5:$H$804,'成交明细'!$A$5:$A$804,A213,'成交明细'!$D$5:$D$804,"买"))*IF(N(G213)&gt;0,G213,1)-Z213)</f>
        <v/>
      </c>
      <c r="AB213" s="43" t="str">
        <f>IF(AND(Y213="已平仓",ISNUMBER(O213)),(SUMIFS('成交明细'!$H$5:$H$804,'成交明细'!$A$5:$A$804,A213,'成交明细'!$D$5:$D$804,"卖")-SUMIFS('成交明细'!$H$5:$H$804,'成交明细'!$A$5:$A$804,A213,'成交明细'!$D$5:$D$804,"买"))*IF(N(G213)&gt;0,G213,1)/O213,"")</f>
        <v/>
      </c>
      <c r="AC213" s="43" t="str">
        <f>IF(AND(Y213="已平仓",ISNUMBER(O213)),AA213/O213,"")</f>
        <v/>
      </c>
      <c r="AD213" s="44" t="str">
        <f>IF(AND(ISNUMBER(V213),ISNUMBER(I213)),IF(F213="空",I213-V213,V213-I213),"")</f>
        <v/>
      </c>
      <c r="AE213" s="44" t="str">
        <f>IF(OR(NOT(ISNUMBER(AA213)),NOT(ISNUMBER(X213))),"",IF(AA213&lt;0,IF(F213="空",X213-J213,J213-X213),IF(NOT(ISNUMBER(K213)),"",IF(F213="空",X213-K213,K213-X213))))</f>
        <v/>
      </c>
      <c r="AF213" s="32" t="n"/>
      <c r="AG213" s="32" t="n"/>
      <c r="AH213" s="31" t="n"/>
      <c r="AI213" s="43" t="str">
        <f>IF(A213="","",SUM(AC$5:AC213))</f>
        <v/>
      </c>
      <c r="AJ213" s="45" t="str">
        <f>IF(A213="","",MAX(0,MAX(AI$5:AI213))-AI213)</f>
        <v/>
      </c>
    </row>
    <row r="214">
      <c r="A214" s="29" t="n"/>
      <c r="B214" s="30" t="n"/>
      <c r="C214" s="31" t="n"/>
      <c r="D214" s="32" t="n"/>
      <c r="E214" s="32" t="n"/>
      <c r="F214" s="32" t="n"/>
      <c r="G214" s="32" t="n"/>
      <c r="H214" s="32" t="n"/>
      <c r="I214" s="33" t="n"/>
      <c r="J214" s="33" t="n"/>
      <c r="K214" s="33" t="n"/>
      <c r="L214" s="34" t="str">
        <f>IF(AND(ISNUMBER(I214),ISNUMBER(J214),ISNUMBER(K214)),IF(OR(AND(F214="多",I214&gt;J214),AND(F214="空",I214&lt;J214)),ABS(K214-I214)/ABS(I214-J214),"止损方向不对"),"")</f>
        <v/>
      </c>
      <c r="M214" s="35" t="str">
        <f>IF(AND(ISNUMBER(I214),ISNUMBER(J214)),IF(I214=J214,"",IF(INT(ROUND('参数'!$C$7/(ABS(I214-J214)*IF(N(G214)&gt;0,G214,1)+2*(I214*IF(N(G214)&gt;0,G214,1)*'参数'!$C$12+'参数'!$C$13+'参数'!$C$14*IF(N(G214)&gt;0,G214,1)))/IF(N(H214)&gt;0,H214,1),6))*IF(N(H214)&gt;0,H214,1)&gt;0,INT(ROUND('参数'!$C$7/(ABS(I214-J214)*IF(N(G214)&gt;0,G214,1)+2*(I214*IF(N(G214)&gt;0,G214,1)*'参数'!$C$12+'参数'!$C$13+'参数'!$C$14*IF(N(G214)&gt;0,G214,1)))/IF(N(H214)&gt;0,H214,1),6))*IF(N(H214)&gt;0,H214,1),"预算不足，这笔不做")),"")</f>
        <v/>
      </c>
      <c r="N214" s="36" t="n"/>
      <c r="O214" s="20" t="str">
        <f>IF(AND(ISNUMBER(I214),ISNUMBER(J214),ISNUMBER(N214)),IF(AND(I214&lt;&gt;J214,N214&gt;0),ABS(I214-J214)*N214*IF(N(G214)&gt;0,G214,1),""),"")</f>
        <v/>
      </c>
      <c r="P214" s="31" t="n"/>
      <c r="Q214" s="32" t="n"/>
      <c r="R214" s="37" t="str">
        <f>IF(N(U214)&gt;0,SUMPRODUCT(LARGE(('成交明细'!$A$5:$A$804=A214)*('成交明细'!$D$5:$D$804=IF(F214="空","卖","买"))*'成交明细'!$B$5:$B$804,COUNTIFS('成交明细'!$A$5:$A$804,A214,'成交明细'!$D$5:$D$804,IF(F214="空","卖","买")))),"")</f>
        <v/>
      </c>
      <c r="S214" s="37" t="str">
        <f>IF(AND(N(U214)&gt;0,N(W214)&gt;=N(U214)),SUMPRODUCT(MAX(('成交明细'!$A$5:$A$804=A214)*('成交明细'!$D$5:$D$804=IF(F214="空","买","卖"))*'成交明细'!$B$5:$B$804)),"")</f>
        <v/>
      </c>
      <c r="T214" s="38" t="str">
        <f>IF(N(U214)=0,"",IF(SUMPRODUCT(('成交明细'!$A$5:$A$804=A214)*('成交明细'!$D$5:$D$804=IF(F214="空","卖","买"))*ISNUMBER('成交明细'!$C$5:$C$804))=0,"没填时间",IFERROR(VLOOKUP(MOD(SUMPRODUCT(LARGE(('成交明细'!$A$5:$A$804=A214)*('成交明细'!$D$5:$D$804=IF(F214="空","卖","买"))*('成交明细'!$B$5:$B$804+'成交明细'!$C$5:$C$804),COUNTIFS('成交明细'!$A$5:$A$804,A214,'成交明细'!$D$5:$D$804,IF(F214="空","卖","买")))),1),'参数'!$B$39:$C$48,2,TRUE),"")))</f>
        <v/>
      </c>
      <c r="U214" s="35" t="str">
        <f>IF(A214="","",SUMIFS('成交明细'!$F$5:$F$804,'成交明细'!$A$5:$A$804,A214,'成交明细'!$D$5:$D$804,IF(F214="空","卖","买")))</f>
        <v/>
      </c>
      <c r="V214" s="39" t="str">
        <f>IF(N(U214)&gt;0,SUMIFS('成交明细'!$H$5:$H$804,'成交明细'!$A$5:$A$804,A214,'成交明细'!$D$5:$D$804,IF(F214="空","卖","买"))/U214,"")</f>
        <v/>
      </c>
      <c r="W214" s="35" t="str">
        <f>IF(A214="","",SUMIFS('成交明细'!$F$5:$F$804,'成交明细'!$A$5:$A$804,A214,'成交明细'!$D$5:$D$804,IF(F214="空","买","卖")))</f>
        <v/>
      </c>
      <c r="X214" s="39" t="str">
        <f>IF(N(W214)&gt;0,SUMIFS('成交明细'!$H$5:$H$804,'成交明细'!$A$5:$A$804,A214,'成交明细'!$D$5:$D$804,IF(F214="空","买","卖"))/W214,"")</f>
        <v/>
      </c>
      <c r="Y214" s="40" t="str">
        <f>IF(A214="","",IF(Q214&lt;&gt;"已执行",IF(Q214="","未填执行情况",Q214),IF(N(U214)=0,"待录成交",IF(N(W214)&gt;N(U214),"平仓多于开仓",IF(N(W214)&lt;N(U214),"持仓中","已平仓")))))</f>
        <v/>
      </c>
      <c r="Z214" s="41" t="str">
        <f>IF(N(U214)=0,"",SUMIFS('成交明细'!$L$5:$L$804,'成交明细'!$A$5:$A$804,A214))</f>
        <v/>
      </c>
      <c r="AA214" s="42" t="str">
        <f>IF(Y214&lt;&gt;"已平仓","",(SUMIFS('成交明细'!$H$5:$H$804,'成交明细'!$A$5:$A$804,A214,'成交明细'!$D$5:$D$804,"卖")-SUMIFS('成交明细'!$H$5:$H$804,'成交明细'!$A$5:$A$804,A214,'成交明细'!$D$5:$D$804,"买"))*IF(N(G214)&gt;0,G214,1)-Z214)</f>
        <v/>
      </c>
      <c r="AB214" s="43" t="str">
        <f>IF(AND(Y214="已平仓",ISNUMBER(O214)),(SUMIFS('成交明细'!$H$5:$H$804,'成交明细'!$A$5:$A$804,A214,'成交明细'!$D$5:$D$804,"卖")-SUMIFS('成交明细'!$H$5:$H$804,'成交明细'!$A$5:$A$804,A214,'成交明细'!$D$5:$D$804,"买"))*IF(N(G214)&gt;0,G214,1)/O214,"")</f>
        <v/>
      </c>
      <c r="AC214" s="43" t="str">
        <f>IF(AND(Y214="已平仓",ISNUMBER(O214)),AA214/O214,"")</f>
        <v/>
      </c>
      <c r="AD214" s="44" t="str">
        <f>IF(AND(ISNUMBER(V214),ISNUMBER(I214)),IF(F214="空",I214-V214,V214-I214),"")</f>
        <v/>
      </c>
      <c r="AE214" s="44" t="str">
        <f>IF(OR(NOT(ISNUMBER(AA214)),NOT(ISNUMBER(X214))),"",IF(AA214&lt;0,IF(F214="空",X214-J214,J214-X214),IF(NOT(ISNUMBER(K214)),"",IF(F214="空",X214-K214,K214-X214))))</f>
        <v/>
      </c>
      <c r="AF214" s="32" t="n"/>
      <c r="AG214" s="32" t="n"/>
      <c r="AH214" s="31" t="n"/>
      <c r="AI214" s="43" t="str">
        <f>IF(A214="","",SUM(AC$5:AC214))</f>
        <v/>
      </c>
      <c r="AJ214" s="45" t="str">
        <f>IF(A214="","",MAX(0,MAX(AI$5:AI214))-AI214)</f>
        <v/>
      </c>
    </row>
    <row r="215">
      <c r="A215" s="29" t="n"/>
      <c r="B215" s="30" t="n"/>
      <c r="C215" s="31" t="n"/>
      <c r="D215" s="32" t="n"/>
      <c r="E215" s="32" t="n"/>
      <c r="F215" s="32" t="n"/>
      <c r="G215" s="32" t="n"/>
      <c r="H215" s="32" t="n"/>
      <c r="I215" s="33" t="n"/>
      <c r="J215" s="33" t="n"/>
      <c r="K215" s="33" t="n"/>
      <c r="L215" s="34" t="str">
        <f>IF(AND(ISNUMBER(I215),ISNUMBER(J215),ISNUMBER(K215)),IF(OR(AND(F215="多",I215&gt;J215),AND(F215="空",I215&lt;J215)),ABS(K215-I215)/ABS(I215-J215),"止损方向不对"),"")</f>
        <v/>
      </c>
      <c r="M215" s="35" t="str">
        <f>IF(AND(ISNUMBER(I215),ISNUMBER(J215)),IF(I215=J215,"",IF(INT(ROUND('参数'!$C$7/(ABS(I215-J215)*IF(N(G215)&gt;0,G215,1)+2*(I215*IF(N(G215)&gt;0,G215,1)*'参数'!$C$12+'参数'!$C$13+'参数'!$C$14*IF(N(G215)&gt;0,G215,1)))/IF(N(H215)&gt;0,H215,1),6))*IF(N(H215)&gt;0,H215,1)&gt;0,INT(ROUND('参数'!$C$7/(ABS(I215-J215)*IF(N(G215)&gt;0,G215,1)+2*(I215*IF(N(G215)&gt;0,G215,1)*'参数'!$C$12+'参数'!$C$13+'参数'!$C$14*IF(N(G215)&gt;0,G215,1)))/IF(N(H215)&gt;0,H215,1),6))*IF(N(H215)&gt;0,H215,1),"预算不足，这笔不做")),"")</f>
        <v/>
      </c>
      <c r="N215" s="36" t="n"/>
      <c r="O215" s="20" t="str">
        <f>IF(AND(ISNUMBER(I215),ISNUMBER(J215),ISNUMBER(N215)),IF(AND(I215&lt;&gt;J215,N215&gt;0),ABS(I215-J215)*N215*IF(N(G215)&gt;0,G215,1),""),"")</f>
        <v/>
      </c>
      <c r="P215" s="31" t="n"/>
      <c r="Q215" s="32" t="n"/>
      <c r="R215" s="37" t="str">
        <f>IF(N(U215)&gt;0,SUMPRODUCT(LARGE(('成交明细'!$A$5:$A$804=A215)*('成交明细'!$D$5:$D$804=IF(F215="空","卖","买"))*'成交明细'!$B$5:$B$804,COUNTIFS('成交明细'!$A$5:$A$804,A215,'成交明细'!$D$5:$D$804,IF(F215="空","卖","买")))),"")</f>
        <v/>
      </c>
      <c r="S215" s="37" t="str">
        <f>IF(AND(N(U215)&gt;0,N(W215)&gt;=N(U215)),SUMPRODUCT(MAX(('成交明细'!$A$5:$A$804=A215)*('成交明细'!$D$5:$D$804=IF(F215="空","买","卖"))*'成交明细'!$B$5:$B$804)),"")</f>
        <v/>
      </c>
      <c r="T215" s="38" t="str">
        <f>IF(N(U215)=0,"",IF(SUMPRODUCT(('成交明细'!$A$5:$A$804=A215)*('成交明细'!$D$5:$D$804=IF(F215="空","卖","买"))*ISNUMBER('成交明细'!$C$5:$C$804))=0,"没填时间",IFERROR(VLOOKUP(MOD(SUMPRODUCT(LARGE(('成交明细'!$A$5:$A$804=A215)*('成交明细'!$D$5:$D$804=IF(F215="空","卖","买"))*('成交明细'!$B$5:$B$804+'成交明细'!$C$5:$C$804),COUNTIFS('成交明细'!$A$5:$A$804,A215,'成交明细'!$D$5:$D$804,IF(F215="空","卖","买")))),1),'参数'!$B$39:$C$48,2,TRUE),"")))</f>
        <v/>
      </c>
      <c r="U215" s="35" t="str">
        <f>IF(A215="","",SUMIFS('成交明细'!$F$5:$F$804,'成交明细'!$A$5:$A$804,A215,'成交明细'!$D$5:$D$804,IF(F215="空","卖","买")))</f>
        <v/>
      </c>
      <c r="V215" s="39" t="str">
        <f>IF(N(U215)&gt;0,SUMIFS('成交明细'!$H$5:$H$804,'成交明细'!$A$5:$A$804,A215,'成交明细'!$D$5:$D$804,IF(F215="空","卖","买"))/U215,"")</f>
        <v/>
      </c>
      <c r="W215" s="35" t="str">
        <f>IF(A215="","",SUMIFS('成交明细'!$F$5:$F$804,'成交明细'!$A$5:$A$804,A215,'成交明细'!$D$5:$D$804,IF(F215="空","买","卖")))</f>
        <v/>
      </c>
      <c r="X215" s="39" t="str">
        <f>IF(N(W215)&gt;0,SUMIFS('成交明细'!$H$5:$H$804,'成交明细'!$A$5:$A$804,A215,'成交明细'!$D$5:$D$804,IF(F215="空","买","卖"))/W215,"")</f>
        <v/>
      </c>
      <c r="Y215" s="40" t="str">
        <f>IF(A215="","",IF(Q215&lt;&gt;"已执行",IF(Q215="","未填执行情况",Q215),IF(N(U215)=0,"待录成交",IF(N(W215)&gt;N(U215),"平仓多于开仓",IF(N(W215)&lt;N(U215),"持仓中","已平仓")))))</f>
        <v/>
      </c>
      <c r="Z215" s="41" t="str">
        <f>IF(N(U215)=0,"",SUMIFS('成交明细'!$L$5:$L$804,'成交明细'!$A$5:$A$804,A215))</f>
        <v/>
      </c>
      <c r="AA215" s="42" t="str">
        <f>IF(Y215&lt;&gt;"已平仓","",(SUMIFS('成交明细'!$H$5:$H$804,'成交明细'!$A$5:$A$804,A215,'成交明细'!$D$5:$D$804,"卖")-SUMIFS('成交明细'!$H$5:$H$804,'成交明细'!$A$5:$A$804,A215,'成交明细'!$D$5:$D$804,"买"))*IF(N(G215)&gt;0,G215,1)-Z215)</f>
        <v/>
      </c>
      <c r="AB215" s="43" t="str">
        <f>IF(AND(Y215="已平仓",ISNUMBER(O215)),(SUMIFS('成交明细'!$H$5:$H$804,'成交明细'!$A$5:$A$804,A215,'成交明细'!$D$5:$D$804,"卖")-SUMIFS('成交明细'!$H$5:$H$804,'成交明细'!$A$5:$A$804,A215,'成交明细'!$D$5:$D$804,"买"))*IF(N(G215)&gt;0,G215,1)/O215,"")</f>
        <v/>
      </c>
      <c r="AC215" s="43" t="str">
        <f>IF(AND(Y215="已平仓",ISNUMBER(O215)),AA215/O215,"")</f>
        <v/>
      </c>
      <c r="AD215" s="44" t="str">
        <f>IF(AND(ISNUMBER(V215),ISNUMBER(I215)),IF(F215="空",I215-V215,V215-I215),"")</f>
        <v/>
      </c>
      <c r="AE215" s="44" t="str">
        <f>IF(OR(NOT(ISNUMBER(AA215)),NOT(ISNUMBER(X215))),"",IF(AA215&lt;0,IF(F215="空",X215-J215,J215-X215),IF(NOT(ISNUMBER(K215)),"",IF(F215="空",X215-K215,K215-X215))))</f>
        <v/>
      </c>
      <c r="AF215" s="32" t="n"/>
      <c r="AG215" s="32" t="n"/>
      <c r="AH215" s="31" t="n"/>
      <c r="AI215" s="43" t="str">
        <f>IF(A215="","",SUM(AC$5:AC215))</f>
        <v/>
      </c>
      <c r="AJ215" s="45" t="str">
        <f>IF(A215="","",MAX(0,MAX(AI$5:AI215))-AI215)</f>
        <v/>
      </c>
    </row>
    <row r="216">
      <c r="A216" s="29" t="n"/>
      <c r="B216" s="30" t="n"/>
      <c r="C216" s="31" t="n"/>
      <c r="D216" s="32" t="n"/>
      <c r="E216" s="32" t="n"/>
      <c r="F216" s="32" t="n"/>
      <c r="G216" s="32" t="n"/>
      <c r="H216" s="32" t="n"/>
      <c r="I216" s="33" t="n"/>
      <c r="J216" s="33" t="n"/>
      <c r="K216" s="33" t="n"/>
      <c r="L216" s="34" t="str">
        <f>IF(AND(ISNUMBER(I216),ISNUMBER(J216),ISNUMBER(K216)),IF(OR(AND(F216="多",I216&gt;J216),AND(F216="空",I216&lt;J216)),ABS(K216-I216)/ABS(I216-J216),"止损方向不对"),"")</f>
        <v/>
      </c>
      <c r="M216" s="35" t="str">
        <f>IF(AND(ISNUMBER(I216),ISNUMBER(J216)),IF(I216=J216,"",IF(INT(ROUND('参数'!$C$7/(ABS(I216-J216)*IF(N(G216)&gt;0,G216,1)+2*(I216*IF(N(G216)&gt;0,G216,1)*'参数'!$C$12+'参数'!$C$13+'参数'!$C$14*IF(N(G216)&gt;0,G216,1)))/IF(N(H216)&gt;0,H216,1),6))*IF(N(H216)&gt;0,H216,1)&gt;0,INT(ROUND('参数'!$C$7/(ABS(I216-J216)*IF(N(G216)&gt;0,G216,1)+2*(I216*IF(N(G216)&gt;0,G216,1)*'参数'!$C$12+'参数'!$C$13+'参数'!$C$14*IF(N(G216)&gt;0,G216,1)))/IF(N(H216)&gt;0,H216,1),6))*IF(N(H216)&gt;0,H216,1),"预算不足，这笔不做")),"")</f>
        <v/>
      </c>
      <c r="N216" s="36" t="n"/>
      <c r="O216" s="20" t="str">
        <f>IF(AND(ISNUMBER(I216),ISNUMBER(J216),ISNUMBER(N216)),IF(AND(I216&lt;&gt;J216,N216&gt;0),ABS(I216-J216)*N216*IF(N(G216)&gt;0,G216,1),""),"")</f>
        <v/>
      </c>
      <c r="P216" s="31" t="n"/>
      <c r="Q216" s="32" t="n"/>
      <c r="R216" s="37" t="str">
        <f>IF(N(U216)&gt;0,SUMPRODUCT(LARGE(('成交明细'!$A$5:$A$804=A216)*('成交明细'!$D$5:$D$804=IF(F216="空","卖","买"))*'成交明细'!$B$5:$B$804,COUNTIFS('成交明细'!$A$5:$A$804,A216,'成交明细'!$D$5:$D$804,IF(F216="空","卖","买")))),"")</f>
        <v/>
      </c>
      <c r="S216" s="37" t="str">
        <f>IF(AND(N(U216)&gt;0,N(W216)&gt;=N(U216)),SUMPRODUCT(MAX(('成交明细'!$A$5:$A$804=A216)*('成交明细'!$D$5:$D$804=IF(F216="空","买","卖"))*'成交明细'!$B$5:$B$804)),"")</f>
        <v/>
      </c>
      <c r="T216" s="38" t="str">
        <f>IF(N(U216)=0,"",IF(SUMPRODUCT(('成交明细'!$A$5:$A$804=A216)*('成交明细'!$D$5:$D$804=IF(F216="空","卖","买"))*ISNUMBER('成交明细'!$C$5:$C$804))=0,"没填时间",IFERROR(VLOOKUP(MOD(SUMPRODUCT(LARGE(('成交明细'!$A$5:$A$804=A216)*('成交明细'!$D$5:$D$804=IF(F216="空","卖","买"))*('成交明细'!$B$5:$B$804+'成交明细'!$C$5:$C$804),COUNTIFS('成交明细'!$A$5:$A$804,A216,'成交明细'!$D$5:$D$804,IF(F216="空","卖","买")))),1),'参数'!$B$39:$C$48,2,TRUE),"")))</f>
        <v/>
      </c>
      <c r="U216" s="35" t="str">
        <f>IF(A216="","",SUMIFS('成交明细'!$F$5:$F$804,'成交明细'!$A$5:$A$804,A216,'成交明细'!$D$5:$D$804,IF(F216="空","卖","买")))</f>
        <v/>
      </c>
      <c r="V216" s="39" t="str">
        <f>IF(N(U216)&gt;0,SUMIFS('成交明细'!$H$5:$H$804,'成交明细'!$A$5:$A$804,A216,'成交明细'!$D$5:$D$804,IF(F216="空","卖","买"))/U216,"")</f>
        <v/>
      </c>
      <c r="W216" s="35" t="str">
        <f>IF(A216="","",SUMIFS('成交明细'!$F$5:$F$804,'成交明细'!$A$5:$A$804,A216,'成交明细'!$D$5:$D$804,IF(F216="空","买","卖")))</f>
        <v/>
      </c>
      <c r="X216" s="39" t="str">
        <f>IF(N(W216)&gt;0,SUMIFS('成交明细'!$H$5:$H$804,'成交明细'!$A$5:$A$804,A216,'成交明细'!$D$5:$D$804,IF(F216="空","买","卖"))/W216,"")</f>
        <v/>
      </c>
      <c r="Y216" s="40" t="str">
        <f>IF(A216="","",IF(Q216&lt;&gt;"已执行",IF(Q216="","未填执行情况",Q216),IF(N(U216)=0,"待录成交",IF(N(W216)&gt;N(U216),"平仓多于开仓",IF(N(W216)&lt;N(U216),"持仓中","已平仓")))))</f>
        <v/>
      </c>
      <c r="Z216" s="41" t="str">
        <f>IF(N(U216)=0,"",SUMIFS('成交明细'!$L$5:$L$804,'成交明细'!$A$5:$A$804,A216))</f>
        <v/>
      </c>
      <c r="AA216" s="42" t="str">
        <f>IF(Y216&lt;&gt;"已平仓","",(SUMIFS('成交明细'!$H$5:$H$804,'成交明细'!$A$5:$A$804,A216,'成交明细'!$D$5:$D$804,"卖")-SUMIFS('成交明细'!$H$5:$H$804,'成交明细'!$A$5:$A$804,A216,'成交明细'!$D$5:$D$804,"买"))*IF(N(G216)&gt;0,G216,1)-Z216)</f>
        <v/>
      </c>
      <c r="AB216" s="43" t="str">
        <f>IF(AND(Y216="已平仓",ISNUMBER(O216)),(SUMIFS('成交明细'!$H$5:$H$804,'成交明细'!$A$5:$A$804,A216,'成交明细'!$D$5:$D$804,"卖")-SUMIFS('成交明细'!$H$5:$H$804,'成交明细'!$A$5:$A$804,A216,'成交明细'!$D$5:$D$804,"买"))*IF(N(G216)&gt;0,G216,1)/O216,"")</f>
        <v/>
      </c>
      <c r="AC216" s="43" t="str">
        <f>IF(AND(Y216="已平仓",ISNUMBER(O216)),AA216/O216,"")</f>
        <v/>
      </c>
      <c r="AD216" s="44" t="str">
        <f>IF(AND(ISNUMBER(V216),ISNUMBER(I216)),IF(F216="空",I216-V216,V216-I216),"")</f>
        <v/>
      </c>
      <c r="AE216" s="44" t="str">
        <f>IF(OR(NOT(ISNUMBER(AA216)),NOT(ISNUMBER(X216))),"",IF(AA216&lt;0,IF(F216="空",X216-J216,J216-X216),IF(NOT(ISNUMBER(K216)),"",IF(F216="空",X216-K216,K216-X216))))</f>
        <v/>
      </c>
      <c r="AF216" s="32" t="n"/>
      <c r="AG216" s="32" t="n"/>
      <c r="AH216" s="31" t="n"/>
      <c r="AI216" s="43" t="str">
        <f>IF(A216="","",SUM(AC$5:AC216))</f>
        <v/>
      </c>
      <c r="AJ216" s="45" t="str">
        <f>IF(A216="","",MAX(0,MAX(AI$5:AI216))-AI216)</f>
        <v/>
      </c>
    </row>
    <row r="217">
      <c r="A217" s="29" t="n"/>
      <c r="B217" s="30" t="n"/>
      <c r="C217" s="31" t="n"/>
      <c r="D217" s="32" t="n"/>
      <c r="E217" s="32" t="n"/>
      <c r="F217" s="32" t="n"/>
      <c r="G217" s="32" t="n"/>
      <c r="H217" s="32" t="n"/>
      <c r="I217" s="33" t="n"/>
      <c r="J217" s="33" t="n"/>
      <c r="K217" s="33" t="n"/>
      <c r="L217" s="34" t="str">
        <f>IF(AND(ISNUMBER(I217),ISNUMBER(J217),ISNUMBER(K217)),IF(OR(AND(F217="多",I217&gt;J217),AND(F217="空",I217&lt;J217)),ABS(K217-I217)/ABS(I217-J217),"止损方向不对"),"")</f>
        <v/>
      </c>
      <c r="M217" s="35" t="str">
        <f>IF(AND(ISNUMBER(I217),ISNUMBER(J217)),IF(I217=J217,"",IF(INT(ROUND('参数'!$C$7/(ABS(I217-J217)*IF(N(G217)&gt;0,G217,1)+2*(I217*IF(N(G217)&gt;0,G217,1)*'参数'!$C$12+'参数'!$C$13+'参数'!$C$14*IF(N(G217)&gt;0,G217,1)))/IF(N(H217)&gt;0,H217,1),6))*IF(N(H217)&gt;0,H217,1)&gt;0,INT(ROUND('参数'!$C$7/(ABS(I217-J217)*IF(N(G217)&gt;0,G217,1)+2*(I217*IF(N(G217)&gt;0,G217,1)*'参数'!$C$12+'参数'!$C$13+'参数'!$C$14*IF(N(G217)&gt;0,G217,1)))/IF(N(H217)&gt;0,H217,1),6))*IF(N(H217)&gt;0,H217,1),"预算不足，这笔不做")),"")</f>
        <v/>
      </c>
      <c r="N217" s="36" t="n"/>
      <c r="O217" s="20" t="str">
        <f>IF(AND(ISNUMBER(I217),ISNUMBER(J217),ISNUMBER(N217)),IF(AND(I217&lt;&gt;J217,N217&gt;0),ABS(I217-J217)*N217*IF(N(G217)&gt;0,G217,1),""),"")</f>
        <v/>
      </c>
      <c r="P217" s="31" t="n"/>
      <c r="Q217" s="32" t="n"/>
      <c r="R217" s="37" t="str">
        <f>IF(N(U217)&gt;0,SUMPRODUCT(LARGE(('成交明细'!$A$5:$A$804=A217)*('成交明细'!$D$5:$D$804=IF(F217="空","卖","买"))*'成交明细'!$B$5:$B$804,COUNTIFS('成交明细'!$A$5:$A$804,A217,'成交明细'!$D$5:$D$804,IF(F217="空","卖","买")))),"")</f>
        <v/>
      </c>
      <c r="S217" s="37" t="str">
        <f>IF(AND(N(U217)&gt;0,N(W217)&gt;=N(U217)),SUMPRODUCT(MAX(('成交明细'!$A$5:$A$804=A217)*('成交明细'!$D$5:$D$804=IF(F217="空","买","卖"))*'成交明细'!$B$5:$B$804)),"")</f>
        <v/>
      </c>
      <c r="T217" s="38" t="str">
        <f>IF(N(U217)=0,"",IF(SUMPRODUCT(('成交明细'!$A$5:$A$804=A217)*('成交明细'!$D$5:$D$804=IF(F217="空","卖","买"))*ISNUMBER('成交明细'!$C$5:$C$804))=0,"没填时间",IFERROR(VLOOKUP(MOD(SUMPRODUCT(LARGE(('成交明细'!$A$5:$A$804=A217)*('成交明细'!$D$5:$D$804=IF(F217="空","卖","买"))*('成交明细'!$B$5:$B$804+'成交明细'!$C$5:$C$804),COUNTIFS('成交明细'!$A$5:$A$804,A217,'成交明细'!$D$5:$D$804,IF(F217="空","卖","买")))),1),'参数'!$B$39:$C$48,2,TRUE),"")))</f>
        <v/>
      </c>
      <c r="U217" s="35" t="str">
        <f>IF(A217="","",SUMIFS('成交明细'!$F$5:$F$804,'成交明细'!$A$5:$A$804,A217,'成交明细'!$D$5:$D$804,IF(F217="空","卖","买")))</f>
        <v/>
      </c>
      <c r="V217" s="39" t="str">
        <f>IF(N(U217)&gt;0,SUMIFS('成交明细'!$H$5:$H$804,'成交明细'!$A$5:$A$804,A217,'成交明细'!$D$5:$D$804,IF(F217="空","卖","买"))/U217,"")</f>
        <v/>
      </c>
      <c r="W217" s="35" t="str">
        <f>IF(A217="","",SUMIFS('成交明细'!$F$5:$F$804,'成交明细'!$A$5:$A$804,A217,'成交明细'!$D$5:$D$804,IF(F217="空","买","卖")))</f>
        <v/>
      </c>
      <c r="X217" s="39" t="str">
        <f>IF(N(W217)&gt;0,SUMIFS('成交明细'!$H$5:$H$804,'成交明细'!$A$5:$A$804,A217,'成交明细'!$D$5:$D$804,IF(F217="空","买","卖"))/W217,"")</f>
        <v/>
      </c>
      <c r="Y217" s="40" t="str">
        <f>IF(A217="","",IF(Q217&lt;&gt;"已执行",IF(Q217="","未填执行情况",Q217),IF(N(U217)=0,"待录成交",IF(N(W217)&gt;N(U217),"平仓多于开仓",IF(N(W217)&lt;N(U217),"持仓中","已平仓")))))</f>
        <v/>
      </c>
      <c r="Z217" s="41" t="str">
        <f>IF(N(U217)=0,"",SUMIFS('成交明细'!$L$5:$L$804,'成交明细'!$A$5:$A$804,A217))</f>
        <v/>
      </c>
      <c r="AA217" s="42" t="str">
        <f>IF(Y217&lt;&gt;"已平仓","",(SUMIFS('成交明细'!$H$5:$H$804,'成交明细'!$A$5:$A$804,A217,'成交明细'!$D$5:$D$804,"卖")-SUMIFS('成交明细'!$H$5:$H$804,'成交明细'!$A$5:$A$804,A217,'成交明细'!$D$5:$D$804,"买"))*IF(N(G217)&gt;0,G217,1)-Z217)</f>
        <v/>
      </c>
      <c r="AB217" s="43" t="str">
        <f>IF(AND(Y217="已平仓",ISNUMBER(O217)),(SUMIFS('成交明细'!$H$5:$H$804,'成交明细'!$A$5:$A$804,A217,'成交明细'!$D$5:$D$804,"卖")-SUMIFS('成交明细'!$H$5:$H$804,'成交明细'!$A$5:$A$804,A217,'成交明细'!$D$5:$D$804,"买"))*IF(N(G217)&gt;0,G217,1)/O217,"")</f>
        <v/>
      </c>
      <c r="AC217" s="43" t="str">
        <f>IF(AND(Y217="已平仓",ISNUMBER(O217)),AA217/O217,"")</f>
        <v/>
      </c>
      <c r="AD217" s="44" t="str">
        <f>IF(AND(ISNUMBER(V217),ISNUMBER(I217)),IF(F217="空",I217-V217,V217-I217),"")</f>
        <v/>
      </c>
      <c r="AE217" s="44" t="str">
        <f>IF(OR(NOT(ISNUMBER(AA217)),NOT(ISNUMBER(X217))),"",IF(AA217&lt;0,IF(F217="空",X217-J217,J217-X217),IF(NOT(ISNUMBER(K217)),"",IF(F217="空",X217-K217,K217-X217))))</f>
        <v/>
      </c>
      <c r="AF217" s="32" t="n"/>
      <c r="AG217" s="32" t="n"/>
      <c r="AH217" s="31" t="n"/>
      <c r="AI217" s="43" t="str">
        <f>IF(A217="","",SUM(AC$5:AC217))</f>
        <v/>
      </c>
      <c r="AJ217" s="45" t="str">
        <f>IF(A217="","",MAX(0,MAX(AI$5:AI217))-AI217)</f>
        <v/>
      </c>
    </row>
    <row r="218">
      <c r="A218" s="29" t="n"/>
      <c r="B218" s="30" t="n"/>
      <c r="C218" s="31" t="n"/>
      <c r="D218" s="32" t="n"/>
      <c r="E218" s="32" t="n"/>
      <c r="F218" s="32" t="n"/>
      <c r="G218" s="32" t="n"/>
      <c r="H218" s="32" t="n"/>
      <c r="I218" s="33" t="n"/>
      <c r="J218" s="33" t="n"/>
      <c r="K218" s="33" t="n"/>
      <c r="L218" s="34" t="str">
        <f>IF(AND(ISNUMBER(I218),ISNUMBER(J218),ISNUMBER(K218)),IF(OR(AND(F218="多",I218&gt;J218),AND(F218="空",I218&lt;J218)),ABS(K218-I218)/ABS(I218-J218),"止损方向不对"),"")</f>
        <v/>
      </c>
      <c r="M218" s="35" t="str">
        <f>IF(AND(ISNUMBER(I218),ISNUMBER(J218)),IF(I218=J218,"",IF(INT(ROUND('参数'!$C$7/(ABS(I218-J218)*IF(N(G218)&gt;0,G218,1)+2*(I218*IF(N(G218)&gt;0,G218,1)*'参数'!$C$12+'参数'!$C$13+'参数'!$C$14*IF(N(G218)&gt;0,G218,1)))/IF(N(H218)&gt;0,H218,1),6))*IF(N(H218)&gt;0,H218,1)&gt;0,INT(ROUND('参数'!$C$7/(ABS(I218-J218)*IF(N(G218)&gt;0,G218,1)+2*(I218*IF(N(G218)&gt;0,G218,1)*'参数'!$C$12+'参数'!$C$13+'参数'!$C$14*IF(N(G218)&gt;0,G218,1)))/IF(N(H218)&gt;0,H218,1),6))*IF(N(H218)&gt;0,H218,1),"预算不足，这笔不做")),"")</f>
        <v/>
      </c>
      <c r="N218" s="36" t="n"/>
      <c r="O218" s="20" t="str">
        <f>IF(AND(ISNUMBER(I218),ISNUMBER(J218),ISNUMBER(N218)),IF(AND(I218&lt;&gt;J218,N218&gt;0),ABS(I218-J218)*N218*IF(N(G218)&gt;0,G218,1),""),"")</f>
        <v/>
      </c>
      <c r="P218" s="31" t="n"/>
      <c r="Q218" s="32" t="n"/>
      <c r="R218" s="37" t="str">
        <f>IF(N(U218)&gt;0,SUMPRODUCT(LARGE(('成交明细'!$A$5:$A$804=A218)*('成交明细'!$D$5:$D$804=IF(F218="空","卖","买"))*'成交明细'!$B$5:$B$804,COUNTIFS('成交明细'!$A$5:$A$804,A218,'成交明细'!$D$5:$D$804,IF(F218="空","卖","买")))),"")</f>
        <v/>
      </c>
      <c r="S218" s="37" t="str">
        <f>IF(AND(N(U218)&gt;0,N(W218)&gt;=N(U218)),SUMPRODUCT(MAX(('成交明细'!$A$5:$A$804=A218)*('成交明细'!$D$5:$D$804=IF(F218="空","买","卖"))*'成交明细'!$B$5:$B$804)),"")</f>
        <v/>
      </c>
      <c r="T218" s="38" t="str">
        <f>IF(N(U218)=0,"",IF(SUMPRODUCT(('成交明细'!$A$5:$A$804=A218)*('成交明细'!$D$5:$D$804=IF(F218="空","卖","买"))*ISNUMBER('成交明细'!$C$5:$C$804))=0,"没填时间",IFERROR(VLOOKUP(MOD(SUMPRODUCT(LARGE(('成交明细'!$A$5:$A$804=A218)*('成交明细'!$D$5:$D$804=IF(F218="空","卖","买"))*('成交明细'!$B$5:$B$804+'成交明细'!$C$5:$C$804),COUNTIFS('成交明细'!$A$5:$A$804,A218,'成交明细'!$D$5:$D$804,IF(F218="空","卖","买")))),1),'参数'!$B$39:$C$48,2,TRUE),"")))</f>
        <v/>
      </c>
      <c r="U218" s="35" t="str">
        <f>IF(A218="","",SUMIFS('成交明细'!$F$5:$F$804,'成交明细'!$A$5:$A$804,A218,'成交明细'!$D$5:$D$804,IF(F218="空","卖","买")))</f>
        <v/>
      </c>
      <c r="V218" s="39" t="str">
        <f>IF(N(U218)&gt;0,SUMIFS('成交明细'!$H$5:$H$804,'成交明细'!$A$5:$A$804,A218,'成交明细'!$D$5:$D$804,IF(F218="空","卖","买"))/U218,"")</f>
        <v/>
      </c>
      <c r="W218" s="35" t="str">
        <f>IF(A218="","",SUMIFS('成交明细'!$F$5:$F$804,'成交明细'!$A$5:$A$804,A218,'成交明细'!$D$5:$D$804,IF(F218="空","买","卖")))</f>
        <v/>
      </c>
      <c r="X218" s="39" t="str">
        <f>IF(N(W218)&gt;0,SUMIFS('成交明细'!$H$5:$H$804,'成交明细'!$A$5:$A$804,A218,'成交明细'!$D$5:$D$804,IF(F218="空","买","卖"))/W218,"")</f>
        <v/>
      </c>
      <c r="Y218" s="40" t="str">
        <f>IF(A218="","",IF(Q218&lt;&gt;"已执行",IF(Q218="","未填执行情况",Q218),IF(N(U218)=0,"待录成交",IF(N(W218)&gt;N(U218),"平仓多于开仓",IF(N(W218)&lt;N(U218),"持仓中","已平仓")))))</f>
        <v/>
      </c>
      <c r="Z218" s="41" t="str">
        <f>IF(N(U218)=0,"",SUMIFS('成交明细'!$L$5:$L$804,'成交明细'!$A$5:$A$804,A218))</f>
        <v/>
      </c>
      <c r="AA218" s="42" t="str">
        <f>IF(Y218&lt;&gt;"已平仓","",(SUMIFS('成交明细'!$H$5:$H$804,'成交明细'!$A$5:$A$804,A218,'成交明细'!$D$5:$D$804,"卖")-SUMIFS('成交明细'!$H$5:$H$804,'成交明细'!$A$5:$A$804,A218,'成交明细'!$D$5:$D$804,"买"))*IF(N(G218)&gt;0,G218,1)-Z218)</f>
        <v/>
      </c>
      <c r="AB218" s="43" t="str">
        <f>IF(AND(Y218="已平仓",ISNUMBER(O218)),(SUMIFS('成交明细'!$H$5:$H$804,'成交明细'!$A$5:$A$804,A218,'成交明细'!$D$5:$D$804,"卖")-SUMIFS('成交明细'!$H$5:$H$804,'成交明细'!$A$5:$A$804,A218,'成交明细'!$D$5:$D$804,"买"))*IF(N(G218)&gt;0,G218,1)/O218,"")</f>
        <v/>
      </c>
      <c r="AC218" s="43" t="str">
        <f>IF(AND(Y218="已平仓",ISNUMBER(O218)),AA218/O218,"")</f>
        <v/>
      </c>
      <c r="AD218" s="44" t="str">
        <f>IF(AND(ISNUMBER(V218),ISNUMBER(I218)),IF(F218="空",I218-V218,V218-I218),"")</f>
        <v/>
      </c>
      <c r="AE218" s="44" t="str">
        <f>IF(OR(NOT(ISNUMBER(AA218)),NOT(ISNUMBER(X218))),"",IF(AA218&lt;0,IF(F218="空",X218-J218,J218-X218),IF(NOT(ISNUMBER(K218)),"",IF(F218="空",X218-K218,K218-X218))))</f>
        <v/>
      </c>
      <c r="AF218" s="32" t="n"/>
      <c r="AG218" s="32" t="n"/>
      <c r="AH218" s="31" t="n"/>
      <c r="AI218" s="43" t="str">
        <f>IF(A218="","",SUM(AC$5:AC218))</f>
        <v/>
      </c>
      <c r="AJ218" s="45" t="str">
        <f>IF(A218="","",MAX(0,MAX(AI$5:AI218))-AI218)</f>
        <v/>
      </c>
    </row>
    <row r="219">
      <c r="A219" s="29" t="n"/>
      <c r="B219" s="30" t="n"/>
      <c r="C219" s="31" t="n"/>
      <c r="D219" s="32" t="n"/>
      <c r="E219" s="32" t="n"/>
      <c r="F219" s="32" t="n"/>
      <c r="G219" s="32" t="n"/>
      <c r="H219" s="32" t="n"/>
      <c r="I219" s="33" t="n"/>
      <c r="J219" s="33" t="n"/>
      <c r="K219" s="33" t="n"/>
      <c r="L219" s="34" t="str">
        <f>IF(AND(ISNUMBER(I219),ISNUMBER(J219),ISNUMBER(K219)),IF(OR(AND(F219="多",I219&gt;J219),AND(F219="空",I219&lt;J219)),ABS(K219-I219)/ABS(I219-J219),"止损方向不对"),"")</f>
        <v/>
      </c>
      <c r="M219" s="35" t="str">
        <f>IF(AND(ISNUMBER(I219),ISNUMBER(J219)),IF(I219=J219,"",IF(INT(ROUND('参数'!$C$7/(ABS(I219-J219)*IF(N(G219)&gt;0,G219,1)+2*(I219*IF(N(G219)&gt;0,G219,1)*'参数'!$C$12+'参数'!$C$13+'参数'!$C$14*IF(N(G219)&gt;0,G219,1)))/IF(N(H219)&gt;0,H219,1),6))*IF(N(H219)&gt;0,H219,1)&gt;0,INT(ROUND('参数'!$C$7/(ABS(I219-J219)*IF(N(G219)&gt;0,G219,1)+2*(I219*IF(N(G219)&gt;0,G219,1)*'参数'!$C$12+'参数'!$C$13+'参数'!$C$14*IF(N(G219)&gt;0,G219,1)))/IF(N(H219)&gt;0,H219,1),6))*IF(N(H219)&gt;0,H219,1),"预算不足，这笔不做")),"")</f>
        <v/>
      </c>
      <c r="N219" s="36" t="n"/>
      <c r="O219" s="20" t="str">
        <f>IF(AND(ISNUMBER(I219),ISNUMBER(J219),ISNUMBER(N219)),IF(AND(I219&lt;&gt;J219,N219&gt;0),ABS(I219-J219)*N219*IF(N(G219)&gt;0,G219,1),""),"")</f>
        <v/>
      </c>
      <c r="P219" s="31" t="n"/>
      <c r="Q219" s="32" t="n"/>
      <c r="R219" s="37" t="str">
        <f>IF(N(U219)&gt;0,SUMPRODUCT(LARGE(('成交明细'!$A$5:$A$804=A219)*('成交明细'!$D$5:$D$804=IF(F219="空","卖","买"))*'成交明细'!$B$5:$B$804,COUNTIFS('成交明细'!$A$5:$A$804,A219,'成交明细'!$D$5:$D$804,IF(F219="空","卖","买")))),"")</f>
        <v/>
      </c>
      <c r="S219" s="37" t="str">
        <f>IF(AND(N(U219)&gt;0,N(W219)&gt;=N(U219)),SUMPRODUCT(MAX(('成交明细'!$A$5:$A$804=A219)*('成交明细'!$D$5:$D$804=IF(F219="空","买","卖"))*'成交明细'!$B$5:$B$804)),"")</f>
        <v/>
      </c>
      <c r="T219" s="38" t="str">
        <f>IF(N(U219)=0,"",IF(SUMPRODUCT(('成交明细'!$A$5:$A$804=A219)*('成交明细'!$D$5:$D$804=IF(F219="空","卖","买"))*ISNUMBER('成交明细'!$C$5:$C$804))=0,"没填时间",IFERROR(VLOOKUP(MOD(SUMPRODUCT(LARGE(('成交明细'!$A$5:$A$804=A219)*('成交明细'!$D$5:$D$804=IF(F219="空","卖","买"))*('成交明细'!$B$5:$B$804+'成交明细'!$C$5:$C$804),COUNTIFS('成交明细'!$A$5:$A$804,A219,'成交明细'!$D$5:$D$804,IF(F219="空","卖","买")))),1),'参数'!$B$39:$C$48,2,TRUE),"")))</f>
        <v/>
      </c>
      <c r="U219" s="35" t="str">
        <f>IF(A219="","",SUMIFS('成交明细'!$F$5:$F$804,'成交明细'!$A$5:$A$804,A219,'成交明细'!$D$5:$D$804,IF(F219="空","卖","买")))</f>
        <v/>
      </c>
      <c r="V219" s="39" t="str">
        <f>IF(N(U219)&gt;0,SUMIFS('成交明细'!$H$5:$H$804,'成交明细'!$A$5:$A$804,A219,'成交明细'!$D$5:$D$804,IF(F219="空","卖","买"))/U219,"")</f>
        <v/>
      </c>
      <c r="W219" s="35" t="str">
        <f>IF(A219="","",SUMIFS('成交明细'!$F$5:$F$804,'成交明细'!$A$5:$A$804,A219,'成交明细'!$D$5:$D$804,IF(F219="空","买","卖")))</f>
        <v/>
      </c>
      <c r="X219" s="39" t="str">
        <f>IF(N(W219)&gt;0,SUMIFS('成交明细'!$H$5:$H$804,'成交明细'!$A$5:$A$804,A219,'成交明细'!$D$5:$D$804,IF(F219="空","买","卖"))/W219,"")</f>
        <v/>
      </c>
      <c r="Y219" s="40" t="str">
        <f>IF(A219="","",IF(Q219&lt;&gt;"已执行",IF(Q219="","未填执行情况",Q219),IF(N(U219)=0,"待录成交",IF(N(W219)&gt;N(U219),"平仓多于开仓",IF(N(W219)&lt;N(U219),"持仓中","已平仓")))))</f>
        <v/>
      </c>
      <c r="Z219" s="41" t="str">
        <f>IF(N(U219)=0,"",SUMIFS('成交明细'!$L$5:$L$804,'成交明细'!$A$5:$A$804,A219))</f>
        <v/>
      </c>
      <c r="AA219" s="42" t="str">
        <f>IF(Y219&lt;&gt;"已平仓","",(SUMIFS('成交明细'!$H$5:$H$804,'成交明细'!$A$5:$A$804,A219,'成交明细'!$D$5:$D$804,"卖")-SUMIFS('成交明细'!$H$5:$H$804,'成交明细'!$A$5:$A$804,A219,'成交明细'!$D$5:$D$804,"买"))*IF(N(G219)&gt;0,G219,1)-Z219)</f>
        <v/>
      </c>
      <c r="AB219" s="43" t="str">
        <f>IF(AND(Y219="已平仓",ISNUMBER(O219)),(SUMIFS('成交明细'!$H$5:$H$804,'成交明细'!$A$5:$A$804,A219,'成交明细'!$D$5:$D$804,"卖")-SUMIFS('成交明细'!$H$5:$H$804,'成交明细'!$A$5:$A$804,A219,'成交明细'!$D$5:$D$804,"买"))*IF(N(G219)&gt;0,G219,1)/O219,"")</f>
        <v/>
      </c>
      <c r="AC219" s="43" t="str">
        <f>IF(AND(Y219="已平仓",ISNUMBER(O219)),AA219/O219,"")</f>
        <v/>
      </c>
      <c r="AD219" s="44" t="str">
        <f>IF(AND(ISNUMBER(V219),ISNUMBER(I219)),IF(F219="空",I219-V219,V219-I219),"")</f>
        <v/>
      </c>
      <c r="AE219" s="44" t="str">
        <f>IF(OR(NOT(ISNUMBER(AA219)),NOT(ISNUMBER(X219))),"",IF(AA219&lt;0,IF(F219="空",X219-J219,J219-X219),IF(NOT(ISNUMBER(K219)),"",IF(F219="空",X219-K219,K219-X219))))</f>
        <v/>
      </c>
      <c r="AF219" s="32" t="n"/>
      <c r="AG219" s="32" t="n"/>
      <c r="AH219" s="31" t="n"/>
      <c r="AI219" s="43" t="str">
        <f>IF(A219="","",SUM(AC$5:AC219))</f>
        <v/>
      </c>
      <c r="AJ219" s="45" t="str">
        <f>IF(A219="","",MAX(0,MAX(AI$5:AI219))-AI219)</f>
        <v/>
      </c>
    </row>
    <row r="220">
      <c r="A220" s="29" t="n"/>
      <c r="B220" s="30" t="n"/>
      <c r="C220" s="31" t="n"/>
      <c r="D220" s="32" t="n"/>
      <c r="E220" s="32" t="n"/>
      <c r="F220" s="32" t="n"/>
      <c r="G220" s="32" t="n"/>
      <c r="H220" s="32" t="n"/>
      <c r="I220" s="33" t="n"/>
      <c r="J220" s="33" t="n"/>
      <c r="K220" s="33" t="n"/>
      <c r="L220" s="34" t="str">
        <f>IF(AND(ISNUMBER(I220),ISNUMBER(J220),ISNUMBER(K220)),IF(OR(AND(F220="多",I220&gt;J220),AND(F220="空",I220&lt;J220)),ABS(K220-I220)/ABS(I220-J220),"止损方向不对"),"")</f>
        <v/>
      </c>
      <c r="M220" s="35" t="str">
        <f>IF(AND(ISNUMBER(I220),ISNUMBER(J220)),IF(I220=J220,"",IF(INT(ROUND('参数'!$C$7/(ABS(I220-J220)*IF(N(G220)&gt;0,G220,1)+2*(I220*IF(N(G220)&gt;0,G220,1)*'参数'!$C$12+'参数'!$C$13+'参数'!$C$14*IF(N(G220)&gt;0,G220,1)))/IF(N(H220)&gt;0,H220,1),6))*IF(N(H220)&gt;0,H220,1)&gt;0,INT(ROUND('参数'!$C$7/(ABS(I220-J220)*IF(N(G220)&gt;0,G220,1)+2*(I220*IF(N(G220)&gt;0,G220,1)*'参数'!$C$12+'参数'!$C$13+'参数'!$C$14*IF(N(G220)&gt;0,G220,1)))/IF(N(H220)&gt;0,H220,1),6))*IF(N(H220)&gt;0,H220,1),"预算不足，这笔不做")),"")</f>
        <v/>
      </c>
      <c r="N220" s="36" t="n"/>
      <c r="O220" s="20" t="str">
        <f>IF(AND(ISNUMBER(I220),ISNUMBER(J220),ISNUMBER(N220)),IF(AND(I220&lt;&gt;J220,N220&gt;0),ABS(I220-J220)*N220*IF(N(G220)&gt;0,G220,1),""),"")</f>
        <v/>
      </c>
      <c r="P220" s="31" t="n"/>
      <c r="Q220" s="32" t="n"/>
      <c r="R220" s="37" t="str">
        <f>IF(N(U220)&gt;0,SUMPRODUCT(LARGE(('成交明细'!$A$5:$A$804=A220)*('成交明细'!$D$5:$D$804=IF(F220="空","卖","买"))*'成交明细'!$B$5:$B$804,COUNTIFS('成交明细'!$A$5:$A$804,A220,'成交明细'!$D$5:$D$804,IF(F220="空","卖","买")))),"")</f>
        <v/>
      </c>
      <c r="S220" s="37" t="str">
        <f>IF(AND(N(U220)&gt;0,N(W220)&gt;=N(U220)),SUMPRODUCT(MAX(('成交明细'!$A$5:$A$804=A220)*('成交明细'!$D$5:$D$804=IF(F220="空","买","卖"))*'成交明细'!$B$5:$B$804)),"")</f>
        <v/>
      </c>
      <c r="T220" s="38" t="str">
        <f>IF(N(U220)=0,"",IF(SUMPRODUCT(('成交明细'!$A$5:$A$804=A220)*('成交明细'!$D$5:$D$804=IF(F220="空","卖","买"))*ISNUMBER('成交明细'!$C$5:$C$804))=0,"没填时间",IFERROR(VLOOKUP(MOD(SUMPRODUCT(LARGE(('成交明细'!$A$5:$A$804=A220)*('成交明细'!$D$5:$D$804=IF(F220="空","卖","买"))*('成交明细'!$B$5:$B$804+'成交明细'!$C$5:$C$804),COUNTIFS('成交明细'!$A$5:$A$804,A220,'成交明细'!$D$5:$D$804,IF(F220="空","卖","买")))),1),'参数'!$B$39:$C$48,2,TRUE),"")))</f>
        <v/>
      </c>
      <c r="U220" s="35" t="str">
        <f>IF(A220="","",SUMIFS('成交明细'!$F$5:$F$804,'成交明细'!$A$5:$A$804,A220,'成交明细'!$D$5:$D$804,IF(F220="空","卖","买")))</f>
        <v/>
      </c>
      <c r="V220" s="39" t="str">
        <f>IF(N(U220)&gt;0,SUMIFS('成交明细'!$H$5:$H$804,'成交明细'!$A$5:$A$804,A220,'成交明细'!$D$5:$D$804,IF(F220="空","卖","买"))/U220,"")</f>
        <v/>
      </c>
      <c r="W220" s="35" t="str">
        <f>IF(A220="","",SUMIFS('成交明细'!$F$5:$F$804,'成交明细'!$A$5:$A$804,A220,'成交明细'!$D$5:$D$804,IF(F220="空","买","卖")))</f>
        <v/>
      </c>
      <c r="X220" s="39" t="str">
        <f>IF(N(W220)&gt;0,SUMIFS('成交明细'!$H$5:$H$804,'成交明细'!$A$5:$A$804,A220,'成交明细'!$D$5:$D$804,IF(F220="空","买","卖"))/W220,"")</f>
        <v/>
      </c>
      <c r="Y220" s="40" t="str">
        <f>IF(A220="","",IF(Q220&lt;&gt;"已执行",IF(Q220="","未填执行情况",Q220),IF(N(U220)=0,"待录成交",IF(N(W220)&gt;N(U220),"平仓多于开仓",IF(N(W220)&lt;N(U220),"持仓中","已平仓")))))</f>
        <v/>
      </c>
      <c r="Z220" s="41" t="str">
        <f>IF(N(U220)=0,"",SUMIFS('成交明细'!$L$5:$L$804,'成交明细'!$A$5:$A$804,A220))</f>
        <v/>
      </c>
      <c r="AA220" s="42" t="str">
        <f>IF(Y220&lt;&gt;"已平仓","",(SUMIFS('成交明细'!$H$5:$H$804,'成交明细'!$A$5:$A$804,A220,'成交明细'!$D$5:$D$804,"卖")-SUMIFS('成交明细'!$H$5:$H$804,'成交明细'!$A$5:$A$804,A220,'成交明细'!$D$5:$D$804,"买"))*IF(N(G220)&gt;0,G220,1)-Z220)</f>
        <v/>
      </c>
      <c r="AB220" s="43" t="str">
        <f>IF(AND(Y220="已平仓",ISNUMBER(O220)),(SUMIFS('成交明细'!$H$5:$H$804,'成交明细'!$A$5:$A$804,A220,'成交明细'!$D$5:$D$804,"卖")-SUMIFS('成交明细'!$H$5:$H$804,'成交明细'!$A$5:$A$804,A220,'成交明细'!$D$5:$D$804,"买"))*IF(N(G220)&gt;0,G220,1)/O220,"")</f>
        <v/>
      </c>
      <c r="AC220" s="43" t="str">
        <f>IF(AND(Y220="已平仓",ISNUMBER(O220)),AA220/O220,"")</f>
        <v/>
      </c>
      <c r="AD220" s="44" t="str">
        <f>IF(AND(ISNUMBER(V220),ISNUMBER(I220)),IF(F220="空",I220-V220,V220-I220),"")</f>
        <v/>
      </c>
      <c r="AE220" s="44" t="str">
        <f>IF(OR(NOT(ISNUMBER(AA220)),NOT(ISNUMBER(X220))),"",IF(AA220&lt;0,IF(F220="空",X220-J220,J220-X220),IF(NOT(ISNUMBER(K220)),"",IF(F220="空",X220-K220,K220-X220))))</f>
        <v/>
      </c>
      <c r="AF220" s="32" t="n"/>
      <c r="AG220" s="32" t="n"/>
      <c r="AH220" s="31" t="n"/>
      <c r="AI220" s="43" t="str">
        <f>IF(A220="","",SUM(AC$5:AC220))</f>
        <v/>
      </c>
      <c r="AJ220" s="45" t="str">
        <f>IF(A220="","",MAX(0,MAX(AI$5:AI220))-AI220)</f>
        <v/>
      </c>
    </row>
    <row r="221">
      <c r="A221" s="29" t="n"/>
      <c r="B221" s="30" t="n"/>
      <c r="C221" s="31" t="n"/>
      <c r="D221" s="32" t="n"/>
      <c r="E221" s="32" t="n"/>
      <c r="F221" s="32" t="n"/>
      <c r="G221" s="32" t="n"/>
      <c r="H221" s="32" t="n"/>
      <c r="I221" s="33" t="n"/>
      <c r="J221" s="33" t="n"/>
      <c r="K221" s="33" t="n"/>
      <c r="L221" s="34" t="str">
        <f>IF(AND(ISNUMBER(I221),ISNUMBER(J221),ISNUMBER(K221)),IF(OR(AND(F221="多",I221&gt;J221),AND(F221="空",I221&lt;J221)),ABS(K221-I221)/ABS(I221-J221),"止损方向不对"),"")</f>
        <v/>
      </c>
      <c r="M221" s="35" t="str">
        <f>IF(AND(ISNUMBER(I221),ISNUMBER(J221)),IF(I221=J221,"",IF(INT(ROUND('参数'!$C$7/(ABS(I221-J221)*IF(N(G221)&gt;0,G221,1)+2*(I221*IF(N(G221)&gt;0,G221,1)*'参数'!$C$12+'参数'!$C$13+'参数'!$C$14*IF(N(G221)&gt;0,G221,1)))/IF(N(H221)&gt;0,H221,1),6))*IF(N(H221)&gt;0,H221,1)&gt;0,INT(ROUND('参数'!$C$7/(ABS(I221-J221)*IF(N(G221)&gt;0,G221,1)+2*(I221*IF(N(G221)&gt;0,G221,1)*'参数'!$C$12+'参数'!$C$13+'参数'!$C$14*IF(N(G221)&gt;0,G221,1)))/IF(N(H221)&gt;0,H221,1),6))*IF(N(H221)&gt;0,H221,1),"预算不足，这笔不做")),"")</f>
        <v/>
      </c>
      <c r="N221" s="36" t="n"/>
      <c r="O221" s="20" t="str">
        <f>IF(AND(ISNUMBER(I221),ISNUMBER(J221),ISNUMBER(N221)),IF(AND(I221&lt;&gt;J221,N221&gt;0),ABS(I221-J221)*N221*IF(N(G221)&gt;0,G221,1),""),"")</f>
        <v/>
      </c>
      <c r="P221" s="31" t="n"/>
      <c r="Q221" s="32" t="n"/>
      <c r="R221" s="37" t="str">
        <f>IF(N(U221)&gt;0,SUMPRODUCT(LARGE(('成交明细'!$A$5:$A$804=A221)*('成交明细'!$D$5:$D$804=IF(F221="空","卖","买"))*'成交明细'!$B$5:$B$804,COUNTIFS('成交明细'!$A$5:$A$804,A221,'成交明细'!$D$5:$D$804,IF(F221="空","卖","买")))),"")</f>
        <v/>
      </c>
      <c r="S221" s="37" t="str">
        <f>IF(AND(N(U221)&gt;0,N(W221)&gt;=N(U221)),SUMPRODUCT(MAX(('成交明细'!$A$5:$A$804=A221)*('成交明细'!$D$5:$D$804=IF(F221="空","买","卖"))*'成交明细'!$B$5:$B$804)),"")</f>
        <v/>
      </c>
      <c r="T221" s="38" t="str">
        <f>IF(N(U221)=0,"",IF(SUMPRODUCT(('成交明细'!$A$5:$A$804=A221)*('成交明细'!$D$5:$D$804=IF(F221="空","卖","买"))*ISNUMBER('成交明细'!$C$5:$C$804))=0,"没填时间",IFERROR(VLOOKUP(MOD(SUMPRODUCT(LARGE(('成交明细'!$A$5:$A$804=A221)*('成交明细'!$D$5:$D$804=IF(F221="空","卖","买"))*('成交明细'!$B$5:$B$804+'成交明细'!$C$5:$C$804),COUNTIFS('成交明细'!$A$5:$A$804,A221,'成交明细'!$D$5:$D$804,IF(F221="空","卖","买")))),1),'参数'!$B$39:$C$48,2,TRUE),"")))</f>
        <v/>
      </c>
      <c r="U221" s="35" t="str">
        <f>IF(A221="","",SUMIFS('成交明细'!$F$5:$F$804,'成交明细'!$A$5:$A$804,A221,'成交明细'!$D$5:$D$804,IF(F221="空","卖","买")))</f>
        <v/>
      </c>
      <c r="V221" s="39" t="str">
        <f>IF(N(U221)&gt;0,SUMIFS('成交明细'!$H$5:$H$804,'成交明细'!$A$5:$A$804,A221,'成交明细'!$D$5:$D$804,IF(F221="空","卖","买"))/U221,"")</f>
        <v/>
      </c>
      <c r="W221" s="35" t="str">
        <f>IF(A221="","",SUMIFS('成交明细'!$F$5:$F$804,'成交明细'!$A$5:$A$804,A221,'成交明细'!$D$5:$D$804,IF(F221="空","买","卖")))</f>
        <v/>
      </c>
      <c r="X221" s="39" t="str">
        <f>IF(N(W221)&gt;0,SUMIFS('成交明细'!$H$5:$H$804,'成交明细'!$A$5:$A$804,A221,'成交明细'!$D$5:$D$804,IF(F221="空","买","卖"))/W221,"")</f>
        <v/>
      </c>
      <c r="Y221" s="40" t="str">
        <f>IF(A221="","",IF(Q221&lt;&gt;"已执行",IF(Q221="","未填执行情况",Q221),IF(N(U221)=0,"待录成交",IF(N(W221)&gt;N(U221),"平仓多于开仓",IF(N(W221)&lt;N(U221),"持仓中","已平仓")))))</f>
        <v/>
      </c>
      <c r="Z221" s="41" t="str">
        <f>IF(N(U221)=0,"",SUMIFS('成交明细'!$L$5:$L$804,'成交明细'!$A$5:$A$804,A221))</f>
        <v/>
      </c>
      <c r="AA221" s="42" t="str">
        <f>IF(Y221&lt;&gt;"已平仓","",(SUMIFS('成交明细'!$H$5:$H$804,'成交明细'!$A$5:$A$804,A221,'成交明细'!$D$5:$D$804,"卖")-SUMIFS('成交明细'!$H$5:$H$804,'成交明细'!$A$5:$A$804,A221,'成交明细'!$D$5:$D$804,"买"))*IF(N(G221)&gt;0,G221,1)-Z221)</f>
        <v/>
      </c>
      <c r="AB221" s="43" t="str">
        <f>IF(AND(Y221="已平仓",ISNUMBER(O221)),(SUMIFS('成交明细'!$H$5:$H$804,'成交明细'!$A$5:$A$804,A221,'成交明细'!$D$5:$D$804,"卖")-SUMIFS('成交明细'!$H$5:$H$804,'成交明细'!$A$5:$A$804,A221,'成交明细'!$D$5:$D$804,"买"))*IF(N(G221)&gt;0,G221,1)/O221,"")</f>
        <v/>
      </c>
      <c r="AC221" s="43" t="str">
        <f>IF(AND(Y221="已平仓",ISNUMBER(O221)),AA221/O221,"")</f>
        <v/>
      </c>
      <c r="AD221" s="44" t="str">
        <f>IF(AND(ISNUMBER(V221),ISNUMBER(I221)),IF(F221="空",I221-V221,V221-I221),"")</f>
        <v/>
      </c>
      <c r="AE221" s="44" t="str">
        <f>IF(OR(NOT(ISNUMBER(AA221)),NOT(ISNUMBER(X221))),"",IF(AA221&lt;0,IF(F221="空",X221-J221,J221-X221),IF(NOT(ISNUMBER(K221)),"",IF(F221="空",X221-K221,K221-X221))))</f>
        <v/>
      </c>
      <c r="AF221" s="32" t="n"/>
      <c r="AG221" s="32" t="n"/>
      <c r="AH221" s="31" t="n"/>
      <c r="AI221" s="43" t="str">
        <f>IF(A221="","",SUM(AC$5:AC221))</f>
        <v/>
      </c>
      <c r="AJ221" s="45" t="str">
        <f>IF(A221="","",MAX(0,MAX(AI$5:AI221))-AI221)</f>
        <v/>
      </c>
    </row>
    <row r="222">
      <c r="A222" s="29" t="n"/>
      <c r="B222" s="30" t="n"/>
      <c r="C222" s="31" t="n"/>
      <c r="D222" s="32" t="n"/>
      <c r="E222" s="32" t="n"/>
      <c r="F222" s="32" t="n"/>
      <c r="G222" s="32" t="n"/>
      <c r="H222" s="32" t="n"/>
      <c r="I222" s="33" t="n"/>
      <c r="J222" s="33" t="n"/>
      <c r="K222" s="33" t="n"/>
      <c r="L222" s="34" t="str">
        <f>IF(AND(ISNUMBER(I222),ISNUMBER(J222),ISNUMBER(K222)),IF(OR(AND(F222="多",I222&gt;J222),AND(F222="空",I222&lt;J222)),ABS(K222-I222)/ABS(I222-J222),"止损方向不对"),"")</f>
        <v/>
      </c>
      <c r="M222" s="35" t="str">
        <f>IF(AND(ISNUMBER(I222),ISNUMBER(J222)),IF(I222=J222,"",IF(INT(ROUND('参数'!$C$7/(ABS(I222-J222)*IF(N(G222)&gt;0,G222,1)+2*(I222*IF(N(G222)&gt;0,G222,1)*'参数'!$C$12+'参数'!$C$13+'参数'!$C$14*IF(N(G222)&gt;0,G222,1)))/IF(N(H222)&gt;0,H222,1),6))*IF(N(H222)&gt;0,H222,1)&gt;0,INT(ROUND('参数'!$C$7/(ABS(I222-J222)*IF(N(G222)&gt;0,G222,1)+2*(I222*IF(N(G222)&gt;0,G222,1)*'参数'!$C$12+'参数'!$C$13+'参数'!$C$14*IF(N(G222)&gt;0,G222,1)))/IF(N(H222)&gt;0,H222,1),6))*IF(N(H222)&gt;0,H222,1),"预算不足，这笔不做")),"")</f>
        <v/>
      </c>
      <c r="N222" s="36" t="n"/>
      <c r="O222" s="20" t="str">
        <f>IF(AND(ISNUMBER(I222),ISNUMBER(J222),ISNUMBER(N222)),IF(AND(I222&lt;&gt;J222,N222&gt;0),ABS(I222-J222)*N222*IF(N(G222)&gt;0,G222,1),""),"")</f>
        <v/>
      </c>
      <c r="P222" s="31" t="n"/>
      <c r="Q222" s="32" t="n"/>
      <c r="R222" s="37" t="str">
        <f>IF(N(U222)&gt;0,SUMPRODUCT(LARGE(('成交明细'!$A$5:$A$804=A222)*('成交明细'!$D$5:$D$804=IF(F222="空","卖","买"))*'成交明细'!$B$5:$B$804,COUNTIFS('成交明细'!$A$5:$A$804,A222,'成交明细'!$D$5:$D$804,IF(F222="空","卖","买")))),"")</f>
        <v/>
      </c>
      <c r="S222" s="37" t="str">
        <f>IF(AND(N(U222)&gt;0,N(W222)&gt;=N(U222)),SUMPRODUCT(MAX(('成交明细'!$A$5:$A$804=A222)*('成交明细'!$D$5:$D$804=IF(F222="空","买","卖"))*'成交明细'!$B$5:$B$804)),"")</f>
        <v/>
      </c>
      <c r="T222" s="38" t="str">
        <f>IF(N(U222)=0,"",IF(SUMPRODUCT(('成交明细'!$A$5:$A$804=A222)*('成交明细'!$D$5:$D$804=IF(F222="空","卖","买"))*ISNUMBER('成交明细'!$C$5:$C$804))=0,"没填时间",IFERROR(VLOOKUP(MOD(SUMPRODUCT(LARGE(('成交明细'!$A$5:$A$804=A222)*('成交明细'!$D$5:$D$804=IF(F222="空","卖","买"))*('成交明细'!$B$5:$B$804+'成交明细'!$C$5:$C$804),COUNTIFS('成交明细'!$A$5:$A$804,A222,'成交明细'!$D$5:$D$804,IF(F222="空","卖","买")))),1),'参数'!$B$39:$C$48,2,TRUE),"")))</f>
        <v/>
      </c>
      <c r="U222" s="35" t="str">
        <f>IF(A222="","",SUMIFS('成交明细'!$F$5:$F$804,'成交明细'!$A$5:$A$804,A222,'成交明细'!$D$5:$D$804,IF(F222="空","卖","买")))</f>
        <v/>
      </c>
      <c r="V222" s="39" t="str">
        <f>IF(N(U222)&gt;0,SUMIFS('成交明细'!$H$5:$H$804,'成交明细'!$A$5:$A$804,A222,'成交明细'!$D$5:$D$804,IF(F222="空","卖","买"))/U222,"")</f>
        <v/>
      </c>
      <c r="W222" s="35" t="str">
        <f>IF(A222="","",SUMIFS('成交明细'!$F$5:$F$804,'成交明细'!$A$5:$A$804,A222,'成交明细'!$D$5:$D$804,IF(F222="空","买","卖")))</f>
        <v/>
      </c>
      <c r="X222" s="39" t="str">
        <f>IF(N(W222)&gt;0,SUMIFS('成交明细'!$H$5:$H$804,'成交明细'!$A$5:$A$804,A222,'成交明细'!$D$5:$D$804,IF(F222="空","买","卖"))/W222,"")</f>
        <v/>
      </c>
      <c r="Y222" s="40" t="str">
        <f>IF(A222="","",IF(Q222&lt;&gt;"已执行",IF(Q222="","未填执行情况",Q222),IF(N(U222)=0,"待录成交",IF(N(W222)&gt;N(U222),"平仓多于开仓",IF(N(W222)&lt;N(U222),"持仓中","已平仓")))))</f>
        <v/>
      </c>
      <c r="Z222" s="41" t="str">
        <f>IF(N(U222)=0,"",SUMIFS('成交明细'!$L$5:$L$804,'成交明细'!$A$5:$A$804,A222))</f>
        <v/>
      </c>
      <c r="AA222" s="42" t="str">
        <f>IF(Y222&lt;&gt;"已平仓","",(SUMIFS('成交明细'!$H$5:$H$804,'成交明细'!$A$5:$A$804,A222,'成交明细'!$D$5:$D$804,"卖")-SUMIFS('成交明细'!$H$5:$H$804,'成交明细'!$A$5:$A$804,A222,'成交明细'!$D$5:$D$804,"买"))*IF(N(G222)&gt;0,G222,1)-Z222)</f>
        <v/>
      </c>
      <c r="AB222" s="43" t="str">
        <f>IF(AND(Y222="已平仓",ISNUMBER(O222)),(SUMIFS('成交明细'!$H$5:$H$804,'成交明细'!$A$5:$A$804,A222,'成交明细'!$D$5:$D$804,"卖")-SUMIFS('成交明细'!$H$5:$H$804,'成交明细'!$A$5:$A$804,A222,'成交明细'!$D$5:$D$804,"买"))*IF(N(G222)&gt;0,G222,1)/O222,"")</f>
        <v/>
      </c>
      <c r="AC222" s="43" t="str">
        <f>IF(AND(Y222="已平仓",ISNUMBER(O222)),AA222/O222,"")</f>
        <v/>
      </c>
      <c r="AD222" s="44" t="str">
        <f>IF(AND(ISNUMBER(V222),ISNUMBER(I222)),IF(F222="空",I222-V222,V222-I222),"")</f>
        <v/>
      </c>
      <c r="AE222" s="44" t="str">
        <f>IF(OR(NOT(ISNUMBER(AA222)),NOT(ISNUMBER(X222))),"",IF(AA222&lt;0,IF(F222="空",X222-J222,J222-X222),IF(NOT(ISNUMBER(K222)),"",IF(F222="空",X222-K222,K222-X222))))</f>
        <v/>
      </c>
      <c r="AF222" s="32" t="n"/>
      <c r="AG222" s="32" t="n"/>
      <c r="AH222" s="31" t="n"/>
      <c r="AI222" s="43" t="str">
        <f>IF(A222="","",SUM(AC$5:AC222))</f>
        <v/>
      </c>
      <c r="AJ222" s="45" t="str">
        <f>IF(A222="","",MAX(0,MAX(AI$5:AI222))-AI222)</f>
        <v/>
      </c>
    </row>
    <row r="223">
      <c r="A223" s="29" t="n"/>
      <c r="B223" s="30" t="n"/>
      <c r="C223" s="31" t="n"/>
      <c r="D223" s="32" t="n"/>
      <c r="E223" s="32" t="n"/>
      <c r="F223" s="32" t="n"/>
      <c r="G223" s="32" t="n"/>
      <c r="H223" s="32" t="n"/>
      <c r="I223" s="33" t="n"/>
      <c r="J223" s="33" t="n"/>
      <c r="K223" s="33" t="n"/>
      <c r="L223" s="34" t="str">
        <f>IF(AND(ISNUMBER(I223),ISNUMBER(J223),ISNUMBER(K223)),IF(OR(AND(F223="多",I223&gt;J223),AND(F223="空",I223&lt;J223)),ABS(K223-I223)/ABS(I223-J223),"止损方向不对"),"")</f>
        <v/>
      </c>
      <c r="M223" s="35" t="str">
        <f>IF(AND(ISNUMBER(I223),ISNUMBER(J223)),IF(I223=J223,"",IF(INT(ROUND('参数'!$C$7/(ABS(I223-J223)*IF(N(G223)&gt;0,G223,1)+2*(I223*IF(N(G223)&gt;0,G223,1)*'参数'!$C$12+'参数'!$C$13+'参数'!$C$14*IF(N(G223)&gt;0,G223,1)))/IF(N(H223)&gt;0,H223,1),6))*IF(N(H223)&gt;0,H223,1)&gt;0,INT(ROUND('参数'!$C$7/(ABS(I223-J223)*IF(N(G223)&gt;0,G223,1)+2*(I223*IF(N(G223)&gt;0,G223,1)*'参数'!$C$12+'参数'!$C$13+'参数'!$C$14*IF(N(G223)&gt;0,G223,1)))/IF(N(H223)&gt;0,H223,1),6))*IF(N(H223)&gt;0,H223,1),"预算不足，这笔不做")),"")</f>
        <v/>
      </c>
      <c r="N223" s="36" t="n"/>
      <c r="O223" s="20" t="str">
        <f>IF(AND(ISNUMBER(I223),ISNUMBER(J223),ISNUMBER(N223)),IF(AND(I223&lt;&gt;J223,N223&gt;0),ABS(I223-J223)*N223*IF(N(G223)&gt;0,G223,1),""),"")</f>
        <v/>
      </c>
      <c r="P223" s="31" t="n"/>
      <c r="Q223" s="32" t="n"/>
      <c r="R223" s="37" t="str">
        <f>IF(N(U223)&gt;0,SUMPRODUCT(LARGE(('成交明细'!$A$5:$A$804=A223)*('成交明细'!$D$5:$D$804=IF(F223="空","卖","买"))*'成交明细'!$B$5:$B$804,COUNTIFS('成交明细'!$A$5:$A$804,A223,'成交明细'!$D$5:$D$804,IF(F223="空","卖","买")))),"")</f>
        <v/>
      </c>
      <c r="S223" s="37" t="str">
        <f>IF(AND(N(U223)&gt;0,N(W223)&gt;=N(U223)),SUMPRODUCT(MAX(('成交明细'!$A$5:$A$804=A223)*('成交明细'!$D$5:$D$804=IF(F223="空","买","卖"))*'成交明细'!$B$5:$B$804)),"")</f>
        <v/>
      </c>
      <c r="T223" s="38" t="str">
        <f>IF(N(U223)=0,"",IF(SUMPRODUCT(('成交明细'!$A$5:$A$804=A223)*('成交明细'!$D$5:$D$804=IF(F223="空","卖","买"))*ISNUMBER('成交明细'!$C$5:$C$804))=0,"没填时间",IFERROR(VLOOKUP(MOD(SUMPRODUCT(LARGE(('成交明细'!$A$5:$A$804=A223)*('成交明细'!$D$5:$D$804=IF(F223="空","卖","买"))*('成交明细'!$B$5:$B$804+'成交明细'!$C$5:$C$804),COUNTIFS('成交明细'!$A$5:$A$804,A223,'成交明细'!$D$5:$D$804,IF(F223="空","卖","买")))),1),'参数'!$B$39:$C$48,2,TRUE),"")))</f>
        <v/>
      </c>
      <c r="U223" s="35" t="str">
        <f>IF(A223="","",SUMIFS('成交明细'!$F$5:$F$804,'成交明细'!$A$5:$A$804,A223,'成交明细'!$D$5:$D$804,IF(F223="空","卖","买")))</f>
        <v/>
      </c>
      <c r="V223" s="39" t="str">
        <f>IF(N(U223)&gt;0,SUMIFS('成交明细'!$H$5:$H$804,'成交明细'!$A$5:$A$804,A223,'成交明细'!$D$5:$D$804,IF(F223="空","卖","买"))/U223,"")</f>
        <v/>
      </c>
      <c r="W223" s="35" t="str">
        <f>IF(A223="","",SUMIFS('成交明细'!$F$5:$F$804,'成交明细'!$A$5:$A$804,A223,'成交明细'!$D$5:$D$804,IF(F223="空","买","卖")))</f>
        <v/>
      </c>
      <c r="X223" s="39" t="str">
        <f>IF(N(W223)&gt;0,SUMIFS('成交明细'!$H$5:$H$804,'成交明细'!$A$5:$A$804,A223,'成交明细'!$D$5:$D$804,IF(F223="空","买","卖"))/W223,"")</f>
        <v/>
      </c>
      <c r="Y223" s="40" t="str">
        <f>IF(A223="","",IF(Q223&lt;&gt;"已执行",IF(Q223="","未填执行情况",Q223),IF(N(U223)=0,"待录成交",IF(N(W223)&gt;N(U223),"平仓多于开仓",IF(N(W223)&lt;N(U223),"持仓中","已平仓")))))</f>
        <v/>
      </c>
      <c r="Z223" s="41" t="str">
        <f>IF(N(U223)=0,"",SUMIFS('成交明细'!$L$5:$L$804,'成交明细'!$A$5:$A$804,A223))</f>
        <v/>
      </c>
      <c r="AA223" s="42" t="str">
        <f>IF(Y223&lt;&gt;"已平仓","",(SUMIFS('成交明细'!$H$5:$H$804,'成交明细'!$A$5:$A$804,A223,'成交明细'!$D$5:$D$804,"卖")-SUMIFS('成交明细'!$H$5:$H$804,'成交明细'!$A$5:$A$804,A223,'成交明细'!$D$5:$D$804,"买"))*IF(N(G223)&gt;0,G223,1)-Z223)</f>
        <v/>
      </c>
      <c r="AB223" s="43" t="str">
        <f>IF(AND(Y223="已平仓",ISNUMBER(O223)),(SUMIFS('成交明细'!$H$5:$H$804,'成交明细'!$A$5:$A$804,A223,'成交明细'!$D$5:$D$804,"卖")-SUMIFS('成交明细'!$H$5:$H$804,'成交明细'!$A$5:$A$804,A223,'成交明细'!$D$5:$D$804,"买"))*IF(N(G223)&gt;0,G223,1)/O223,"")</f>
        <v/>
      </c>
      <c r="AC223" s="43" t="str">
        <f>IF(AND(Y223="已平仓",ISNUMBER(O223)),AA223/O223,"")</f>
        <v/>
      </c>
      <c r="AD223" s="44" t="str">
        <f>IF(AND(ISNUMBER(V223),ISNUMBER(I223)),IF(F223="空",I223-V223,V223-I223),"")</f>
        <v/>
      </c>
      <c r="AE223" s="44" t="str">
        <f>IF(OR(NOT(ISNUMBER(AA223)),NOT(ISNUMBER(X223))),"",IF(AA223&lt;0,IF(F223="空",X223-J223,J223-X223),IF(NOT(ISNUMBER(K223)),"",IF(F223="空",X223-K223,K223-X223))))</f>
        <v/>
      </c>
      <c r="AF223" s="32" t="n"/>
      <c r="AG223" s="32" t="n"/>
      <c r="AH223" s="31" t="n"/>
      <c r="AI223" s="43" t="str">
        <f>IF(A223="","",SUM(AC$5:AC223))</f>
        <v/>
      </c>
      <c r="AJ223" s="45" t="str">
        <f>IF(A223="","",MAX(0,MAX(AI$5:AI223))-AI223)</f>
        <v/>
      </c>
    </row>
    <row r="224">
      <c r="A224" s="29" t="n"/>
      <c r="B224" s="30" t="n"/>
      <c r="C224" s="31" t="n"/>
      <c r="D224" s="32" t="n"/>
      <c r="E224" s="32" t="n"/>
      <c r="F224" s="32" t="n"/>
      <c r="G224" s="32" t="n"/>
      <c r="H224" s="32" t="n"/>
      <c r="I224" s="33" t="n"/>
      <c r="J224" s="33" t="n"/>
      <c r="K224" s="33" t="n"/>
      <c r="L224" s="34" t="str">
        <f>IF(AND(ISNUMBER(I224),ISNUMBER(J224),ISNUMBER(K224)),IF(OR(AND(F224="多",I224&gt;J224),AND(F224="空",I224&lt;J224)),ABS(K224-I224)/ABS(I224-J224),"止损方向不对"),"")</f>
        <v/>
      </c>
      <c r="M224" s="35" t="str">
        <f>IF(AND(ISNUMBER(I224),ISNUMBER(J224)),IF(I224=J224,"",IF(INT(ROUND('参数'!$C$7/(ABS(I224-J224)*IF(N(G224)&gt;0,G224,1)+2*(I224*IF(N(G224)&gt;0,G224,1)*'参数'!$C$12+'参数'!$C$13+'参数'!$C$14*IF(N(G224)&gt;0,G224,1)))/IF(N(H224)&gt;0,H224,1),6))*IF(N(H224)&gt;0,H224,1)&gt;0,INT(ROUND('参数'!$C$7/(ABS(I224-J224)*IF(N(G224)&gt;0,G224,1)+2*(I224*IF(N(G224)&gt;0,G224,1)*'参数'!$C$12+'参数'!$C$13+'参数'!$C$14*IF(N(G224)&gt;0,G224,1)))/IF(N(H224)&gt;0,H224,1),6))*IF(N(H224)&gt;0,H224,1),"预算不足，这笔不做")),"")</f>
        <v/>
      </c>
      <c r="N224" s="36" t="n"/>
      <c r="O224" s="20" t="str">
        <f>IF(AND(ISNUMBER(I224),ISNUMBER(J224),ISNUMBER(N224)),IF(AND(I224&lt;&gt;J224,N224&gt;0),ABS(I224-J224)*N224*IF(N(G224)&gt;0,G224,1),""),"")</f>
        <v/>
      </c>
      <c r="P224" s="31" t="n"/>
      <c r="Q224" s="32" t="n"/>
      <c r="R224" s="37" t="str">
        <f>IF(N(U224)&gt;0,SUMPRODUCT(LARGE(('成交明细'!$A$5:$A$804=A224)*('成交明细'!$D$5:$D$804=IF(F224="空","卖","买"))*'成交明细'!$B$5:$B$804,COUNTIFS('成交明细'!$A$5:$A$804,A224,'成交明细'!$D$5:$D$804,IF(F224="空","卖","买")))),"")</f>
        <v/>
      </c>
      <c r="S224" s="37" t="str">
        <f>IF(AND(N(U224)&gt;0,N(W224)&gt;=N(U224)),SUMPRODUCT(MAX(('成交明细'!$A$5:$A$804=A224)*('成交明细'!$D$5:$D$804=IF(F224="空","买","卖"))*'成交明细'!$B$5:$B$804)),"")</f>
        <v/>
      </c>
      <c r="T224" s="38" t="str">
        <f>IF(N(U224)=0,"",IF(SUMPRODUCT(('成交明细'!$A$5:$A$804=A224)*('成交明细'!$D$5:$D$804=IF(F224="空","卖","买"))*ISNUMBER('成交明细'!$C$5:$C$804))=0,"没填时间",IFERROR(VLOOKUP(MOD(SUMPRODUCT(LARGE(('成交明细'!$A$5:$A$804=A224)*('成交明细'!$D$5:$D$804=IF(F224="空","卖","买"))*('成交明细'!$B$5:$B$804+'成交明细'!$C$5:$C$804),COUNTIFS('成交明细'!$A$5:$A$804,A224,'成交明细'!$D$5:$D$804,IF(F224="空","卖","买")))),1),'参数'!$B$39:$C$48,2,TRUE),"")))</f>
        <v/>
      </c>
      <c r="U224" s="35" t="str">
        <f>IF(A224="","",SUMIFS('成交明细'!$F$5:$F$804,'成交明细'!$A$5:$A$804,A224,'成交明细'!$D$5:$D$804,IF(F224="空","卖","买")))</f>
        <v/>
      </c>
      <c r="V224" s="39" t="str">
        <f>IF(N(U224)&gt;0,SUMIFS('成交明细'!$H$5:$H$804,'成交明细'!$A$5:$A$804,A224,'成交明细'!$D$5:$D$804,IF(F224="空","卖","买"))/U224,"")</f>
        <v/>
      </c>
      <c r="W224" s="35" t="str">
        <f>IF(A224="","",SUMIFS('成交明细'!$F$5:$F$804,'成交明细'!$A$5:$A$804,A224,'成交明细'!$D$5:$D$804,IF(F224="空","买","卖")))</f>
        <v/>
      </c>
      <c r="X224" s="39" t="str">
        <f>IF(N(W224)&gt;0,SUMIFS('成交明细'!$H$5:$H$804,'成交明细'!$A$5:$A$804,A224,'成交明细'!$D$5:$D$804,IF(F224="空","买","卖"))/W224,"")</f>
        <v/>
      </c>
      <c r="Y224" s="40" t="str">
        <f>IF(A224="","",IF(Q224&lt;&gt;"已执行",IF(Q224="","未填执行情况",Q224),IF(N(U224)=0,"待录成交",IF(N(W224)&gt;N(U224),"平仓多于开仓",IF(N(W224)&lt;N(U224),"持仓中","已平仓")))))</f>
        <v/>
      </c>
      <c r="Z224" s="41" t="str">
        <f>IF(N(U224)=0,"",SUMIFS('成交明细'!$L$5:$L$804,'成交明细'!$A$5:$A$804,A224))</f>
        <v/>
      </c>
      <c r="AA224" s="42" t="str">
        <f>IF(Y224&lt;&gt;"已平仓","",(SUMIFS('成交明细'!$H$5:$H$804,'成交明细'!$A$5:$A$804,A224,'成交明细'!$D$5:$D$804,"卖")-SUMIFS('成交明细'!$H$5:$H$804,'成交明细'!$A$5:$A$804,A224,'成交明细'!$D$5:$D$804,"买"))*IF(N(G224)&gt;0,G224,1)-Z224)</f>
        <v/>
      </c>
      <c r="AB224" s="43" t="str">
        <f>IF(AND(Y224="已平仓",ISNUMBER(O224)),(SUMIFS('成交明细'!$H$5:$H$804,'成交明细'!$A$5:$A$804,A224,'成交明细'!$D$5:$D$804,"卖")-SUMIFS('成交明细'!$H$5:$H$804,'成交明细'!$A$5:$A$804,A224,'成交明细'!$D$5:$D$804,"买"))*IF(N(G224)&gt;0,G224,1)/O224,"")</f>
        <v/>
      </c>
      <c r="AC224" s="43" t="str">
        <f>IF(AND(Y224="已平仓",ISNUMBER(O224)),AA224/O224,"")</f>
        <v/>
      </c>
      <c r="AD224" s="44" t="str">
        <f>IF(AND(ISNUMBER(V224),ISNUMBER(I224)),IF(F224="空",I224-V224,V224-I224),"")</f>
        <v/>
      </c>
      <c r="AE224" s="44" t="str">
        <f>IF(OR(NOT(ISNUMBER(AA224)),NOT(ISNUMBER(X224))),"",IF(AA224&lt;0,IF(F224="空",X224-J224,J224-X224),IF(NOT(ISNUMBER(K224)),"",IF(F224="空",X224-K224,K224-X224))))</f>
        <v/>
      </c>
      <c r="AF224" s="32" t="n"/>
      <c r="AG224" s="32" t="n"/>
      <c r="AH224" s="31" t="n"/>
      <c r="AI224" s="43" t="str">
        <f>IF(A224="","",SUM(AC$5:AC224))</f>
        <v/>
      </c>
      <c r="AJ224" s="45" t="str">
        <f>IF(A224="","",MAX(0,MAX(AI$5:AI224))-AI224)</f>
        <v/>
      </c>
    </row>
    <row r="225">
      <c r="A225" s="29" t="n"/>
      <c r="B225" s="30" t="n"/>
      <c r="C225" s="31" t="n"/>
      <c r="D225" s="32" t="n"/>
      <c r="E225" s="32" t="n"/>
      <c r="F225" s="32" t="n"/>
      <c r="G225" s="32" t="n"/>
      <c r="H225" s="32" t="n"/>
      <c r="I225" s="33" t="n"/>
      <c r="J225" s="33" t="n"/>
      <c r="K225" s="33" t="n"/>
      <c r="L225" s="34" t="str">
        <f>IF(AND(ISNUMBER(I225),ISNUMBER(J225),ISNUMBER(K225)),IF(OR(AND(F225="多",I225&gt;J225),AND(F225="空",I225&lt;J225)),ABS(K225-I225)/ABS(I225-J225),"止损方向不对"),"")</f>
        <v/>
      </c>
      <c r="M225" s="35" t="str">
        <f>IF(AND(ISNUMBER(I225),ISNUMBER(J225)),IF(I225=J225,"",IF(INT(ROUND('参数'!$C$7/(ABS(I225-J225)*IF(N(G225)&gt;0,G225,1)+2*(I225*IF(N(G225)&gt;0,G225,1)*'参数'!$C$12+'参数'!$C$13+'参数'!$C$14*IF(N(G225)&gt;0,G225,1)))/IF(N(H225)&gt;0,H225,1),6))*IF(N(H225)&gt;0,H225,1)&gt;0,INT(ROUND('参数'!$C$7/(ABS(I225-J225)*IF(N(G225)&gt;0,G225,1)+2*(I225*IF(N(G225)&gt;0,G225,1)*'参数'!$C$12+'参数'!$C$13+'参数'!$C$14*IF(N(G225)&gt;0,G225,1)))/IF(N(H225)&gt;0,H225,1),6))*IF(N(H225)&gt;0,H225,1),"预算不足，这笔不做")),"")</f>
        <v/>
      </c>
      <c r="N225" s="36" t="n"/>
      <c r="O225" s="20" t="str">
        <f>IF(AND(ISNUMBER(I225),ISNUMBER(J225),ISNUMBER(N225)),IF(AND(I225&lt;&gt;J225,N225&gt;0),ABS(I225-J225)*N225*IF(N(G225)&gt;0,G225,1),""),"")</f>
        <v/>
      </c>
      <c r="P225" s="31" t="n"/>
      <c r="Q225" s="32" t="n"/>
      <c r="R225" s="37" t="str">
        <f>IF(N(U225)&gt;0,SUMPRODUCT(LARGE(('成交明细'!$A$5:$A$804=A225)*('成交明细'!$D$5:$D$804=IF(F225="空","卖","买"))*'成交明细'!$B$5:$B$804,COUNTIFS('成交明细'!$A$5:$A$804,A225,'成交明细'!$D$5:$D$804,IF(F225="空","卖","买")))),"")</f>
        <v/>
      </c>
      <c r="S225" s="37" t="str">
        <f>IF(AND(N(U225)&gt;0,N(W225)&gt;=N(U225)),SUMPRODUCT(MAX(('成交明细'!$A$5:$A$804=A225)*('成交明细'!$D$5:$D$804=IF(F225="空","买","卖"))*'成交明细'!$B$5:$B$804)),"")</f>
        <v/>
      </c>
      <c r="T225" s="38" t="str">
        <f>IF(N(U225)=0,"",IF(SUMPRODUCT(('成交明细'!$A$5:$A$804=A225)*('成交明细'!$D$5:$D$804=IF(F225="空","卖","买"))*ISNUMBER('成交明细'!$C$5:$C$804))=0,"没填时间",IFERROR(VLOOKUP(MOD(SUMPRODUCT(LARGE(('成交明细'!$A$5:$A$804=A225)*('成交明细'!$D$5:$D$804=IF(F225="空","卖","买"))*('成交明细'!$B$5:$B$804+'成交明细'!$C$5:$C$804),COUNTIFS('成交明细'!$A$5:$A$804,A225,'成交明细'!$D$5:$D$804,IF(F225="空","卖","买")))),1),'参数'!$B$39:$C$48,2,TRUE),"")))</f>
        <v/>
      </c>
      <c r="U225" s="35" t="str">
        <f>IF(A225="","",SUMIFS('成交明细'!$F$5:$F$804,'成交明细'!$A$5:$A$804,A225,'成交明细'!$D$5:$D$804,IF(F225="空","卖","买")))</f>
        <v/>
      </c>
      <c r="V225" s="39" t="str">
        <f>IF(N(U225)&gt;0,SUMIFS('成交明细'!$H$5:$H$804,'成交明细'!$A$5:$A$804,A225,'成交明细'!$D$5:$D$804,IF(F225="空","卖","买"))/U225,"")</f>
        <v/>
      </c>
      <c r="W225" s="35" t="str">
        <f>IF(A225="","",SUMIFS('成交明细'!$F$5:$F$804,'成交明细'!$A$5:$A$804,A225,'成交明细'!$D$5:$D$804,IF(F225="空","买","卖")))</f>
        <v/>
      </c>
      <c r="X225" s="39" t="str">
        <f>IF(N(W225)&gt;0,SUMIFS('成交明细'!$H$5:$H$804,'成交明细'!$A$5:$A$804,A225,'成交明细'!$D$5:$D$804,IF(F225="空","买","卖"))/W225,"")</f>
        <v/>
      </c>
      <c r="Y225" s="40" t="str">
        <f>IF(A225="","",IF(Q225&lt;&gt;"已执行",IF(Q225="","未填执行情况",Q225),IF(N(U225)=0,"待录成交",IF(N(W225)&gt;N(U225),"平仓多于开仓",IF(N(W225)&lt;N(U225),"持仓中","已平仓")))))</f>
        <v/>
      </c>
      <c r="Z225" s="41" t="str">
        <f>IF(N(U225)=0,"",SUMIFS('成交明细'!$L$5:$L$804,'成交明细'!$A$5:$A$804,A225))</f>
        <v/>
      </c>
      <c r="AA225" s="42" t="str">
        <f>IF(Y225&lt;&gt;"已平仓","",(SUMIFS('成交明细'!$H$5:$H$804,'成交明细'!$A$5:$A$804,A225,'成交明细'!$D$5:$D$804,"卖")-SUMIFS('成交明细'!$H$5:$H$804,'成交明细'!$A$5:$A$804,A225,'成交明细'!$D$5:$D$804,"买"))*IF(N(G225)&gt;0,G225,1)-Z225)</f>
        <v/>
      </c>
      <c r="AB225" s="43" t="str">
        <f>IF(AND(Y225="已平仓",ISNUMBER(O225)),(SUMIFS('成交明细'!$H$5:$H$804,'成交明细'!$A$5:$A$804,A225,'成交明细'!$D$5:$D$804,"卖")-SUMIFS('成交明细'!$H$5:$H$804,'成交明细'!$A$5:$A$804,A225,'成交明细'!$D$5:$D$804,"买"))*IF(N(G225)&gt;0,G225,1)/O225,"")</f>
        <v/>
      </c>
      <c r="AC225" s="43" t="str">
        <f>IF(AND(Y225="已平仓",ISNUMBER(O225)),AA225/O225,"")</f>
        <v/>
      </c>
      <c r="AD225" s="44" t="str">
        <f>IF(AND(ISNUMBER(V225),ISNUMBER(I225)),IF(F225="空",I225-V225,V225-I225),"")</f>
        <v/>
      </c>
      <c r="AE225" s="44" t="str">
        <f>IF(OR(NOT(ISNUMBER(AA225)),NOT(ISNUMBER(X225))),"",IF(AA225&lt;0,IF(F225="空",X225-J225,J225-X225),IF(NOT(ISNUMBER(K225)),"",IF(F225="空",X225-K225,K225-X225))))</f>
        <v/>
      </c>
      <c r="AF225" s="32" t="n"/>
      <c r="AG225" s="32" t="n"/>
      <c r="AH225" s="31" t="n"/>
      <c r="AI225" s="43" t="str">
        <f>IF(A225="","",SUM(AC$5:AC225))</f>
        <v/>
      </c>
      <c r="AJ225" s="45" t="str">
        <f>IF(A225="","",MAX(0,MAX(AI$5:AI225))-AI225)</f>
        <v/>
      </c>
    </row>
    <row r="226">
      <c r="A226" s="29" t="n"/>
      <c r="B226" s="30" t="n"/>
      <c r="C226" s="31" t="n"/>
      <c r="D226" s="32" t="n"/>
      <c r="E226" s="32" t="n"/>
      <c r="F226" s="32" t="n"/>
      <c r="G226" s="32" t="n"/>
      <c r="H226" s="32" t="n"/>
      <c r="I226" s="33" t="n"/>
      <c r="J226" s="33" t="n"/>
      <c r="K226" s="33" t="n"/>
      <c r="L226" s="34" t="str">
        <f>IF(AND(ISNUMBER(I226),ISNUMBER(J226),ISNUMBER(K226)),IF(OR(AND(F226="多",I226&gt;J226),AND(F226="空",I226&lt;J226)),ABS(K226-I226)/ABS(I226-J226),"止损方向不对"),"")</f>
        <v/>
      </c>
      <c r="M226" s="35" t="str">
        <f>IF(AND(ISNUMBER(I226),ISNUMBER(J226)),IF(I226=J226,"",IF(INT(ROUND('参数'!$C$7/(ABS(I226-J226)*IF(N(G226)&gt;0,G226,1)+2*(I226*IF(N(G226)&gt;0,G226,1)*'参数'!$C$12+'参数'!$C$13+'参数'!$C$14*IF(N(G226)&gt;0,G226,1)))/IF(N(H226)&gt;0,H226,1),6))*IF(N(H226)&gt;0,H226,1)&gt;0,INT(ROUND('参数'!$C$7/(ABS(I226-J226)*IF(N(G226)&gt;0,G226,1)+2*(I226*IF(N(G226)&gt;0,G226,1)*'参数'!$C$12+'参数'!$C$13+'参数'!$C$14*IF(N(G226)&gt;0,G226,1)))/IF(N(H226)&gt;0,H226,1),6))*IF(N(H226)&gt;0,H226,1),"预算不足，这笔不做")),"")</f>
        <v/>
      </c>
      <c r="N226" s="36" t="n"/>
      <c r="O226" s="20" t="str">
        <f>IF(AND(ISNUMBER(I226),ISNUMBER(J226),ISNUMBER(N226)),IF(AND(I226&lt;&gt;J226,N226&gt;0),ABS(I226-J226)*N226*IF(N(G226)&gt;0,G226,1),""),"")</f>
        <v/>
      </c>
      <c r="P226" s="31" t="n"/>
      <c r="Q226" s="32" t="n"/>
      <c r="R226" s="37" t="str">
        <f>IF(N(U226)&gt;0,SUMPRODUCT(LARGE(('成交明细'!$A$5:$A$804=A226)*('成交明细'!$D$5:$D$804=IF(F226="空","卖","买"))*'成交明细'!$B$5:$B$804,COUNTIFS('成交明细'!$A$5:$A$804,A226,'成交明细'!$D$5:$D$804,IF(F226="空","卖","买")))),"")</f>
        <v/>
      </c>
      <c r="S226" s="37" t="str">
        <f>IF(AND(N(U226)&gt;0,N(W226)&gt;=N(U226)),SUMPRODUCT(MAX(('成交明细'!$A$5:$A$804=A226)*('成交明细'!$D$5:$D$804=IF(F226="空","买","卖"))*'成交明细'!$B$5:$B$804)),"")</f>
        <v/>
      </c>
      <c r="T226" s="38" t="str">
        <f>IF(N(U226)=0,"",IF(SUMPRODUCT(('成交明细'!$A$5:$A$804=A226)*('成交明细'!$D$5:$D$804=IF(F226="空","卖","买"))*ISNUMBER('成交明细'!$C$5:$C$804))=0,"没填时间",IFERROR(VLOOKUP(MOD(SUMPRODUCT(LARGE(('成交明细'!$A$5:$A$804=A226)*('成交明细'!$D$5:$D$804=IF(F226="空","卖","买"))*('成交明细'!$B$5:$B$804+'成交明细'!$C$5:$C$804),COUNTIFS('成交明细'!$A$5:$A$804,A226,'成交明细'!$D$5:$D$804,IF(F226="空","卖","买")))),1),'参数'!$B$39:$C$48,2,TRUE),"")))</f>
        <v/>
      </c>
      <c r="U226" s="35" t="str">
        <f>IF(A226="","",SUMIFS('成交明细'!$F$5:$F$804,'成交明细'!$A$5:$A$804,A226,'成交明细'!$D$5:$D$804,IF(F226="空","卖","买")))</f>
        <v/>
      </c>
      <c r="V226" s="39" t="str">
        <f>IF(N(U226)&gt;0,SUMIFS('成交明细'!$H$5:$H$804,'成交明细'!$A$5:$A$804,A226,'成交明细'!$D$5:$D$804,IF(F226="空","卖","买"))/U226,"")</f>
        <v/>
      </c>
      <c r="W226" s="35" t="str">
        <f>IF(A226="","",SUMIFS('成交明细'!$F$5:$F$804,'成交明细'!$A$5:$A$804,A226,'成交明细'!$D$5:$D$804,IF(F226="空","买","卖")))</f>
        <v/>
      </c>
      <c r="X226" s="39" t="str">
        <f>IF(N(W226)&gt;0,SUMIFS('成交明细'!$H$5:$H$804,'成交明细'!$A$5:$A$804,A226,'成交明细'!$D$5:$D$804,IF(F226="空","买","卖"))/W226,"")</f>
        <v/>
      </c>
      <c r="Y226" s="40" t="str">
        <f>IF(A226="","",IF(Q226&lt;&gt;"已执行",IF(Q226="","未填执行情况",Q226),IF(N(U226)=0,"待录成交",IF(N(W226)&gt;N(U226),"平仓多于开仓",IF(N(W226)&lt;N(U226),"持仓中","已平仓")))))</f>
        <v/>
      </c>
      <c r="Z226" s="41" t="str">
        <f>IF(N(U226)=0,"",SUMIFS('成交明细'!$L$5:$L$804,'成交明细'!$A$5:$A$804,A226))</f>
        <v/>
      </c>
      <c r="AA226" s="42" t="str">
        <f>IF(Y226&lt;&gt;"已平仓","",(SUMIFS('成交明细'!$H$5:$H$804,'成交明细'!$A$5:$A$804,A226,'成交明细'!$D$5:$D$804,"卖")-SUMIFS('成交明细'!$H$5:$H$804,'成交明细'!$A$5:$A$804,A226,'成交明细'!$D$5:$D$804,"买"))*IF(N(G226)&gt;0,G226,1)-Z226)</f>
        <v/>
      </c>
      <c r="AB226" s="43" t="str">
        <f>IF(AND(Y226="已平仓",ISNUMBER(O226)),(SUMIFS('成交明细'!$H$5:$H$804,'成交明细'!$A$5:$A$804,A226,'成交明细'!$D$5:$D$804,"卖")-SUMIFS('成交明细'!$H$5:$H$804,'成交明细'!$A$5:$A$804,A226,'成交明细'!$D$5:$D$804,"买"))*IF(N(G226)&gt;0,G226,1)/O226,"")</f>
        <v/>
      </c>
      <c r="AC226" s="43" t="str">
        <f>IF(AND(Y226="已平仓",ISNUMBER(O226)),AA226/O226,"")</f>
        <v/>
      </c>
      <c r="AD226" s="44" t="str">
        <f>IF(AND(ISNUMBER(V226),ISNUMBER(I226)),IF(F226="空",I226-V226,V226-I226),"")</f>
        <v/>
      </c>
      <c r="AE226" s="44" t="str">
        <f>IF(OR(NOT(ISNUMBER(AA226)),NOT(ISNUMBER(X226))),"",IF(AA226&lt;0,IF(F226="空",X226-J226,J226-X226),IF(NOT(ISNUMBER(K226)),"",IF(F226="空",X226-K226,K226-X226))))</f>
        <v/>
      </c>
      <c r="AF226" s="32" t="n"/>
      <c r="AG226" s="32" t="n"/>
      <c r="AH226" s="31" t="n"/>
      <c r="AI226" s="43" t="str">
        <f>IF(A226="","",SUM(AC$5:AC226))</f>
        <v/>
      </c>
      <c r="AJ226" s="45" t="str">
        <f>IF(A226="","",MAX(0,MAX(AI$5:AI226))-AI226)</f>
        <v/>
      </c>
    </row>
    <row r="227">
      <c r="A227" s="29" t="n"/>
      <c r="B227" s="30" t="n"/>
      <c r="C227" s="31" t="n"/>
      <c r="D227" s="32" t="n"/>
      <c r="E227" s="32" t="n"/>
      <c r="F227" s="32" t="n"/>
      <c r="G227" s="32" t="n"/>
      <c r="H227" s="32" t="n"/>
      <c r="I227" s="33" t="n"/>
      <c r="J227" s="33" t="n"/>
      <c r="K227" s="33" t="n"/>
      <c r="L227" s="34" t="str">
        <f>IF(AND(ISNUMBER(I227),ISNUMBER(J227),ISNUMBER(K227)),IF(OR(AND(F227="多",I227&gt;J227),AND(F227="空",I227&lt;J227)),ABS(K227-I227)/ABS(I227-J227),"止损方向不对"),"")</f>
        <v/>
      </c>
      <c r="M227" s="35" t="str">
        <f>IF(AND(ISNUMBER(I227),ISNUMBER(J227)),IF(I227=J227,"",IF(INT(ROUND('参数'!$C$7/(ABS(I227-J227)*IF(N(G227)&gt;0,G227,1)+2*(I227*IF(N(G227)&gt;0,G227,1)*'参数'!$C$12+'参数'!$C$13+'参数'!$C$14*IF(N(G227)&gt;0,G227,1)))/IF(N(H227)&gt;0,H227,1),6))*IF(N(H227)&gt;0,H227,1)&gt;0,INT(ROUND('参数'!$C$7/(ABS(I227-J227)*IF(N(G227)&gt;0,G227,1)+2*(I227*IF(N(G227)&gt;0,G227,1)*'参数'!$C$12+'参数'!$C$13+'参数'!$C$14*IF(N(G227)&gt;0,G227,1)))/IF(N(H227)&gt;0,H227,1),6))*IF(N(H227)&gt;0,H227,1),"预算不足，这笔不做")),"")</f>
        <v/>
      </c>
      <c r="N227" s="36" t="n"/>
      <c r="O227" s="20" t="str">
        <f>IF(AND(ISNUMBER(I227),ISNUMBER(J227),ISNUMBER(N227)),IF(AND(I227&lt;&gt;J227,N227&gt;0),ABS(I227-J227)*N227*IF(N(G227)&gt;0,G227,1),""),"")</f>
        <v/>
      </c>
      <c r="P227" s="31" t="n"/>
      <c r="Q227" s="32" t="n"/>
      <c r="R227" s="37" t="str">
        <f>IF(N(U227)&gt;0,SUMPRODUCT(LARGE(('成交明细'!$A$5:$A$804=A227)*('成交明细'!$D$5:$D$804=IF(F227="空","卖","买"))*'成交明细'!$B$5:$B$804,COUNTIFS('成交明细'!$A$5:$A$804,A227,'成交明细'!$D$5:$D$804,IF(F227="空","卖","买")))),"")</f>
        <v/>
      </c>
      <c r="S227" s="37" t="str">
        <f>IF(AND(N(U227)&gt;0,N(W227)&gt;=N(U227)),SUMPRODUCT(MAX(('成交明细'!$A$5:$A$804=A227)*('成交明细'!$D$5:$D$804=IF(F227="空","买","卖"))*'成交明细'!$B$5:$B$804)),"")</f>
        <v/>
      </c>
      <c r="T227" s="38" t="str">
        <f>IF(N(U227)=0,"",IF(SUMPRODUCT(('成交明细'!$A$5:$A$804=A227)*('成交明细'!$D$5:$D$804=IF(F227="空","卖","买"))*ISNUMBER('成交明细'!$C$5:$C$804))=0,"没填时间",IFERROR(VLOOKUP(MOD(SUMPRODUCT(LARGE(('成交明细'!$A$5:$A$804=A227)*('成交明细'!$D$5:$D$804=IF(F227="空","卖","买"))*('成交明细'!$B$5:$B$804+'成交明细'!$C$5:$C$804),COUNTIFS('成交明细'!$A$5:$A$804,A227,'成交明细'!$D$5:$D$804,IF(F227="空","卖","买")))),1),'参数'!$B$39:$C$48,2,TRUE),"")))</f>
        <v/>
      </c>
      <c r="U227" s="35" t="str">
        <f>IF(A227="","",SUMIFS('成交明细'!$F$5:$F$804,'成交明细'!$A$5:$A$804,A227,'成交明细'!$D$5:$D$804,IF(F227="空","卖","买")))</f>
        <v/>
      </c>
      <c r="V227" s="39" t="str">
        <f>IF(N(U227)&gt;0,SUMIFS('成交明细'!$H$5:$H$804,'成交明细'!$A$5:$A$804,A227,'成交明细'!$D$5:$D$804,IF(F227="空","卖","买"))/U227,"")</f>
        <v/>
      </c>
      <c r="W227" s="35" t="str">
        <f>IF(A227="","",SUMIFS('成交明细'!$F$5:$F$804,'成交明细'!$A$5:$A$804,A227,'成交明细'!$D$5:$D$804,IF(F227="空","买","卖")))</f>
        <v/>
      </c>
      <c r="X227" s="39" t="str">
        <f>IF(N(W227)&gt;0,SUMIFS('成交明细'!$H$5:$H$804,'成交明细'!$A$5:$A$804,A227,'成交明细'!$D$5:$D$804,IF(F227="空","买","卖"))/W227,"")</f>
        <v/>
      </c>
      <c r="Y227" s="40" t="str">
        <f>IF(A227="","",IF(Q227&lt;&gt;"已执行",IF(Q227="","未填执行情况",Q227),IF(N(U227)=0,"待录成交",IF(N(W227)&gt;N(U227),"平仓多于开仓",IF(N(W227)&lt;N(U227),"持仓中","已平仓")))))</f>
        <v/>
      </c>
      <c r="Z227" s="41" t="str">
        <f>IF(N(U227)=0,"",SUMIFS('成交明细'!$L$5:$L$804,'成交明细'!$A$5:$A$804,A227))</f>
        <v/>
      </c>
      <c r="AA227" s="42" t="str">
        <f>IF(Y227&lt;&gt;"已平仓","",(SUMIFS('成交明细'!$H$5:$H$804,'成交明细'!$A$5:$A$804,A227,'成交明细'!$D$5:$D$804,"卖")-SUMIFS('成交明细'!$H$5:$H$804,'成交明细'!$A$5:$A$804,A227,'成交明细'!$D$5:$D$804,"买"))*IF(N(G227)&gt;0,G227,1)-Z227)</f>
        <v/>
      </c>
      <c r="AB227" s="43" t="str">
        <f>IF(AND(Y227="已平仓",ISNUMBER(O227)),(SUMIFS('成交明细'!$H$5:$H$804,'成交明细'!$A$5:$A$804,A227,'成交明细'!$D$5:$D$804,"卖")-SUMIFS('成交明细'!$H$5:$H$804,'成交明细'!$A$5:$A$804,A227,'成交明细'!$D$5:$D$804,"买"))*IF(N(G227)&gt;0,G227,1)/O227,"")</f>
        <v/>
      </c>
      <c r="AC227" s="43" t="str">
        <f>IF(AND(Y227="已平仓",ISNUMBER(O227)),AA227/O227,"")</f>
        <v/>
      </c>
      <c r="AD227" s="44" t="str">
        <f>IF(AND(ISNUMBER(V227),ISNUMBER(I227)),IF(F227="空",I227-V227,V227-I227),"")</f>
        <v/>
      </c>
      <c r="AE227" s="44" t="str">
        <f>IF(OR(NOT(ISNUMBER(AA227)),NOT(ISNUMBER(X227))),"",IF(AA227&lt;0,IF(F227="空",X227-J227,J227-X227),IF(NOT(ISNUMBER(K227)),"",IF(F227="空",X227-K227,K227-X227))))</f>
        <v/>
      </c>
      <c r="AF227" s="32" t="n"/>
      <c r="AG227" s="32" t="n"/>
      <c r="AH227" s="31" t="n"/>
      <c r="AI227" s="43" t="str">
        <f>IF(A227="","",SUM(AC$5:AC227))</f>
        <v/>
      </c>
      <c r="AJ227" s="45" t="str">
        <f>IF(A227="","",MAX(0,MAX(AI$5:AI227))-AI227)</f>
        <v/>
      </c>
    </row>
    <row r="228">
      <c r="A228" s="29" t="n"/>
      <c r="B228" s="30" t="n"/>
      <c r="C228" s="31" t="n"/>
      <c r="D228" s="32" t="n"/>
      <c r="E228" s="32" t="n"/>
      <c r="F228" s="32" t="n"/>
      <c r="G228" s="32" t="n"/>
      <c r="H228" s="32" t="n"/>
      <c r="I228" s="33" t="n"/>
      <c r="J228" s="33" t="n"/>
      <c r="K228" s="33" t="n"/>
      <c r="L228" s="34" t="str">
        <f>IF(AND(ISNUMBER(I228),ISNUMBER(J228),ISNUMBER(K228)),IF(OR(AND(F228="多",I228&gt;J228),AND(F228="空",I228&lt;J228)),ABS(K228-I228)/ABS(I228-J228),"止损方向不对"),"")</f>
        <v/>
      </c>
      <c r="M228" s="35" t="str">
        <f>IF(AND(ISNUMBER(I228),ISNUMBER(J228)),IF(I228=J228,"",IF(INT(ROUND('参数'!$C$7/(ABS(I228-J228)*IF(N(G228)&gt;0,G228,1)+2*(I228*IF(N(G228)&gt;0,G228,1)*'参数'!$C$12+'参数'!$C$13+'参数'!$C$14*IF(N(G228)&gt;0,G228,1)))/IF(N(H228)&gt;0,H228,1),6))*IF(N(H228)&gt;0,H228,1)&gt;0,INT(ROUND('参数'!$C$7/(ABS(I228-J228)*IF(N(G228)&gt;0,G228,1)+2*(I228*IF(N(G228)&gt;0,G228,1)*'参数'!$C$12+'参数'!$C$13+'参数'!$C$14*IF(N(G228)&gt;0,G228,1)))/IF(N(H228)&gt;0,H228,1),6))*IF(N(H228)&gt;0,H228,1),"预算不足，这笔不做")),"")</f>
        <v/>
      </c>
      <c r="N228" s="36" t="n"/>
      <c r="O228" s="20" t="str">
        <f>IF(AND(ISNUMBER(I228),ISNUMBER(J228),ISNUMBER(N228)),IF(AND(I228&lt;&gt;J228,N228&gt;0),ABS(I228-J228)*N228*IF(N(G228)&gt;0,G228,1),""),"")</f>
        <v/>
      </c>
      <c r="P228" s="31" t="n"/>
      <c r="Q228" s="32" t="n"/>
      <c r="R228" s="37" t="str">
        <f>IF(N(U228)&gt;0,SUMPRODUCT(LARGE(('成交明细'!$A$5:$A$804=A228)*('成交明细'!$D$5:$D$804=IF(F228="空","卖","买"))*'成交明细'!$B$5:$B$804,COUNTIFS('成交明细'!$A$5:$A$804,A228,'成交明细'!$D$5:$D$804,IF(F228="空","卖","买")))),"")</f>
        <v/>
      </c>
      <c r="S228" s="37" t="str">
        <f>IF(AND(N(U228)&gt;0,N(W228)&gt;=N(U228)),SUMPRODUCT(MAX(('成交明细'!$A$5:$A$804=A228)*('成交明细'!$D$5:$D$804=IF(F228="空","买","卖"))*'成交明细'!$B$5:$B$804)),"")</f>
        <v/>
      </c>
      <c r="T228" s="38" t="str">
        <f>IF(N(U228)=0,"",IF(SUMPRODUCT(('成交明细'!$A$5:$A$804=A228)*('成交明细'!$D$5:$D$804=IF(F228="空","卖","买"))*ISNUMBER('成交明细'!$C$5:$C$804))=0,"没填时间",IFERROR(VLOOKUP(MOD(SUMPRODUCT(LARGE(('成交明细'!$A$5:$A$804=A228)*('成交明细'!$D$5:$D$804=IF(F228="空","卖","买"))*('成交明细'!$B$5:$B$804+'成交明细'!$C$5:$C$804),COUNTIFS('成交明细'!$A$5:$A$804,A228,'成交明细'!$D$5:$D$804,IF(F228="空","卖","买")))),1),'参数'!$B$39:$C$48,2,TRUE),"")))</f>
        <v/>
      </c>
      <c r="U228" s="35" t="str">
        <f>IF(A228="","",SUMIFS('成交明细'!$F$5:$F$804,'成交明细'!$A$5:$A$804,A228,'成交明细'!$D$5:$D$804,IF(F228="空","卖","买")))</f>
        <v/>
      </c>
      <c r="V228" s="39" t="str">
        <f>IF(N(U228)&gt;0,SUMIFS('成交明细'!$H$5:$H$804,'成交明细'!$A$5:$A$804,A228,'成交明细'!$D$5:$D$804,IF(F228="空","卖","买"))/U228,"")</f>
        <v/>
      </c>
      <c r="W228" s="35" t="str">
        <f>IF(A228="","",SUMIFS('成交明细'!$F$5:$F$804,'成交明细'!$A$5:$A$804,A228,'成交明细'!$D$5:$D$804,IF(F228="空","买","卖")))</f>
        <v/>
      </c>
      <c r="X228" s="39" t="str">
        <f>IF(N(W228)&gt;0,SUMIFS('成交明细'!$H$5:$H$804,'成交明细'!$A$5:$A$804,A228,'成交明细'!$D$5:$D$804,IF(F228="空","买","卖"))/W228,"")</f>
        <v/>
      </c>
      <c r="Y228" s="40" t="str">
        <f>IF(A228="","",IF(Q228&lt;&gt;"已执行",IF(Q228="","未填执行情况",Q228),IF(N(U228)=0,"待录成交",IF(N(W228)&gt;N(U228),"平仓多于开仓",IF(N(W228)&lt;N(U228),"持仓中","已平仓")))))</f>
        <v/>
      </c>
      <c r="Z228" s="41" t="str">
        <f>IF(N(U228)=0,"",SUMIFS('成交明细'!$L$5:$L$804,'成交明细'!$A$5:$A$804,A228))</f>
        <v/>
      </c>
      <c r="AA228" s="42" t="str">
        <f>IF(Y228&lt;&gt;"已平仓","",(SUMIFS('成交明细'!$H$5:$H$804,'成交明细'!$A$5:$A$804,A228,'成交明细'!$D$5:$D$804,"卖")-SUMIFS('成交明细'!$H$5:$H$804,'成交明细'!$A$5:$A$804,A228,'成交明细'!$D$5:$D$804,"买"))*IF(N(G228)&gt;0,G228,1)-Z228)</f>
        <v/>
      </c>
      <c r="AB228" s="43" t="str">
        <f>IF(AND(Y228="已平仓",ISNUMBER(O228)),(SUMIFS('成交明细'!$H$5:$H$804,'成交明细'!$A$5:$A$804,A228,'成交明细'!$D$5:$D$804,"卖")-SUMIFS('成交明细'!$H$5:$H$804,'成交明细'!$A$5:$A$804,A228,'成交明细'!$D$5:$D$804,"买"))*IF(N(G228)&gt;0,G228,1)/O228,"")</f>
        <v/>
      </c>
      <c r="AC228" s="43" t="str">
        <f>IF(AND(Y228="已平仓",ISNUMBER(O228)),AA228/O228,"")</f>
        <v/>
      </c>
      <c r="AD228" s="44" t="str">
        <f>IF(AND(ISNUMBER(V228),ISNUMBER(I228)),IF(F228="空",I228-V228,V228-I228),"")</f>
        <v/>
      </c>
      <c r="AE228" s="44" t="str">
        <f>IF(OR(NOT(ISNUMBER(AA228)),NOT(ISNUMBER(X228))),"",IF(AA228&lt;0,IF(F228="空",X228-J228,J228-X228),IF(NOT(ISNUMBER(K228)),"",IF(F228="空",X228-K228,K228-X228))))</f>
        <v/>
      </c>
      <c r="AF228" s="32" t="n"/>
      <c r="AG228" s="32" t="n"/>
      <c r="AH228" s="31" t="n"/>
      <c r="AI228" s="43" t="str">
        <f>IF(A228="","",SUM(AC$5:AC228))</f>
        <v/>
      </c>
      <c r="AJ228" s="45" t="str">
        <f>IF(A228="","",MAX(0,MAX(AI$5:AI228))-AI228)</f>
        <v/>
      </c>
    </row>
    <row r="229">
      <c r="A229" s="29" t="n"/>
      <c r="B229" s="30" t="n"/>
      <c r="C229" s="31" t="n"/>
      <c r="D229" s="32" t="n"/>
      <c r="E229" s="32" t="n"/>
      <c r="F229" s="32" t="n"/>
      <c r="G229" s="32" t="n"/>
      <c r="H229" s="32" t="n"/>
      <c r="I229" s="33" t="n"/>
      <c r="J229" s="33" t="n"/>
      <c r="K229" s="33" t="n"/>
      <c r="L229" s="34" t="str">
        <f>IF(AND(ISNUMBER(I229),ISNUMBER(J229),ISNUMBER(K229)),IF(OR(AND(F229="多",I229&gt;J229),AND(F229="空",I229&lt;J229)),ABS(K229-I229)/ABS(I229-J229),"止损方向不对"),"")</f>
        <v/>
      </c>
      <c r="M229" s="35" t="str">
        <f>IF(AND(ISNUMBER(I229),ISNUMBER(J229)),IF(I229=J229,"",IF(INT(ROUND('参数'!$C$7/(ABS(I229-J229)*IF(N(G229)&gt;0,G229,1)+2*(I229*IF(N(G229)&gt;0,G229,1)*'参数'!$C$12+'参数'!$C$13+'参数'!$C$14*IF(N(G229)&gt;0,G229,1)))/IF(N(H229)&gt;0,H229,1),6))*IF(N(H229)&gt;0,H229,1)&gt;0,INT(ROUND('参数'!$C$7/(ABS(I229-J229)*IF(N(G229)&gt;0,G229,1)+2*(I229*IF(N(G229)&gt;0,G229,1)*'参数'!$C$12+'参数'!$C$13+'参数'!$C$14*IF(N(G229)&gt;0,G229,1)))/IF(N(H229)&gt;0,H229,1),6))*IF(N(H229)&gt;0,H229,1),"预算不足，这笔不做")),"")</f>
        <v/>
      </c>
      <c r="N229" s="36" t="n"/>
      <c r="O229" s="20" t="str">
        <f>IF(AND(ISNUMBER(I229),ISNUMBER(J229),ISNUMBER(N229)),IF(AND(I229&lt;&gt;J229,N229&gt;0),ABS(I229-J229)*N229*IF(N(G229)&gt;0,G229,1),""),"")</f>
        <v/>
      </c>
      <c r="P229" s="31" t="n"/>
      <c r="Q229" s="32" t="n"/>
      <c r="R229" s="37" t="str">
        <f>IF(N(U229)&gt;0,SUMPRODUCT(LARGE(('成交明细'!$A$5:$A$804=A229)*('成交明细'!$D$5:$D$804=IF(F229="空","卖","买"))*'成交明细'!$B$5:$B$804,COUNTIFS('成交明细'!$A$5:$A$804,A229,'成交明细'!$D$5:$D$804,IF(F229="空","卖","买")))),"")</f>
        <v/>
      </c>
      <c r="S229" s="37" t="str">
        <f>IF(AND(N(U229)&gt;0,N(W229)&gt;=N(U229)),SUMPRODUCT(MAX(('成交明细'!$A$5:$A$804=A229)*('成交明细'!$D$5:$D$804=IF(F229="空","买","卖"))*'成交明细'!$B$5:$B$804)),"")</f>
        <v/>
      </c>
      <c r="T229" s="38" t="str">
        <f>IF(N(U229)=0,"",IF(SUMPRODUCT(('成交明细'!$A$5:$A$804=A229)*('成交明细'!$D$5:$D$804=IF(F229="空","卖","买"))*ISNUMBER('成交明细'!$C$5:$C$804))=0,"没填时间",IFERROR(VLOOKUP(MOD(SUMPRODUCT(LARGE(('成交明细'!$A$5:$A$804=A229)*('成交明细'!$D$5:$D$804=IF(F229="空","卖","买"))*('成交明细'!$B$5:$B$804+'成交明细'!$C$5:$C$804),COUNTIFS('成交明细'!$A$5:$A$804,A229,'成交明细'!$D$5:$D$804,IF(F229="空","卖","买")))),1),'参数'!$B$39:$C$48,2,TRUE),"")))</f>
        <v/>
      </c>
      <c r="U229" s="35" t="str">
        <f>IF(A229="","",SUMIFS('成交明细'!$F$5:$F$804,'成交明细'!$A$5:$A$804,A229,'成交明细'!$D$5:$D$804,IF(F229="空","卖","买")))</f>
        <v/>
      </c>
      <c r="V229" s="39" t="str">
        <f>IF(N(U229)&gt;0,SUMIFS('成交明细'!$H$5:$H$804,'成交明细'!$A$5:$A$804,A229,'成交明细'!$D$5:$D$804,IF(F229="空","卖","买"))/U229,"")</f>
        <v/>
      </c>
      <c r="W229" s="35" t="str">
        <f>IF(A229="","",SUMIFS('成交明细'!$F$5:$F$804,'成交明细'!$A$5:$A$804,A229,'成交明细'!$D$5:$D$804,IF(F229="空","买","卖")))</f>
        <v/>
      </c>
      <c r="X229" s="39" t="str">
        <f>IF(N(W229)&gt;0,SUMIFS('成交明细'!$H$5:$H$804,'成交明细'!$A$5:$A$804,A229,'成交明细'!$D$5:$D$804,IF(F229="空","买","卖"))/W229,"")</f>
        <v/>
      </c>
      <c r="Y229" s="40" t="str">
        <f>IF(A229="","",IF(Q229&lt;&gt;"已执行",IF(Q229="","未填执行情况",Q229),IF(N(U229)=0,"待录成交",IF(N(W229)&gt;N(U229),"平仓多于开仓",IF(N(W229)&lt;N(U229),"持仓中","已平仓")))))</f>
        <v/>
      </c>
      <c r="Z229" s="41" t="str">
        <f>IF(N(U229)=0,"",SUMIFS('成交明细'!$L$5:$L$804,'成交明细'!$A$5:$A$804,A229))</f>
        <v/>
      </c>
      <c r="AA229" s="42" t="str">
        <f>IF(Y229&lt;&gt;"已平仓","",(SUMIFS('成交明细'!$H$5:$H$804,'成交明细'!$A$5:$A$804,A229,'成交明细'!$D$5:$D$804,"卖")-SUMIFS('成交明细'!$H$5:$H$804,'成交明细'!$A$5:$A$804,A229,'成交明细'!$D$5:$D$804,"买"))*IF(N(G229)&gt;0,G229,1)-Z229)</f>
        <v/>
      </c>
      <c r="AB229" s="43" t="str">
        <f>IF(AND(Y229="已平仓",ISNUMBER(O229)),(SUMIFS('成交明细'!$H$5:$H$804,'成交明细'!$A$5:$A$804,A229,'成交明细'!$D$5:$D$804,"卖")-SUMIFS('成交明细'!$H$5:$H$804,'成交明细'!$A$5:$A$804,A229,'成交明细'!$D$5:$D$804,"买"))*IF(N(G229)&gt;0,G229,1)/O229,"")</f>
        <v/>
      </c>
      <c r="AC229" s="43" t="str">
        <f>IF(AND(Y229="已平仓",ISNUMBER(O229)),AA229/O229,"")</f>
        <v/>
      </c>
      <c r="AD229" s="44" t="str">
        <f>IF(AND(ISNUMBER(V229),ISNUMBER(I229)),IF(F229="空",I229-V229,V229-I229),"")</f>
        <v/>
      </c>
      <c r="AE229" s="44" t="str">
        <f>IF(OR(NOT(ISNUMBER(AA229)),NOT(ISNUMBER(X229))),"",IF(AA229&lt;0,IF(F229="空",X229-J229,J229-X229),IF(NOT(ISNUMBER(K229)),"",IF(F229="空",X229-K229,K229-X229))))</f>
        <v/>
      </c>
      <c r="AF229" s="32" t="n"/>
      <c r="AG229" s="32" t="n"/>
      <c r="AH229" s="31" t="n"/>
      <c r="AI229" s="43" t="str">
        <f>IF(A229="","",SUM(AC$5:AC229))</f>
        <v/>
      </c>
      <c r="AJ229" s="45" t="str">
        <f>IF(A229="","",MAX(0,MAX(AI$5:AI229))-AI229)</f>
        <v/>
      </c>
    </row>
    <row r="230">
      <c r="A230" s="29" t="n"/>
      <c r="B230" s="30" t="n"/>
      <c r="C230" s="31" t="n"/>
      <c r="D230" s="32" t="n"/>
      <c r="E230" s="32" t="n"/>
      <c r="F230" s="32" t="n"/>
      <c r="G230" s="32" t="n"/>
      <c r="H230" s="32" t="n"/>
      <c r="I230" s="33" t="n"/>
      <c r="J230" s="33" t="n"/>
      <c r="K230" s="33" t="n"/>
      <c r="L230" s="34" t="str">
        <f>IF(AND(ISNUMBER(I230),ISNUMBER(J230),ISNUMBER(K230)),IF(OR(AND(F230="多",I230&gt;J230),AND(F230="空",I230&lt;J230)),ABS(K230-I230)/ABS(I230-J230),"止损方向不对"),"")</f>
        <v/>
      </c>
      <c r="M230" s="35" t="str">
        <f>IF(AND(ISNUMBER(I230),ISNUMBER(J230)),IF(I230=J230,"",IF(INT(ROUND('参数'!$C$7/(ABS(I230-J230)*IF(N(G230)&gt;0,G230,1)+2*(I230*IF(N(G230)&gt;0,G230,1)*'参数'!$C$12+'参数'!$C$13+'参数'!$C$14*IF(N(G230)&gt;0,G230,1)))/IF(N(H230)&gt;0,H230,1),6))*IF(N(H230)&gt;0,H230,1)&gt;0,INT(ROUND('参数'!$C$7/(ABS(I230-J230)*IF(N(G230)&gt;0,G230,1)+2*(I230*IF(N(G230)&gt;0,G230,1)*'参数'!$C$12+'参数'!$C$13+'参数'!$C$14*IF(N(G230)&gt;0,G230,1)))/IF(N(H230)&gt;0,H230,1),6))*IF(N(H230)&gt;0,H230,1),"预算不足，这笔不做")),"")</f>
        <v/>
      </c>
      <c r="N230" s="36" t="n"/>
      <c r="O230" s="20" t="str">
        <f>IF(AND(ISNUMBER(I230),ISNUMBER(J230),ISNUMBER(N230)),IF(AND(I230&lt;&gt;J230,N230&gt;0),ABS(I230-J230)*N230*IF(N(G230)&gt;0,G230,1),""),"")</f>
        <v/>
      </c>
      <c r="P230" s="31" t="n"/>
      <c r="Q230" s="32" t="n"/>
      <c r="R230" s="37" t="str">
        <f>IF(N(U230)&gt;0,SUMPRODUCT(LARGE(('成交明细'!$A$5:$A$804=A230)*('成交明细'!$D$5:$D$804=IF(F230="空","卖","买"))*'成交明细'!$B$5:$B$804,COUNTIFS('成交明细'!$A$5:$A$804,A230,'成交明细'!$D$5:$D$804,IF(F230="空","卖","买")))),"")</f>
        <v/>
      </c>
      <c r="S230" s="37" t="str">
        <f>IF(AND(N(U230)&gt;0,N(W230)&gt;=N(U230)),SUMPRODUCT(MAX(('成交明细'!$A$5:$A$804=A230)*('成交明细'!$D$5:$D$804=IF(F230="空","买","卖"))*'成交明细'!$B$5:$B$804)),"")</f>
        <v/>
      </c>
      <c r="T230" s="38" t="str">
        <f>IF(N(U230)=0,"",IF(SUMPRODUCT(('成交明细'!$A$5:$A$804=A230)*('成交明细'!$D$5:$D$804=IF(F230="空","卖","买"))*ISNUMBER('成交明细'!$C$5:$C$804))=0,"没填时间",IFERROR(VLOOKUP(MOD(SUMPRODUCT(LARGE(('成交明细'!$A$5:$A$804=A230)*('成交明细'!$D$5:$D$804=IF(F230="空","卖","买"))*('成交明细'!$B$5:$B$804+'成交明细'!$C$5:$C$804),COUNTIFS('成交明细'!$A$5:$A$804,A230,'成交明细'!$D$5:$D$804,IF(F230="空","卖","买")))),1),'参数'!$B$39:$C$48,2,TRUE),"")))</f>
        <v/>
      </c>
      <c r="U230" s="35" t="str">
        <f>IF(A230="","",SUMIFS('成交明细'!$F$5:$F$804,'成交明细'!$A$5:$A$804,A230,'成交明细'!$D$5:$D$804,IF(F230="空","卖","买")))</f>
        <v/>
      </c>
      <c r="V230" s="39" t="str">
        <f>IF(N(U230)&gt;0,SUMIFS('成交明细'!$H$5:$H$804,'成交明细'!$A$5:$A$804,A230,'成交明细'!$D$5:$D$804,IF(F230="空","卖","买"))/U230,"")</f>
        <v/>
      </c>
      <c r="W230" s="35" t="str">
        <f>IF(A230="","",SUMIFS('成交明细'!$F$5:$F$804,'成交明细'!$A$5:$A$804,A230,'成交明细'!$D$5:$D$804,IF(F230="空","买","卖")))</f>
        <v/>
      </c>
      <c r="X230" s="39" t="str">
        <f>IF(N(W230)&gt;0,SUMIFS('成交明细'!$H$5:$H$804,'成交明细'!$A$5:$A$804,A230,'成交明细'!$D$5:$D$804,IF(F230="空","买","卖"))/W230,"")</f>
        <v/>
      </c>
      <c r="Y230" s="40" t="str">
        <f>IF(A230="","",IF(Q230&lt;&gt;"已执行",IF(Q230="","未填执行情况",Q230),IF(N(U230)=0,"待录成交",IF(N(W230)&gt;N(U230),"平仓多于开仓",IF(N(W230)&lt;N(U230),"持仓中","已平仓")))))</f>
        <v/>
      </c>
      <c r="Z230" s="41" t="str">
        <f>IF(N(U230)=0,"",SUMIFS('成交明细'!$L$5:$L$804,'成交明细'!$A$5:$A$804,A230))</f>
        <v/>
      </c>
      <c r="AA230" s="42" t="str">
        <f>IF(Y230&lt;&gt;"已平仓","",(SUMIFS('成交明细'!$H$5:$H$804,'成交明细'!$A$5:$A$804,A230,'成交明细'!$D$5:$D$804,"卖")-SUMIFS('成交明细'!$H$5:$H$804,'成交明细'!$A$5:$A$804,A230,'成交明细'!$D$5:$D$804,"买"))*IF(N(G230)&gt;0,G230,1)-Z230)</f>
        <v/>
      </c>
      <c r="AB230" s="43" t="str">
        <f>IF(AND(Y230="已平仓",ISNUMBER(O230)),(SUMIFS('成交明细'!$H$5:$H$804,'成交明细'!$A$5:$A$804,A230,'成交明细'!$D$5:$D$804,"卖")-SUMIFS('成交明细'!$H$5:$H$804,'成交明细'!$A$5:$A$804,A230,'成交明细'!$D$5:$D$804,"买"))*IF(N(G230)&gt;0,G230,1)/O230,"")</f>
        <v/>
      </c>
      <c r="AC230" s="43" t="str">
        <f>IF(AND(Y230="已平仓",ISNUMBER(O230)),AA230/O230,"")</f>
        <v/>
      </c>
      <c r="AD230" s="44" t="str">
        <f>IF(AND(ISNUMBER(V230),ISNUMBER(I230)),IF(F230="空",I230-V230,V230-I230),"")</f>
        <v/>
      </c>
      <c r="AE230" s="44" t="str">
        <f>IF(OR(NOT(ISNUMBER(AA230)),NOT(ISNUMBER(X230))),"",IF(AA230&lt;0,IF(F230="空",X230-J230,J230-X230),IF(NOT(ISNUMBER(K230)),"",IF(F230="空",X230-K230,K230-X230))))</f>
        <v/>
      </c>
      <c r="AF230" s="32" t="n"/>
      <c r="AG230" s="32" t="n"/>
      <c r="AH230" s="31" t="n"/>
      <c r="AI230" s="43" t="str">
        <f>IF(A230="","",SUM(AC$5:AC230))</f>
        <v/>
      </c>
      <c r="AJ230" s="45" t="str">
        <f>IF(A230="","",MAX(0,MAX(AI$5:AI230))-AI230)</f>
        <v/>
      </c>
    </row>
    <row r="231">
      <c r="A231" s="29" t="n"/>
      <c r="B231" s="30" t="n"/>
      <c r="C231" s="31" t="n"/>
      <c r="D231" s="32" t="n"/>
      <c r="E231" s="32" t="n"/>
      <c r="F231" s="32" t="n"/>
      <c r="G231" s="32" t="n"/>
      <c r="H231" s="32" t="n"/>
      <c r="I231" s="33" t="n"/>
      <c r="J231" s="33" t="n"/>
      <c r="K231" s="33" t="n"/>
      <c r="L231" s="34" t="str">
        <f>IF(AND(ISNUMBER(I231),ISNUMBER(J231),ISNUMBER(K231)),IF(OR(AND(F231="多",I231&gt;J231),AND(F231="空",I231&lt;J231)),ABS(K231-I231)/ABS(I231-J231),"止损方向不对"),"")</f>
        <v/>
      </c>
      <c r="M231" s="35" t="str">
        <f>IF(AND(ISNUMBER(I231),ISNUMBER(J231)),IF(I231=J231,"",IF(INT(ROUND('参数'!$C$7/(ABS(I231-J231)*IF(N(G231)&gt;0,G231,1)+2*(I231*IF(N(G231)&gt;0,G231,1)*'参数'!$C$12+'参数'!$C$13+'参数'!$C$14*IF(N(G231)&gt;0,G231,1)))/IF(N(H231)&gt;0,H231,1),6))*IF(N(H231)&gt;0,H231,1)&gt;0,INT(ROUND('参数'!$C$7/(ABS(I231-J231)*IF(N(G231)&gt;0,G231,1)+2*(I231*IF(N(G231)&gt;0,G231,1)*'参数'!$C$12+'参数'!$C$13+'参数'!$C$14*IF(N(G231)&gt;0,G231,1)))/IF(N(H231)&gt;0,H231,1),6))*IF(N(H231)&gt;0,H231,1),"预算不足，这笔不做")),"")</f>
        <v/>
      </c>
      <c r="N231" s="36" t="n"/>
      <c r="O231" s="20" t="str">
        <f>IF(AND(ISNUMBER(I231),ISNUMBER(J231),ISNUMBER(N231)),IF(AND(I231&lt;&gt;J231,N231&gt;0),ABS(I231-J231)*N231*IF(N(G231)&gt;0,G231,1),""),"")</f>
        <v/>
      </c>
      <c r="P231" s="31" t="n"/>
      <c r="Q231" s="32" t="n"/>
      <c r="R231" s="37" t="str">
        <f>IF(N(U231)&gt;0,SUMPRODUCT(LARGE(('成交明细'!$A$5:$A$804=A231)*('成交明细'!$D$5:$D$804=IF(F231="空","卖","买"))*'成交明细'!$B$5:$B$804,COUNTIFS('成交明细'!$A$5:$A$804,A231,'成交明细'!$D$5:$D$804,IF(F231="空","卖","买")))),"")</f>
        <v/>
      </c>
      <c r="S231" s="37" t="str">
        <f>IF(AND(N(U231)&gt;0,N(W231)&gt;=N(U231)),SUMPRODUCT(MAX(('成交明细'!$A$5:$A$804=A231)*('成交明细'!$D$5:$D$804=IF(F231="空","买","卖"))*'成交明细'!$B$5:$B$804)),"")</f>
        <v/>
      </c>
      <c r="T231" s="38" t="str">
        <f>IF(N(U231)=0,"",IF(SUMPRODUCT(('成交明细'!$A$5:$A$804=A231)*('成交明细'!$D$5:$D$804=IF(F231="空","卖","买"))*ISNUMBER('成交明细'!$C$5:$C$804))=0,"没填时间",IFERROR(VLOOKUP(MOD(SUMPRODUCT(LARGE(('成交明细'!$A$5:$A$804=A231)*('成交明细'!$D$5:$D$804=IF(F231="空","卖","买"))*('成交明细'!$B$5:$B$804+'成交明细'!$C$5:$C$804),COUNTIFS('成交明细'!$A$5:$A$804,A231,'成交明细'!$D$5:$D$804,IF(F231="空","卖","买")))),1),'参数'!$B$39:$C$48,2,TRUE),"")))</f>
        <v/>
      </c>
      <c r="U231" s="35" t="str">
        <f>IF(A231="","",SUMIFS('成交明细'!$F$5:$F$804,'成交明细'!$A$5:$A$804,A231,'成交明细'!$D$5:$D$804,IF(F231="空","卖","买")))</f>
        <v/>
      </c>
      <c r="V231" s="39" t="str">
        <f>IF(N(U231)&gt;0,SUMIFS('成交明细'!$H$5:$H$804,'成交明细'!$A$5:$A$804,A231,'成交明细'!$D$5:$D$804,IF(F231="空","卖","买"))/U231,"")</f>
        <v/>
      </c>
      <c r="W231" s="35" t="str">
        <f>IF(A231="","",SUMIFS('成交明细'!$F$5:$F$804,'成交明细'!$A$5:$A$804,A231,'成交明细'!$D$5:$D$804,IF(F231="空","买","卖")))</f>
        <v/>
      </c>
      <c r="X231" s="39" t="str">
        <f>IF(N(W231)&gt;0,SUMIFS('成交明细'!$H$5:$H$804,'成交明细'!$A$5:$A$804,A231,'成交明细'!$D$5:$D$804,IF(F231="空","买","卖"))/W231,"")</f>
        <v/>
      </c>
      <c r="Y231" s="40" t="str">
        <f>IF(A231="","",IF(Q231&lt;&gt;"已执行",IF(Q231="","未填执行情况",Q231),IF(N(U231)=0,"待录成交",IF(N(W231)&gt;N(U231),"平仓多于开仓",IF(N(W231)&lt;N(U231),"持仓中","已平仓")))))</f>
        <v/>
      </c>
      <c r="Z231" s="41" t="str">
        <f>IF(N(U231)=0,"",SUMIFS('成交明细'!$L$5:$L$804,'成交明细'!$A$5:$A$804,A231))</f>
        <v/>
      </c>
      <c r="AA231" s="42" t="str">
        <f>IF(Y231&lt;&gt;"已平仓","",(SUMIFS('成交明细'!$H$5:$H$804,'成交明细'!$A$5:$A$804,A231,'成交明细'!$D$5:$D$804,"卖")-SUMIFS('成交明细'!$H$5:$H$804,'成交明细'!$A$5:$A$804,A231,'成交明细'!$D$5:$D$804,"买"))*IF(N(G231)&gt;0,G231,1)-Z231)</f>
        <v/>
      </c>
      <c r="AB231" s="43" t="str">
        <f>IF(AND(Y231="已平仓",ISNUMBER(O231)),(SUMIFS('成交明细'!$H$5:$H$804,'成交明细'!$A$5:$A$804,A231,'成交明细'!$D$5:$D$804,"卖")-SUMIFS('成交明细'!$H$5:$H$804,'成交明细'!$A$5:$A$804,A231,'成交明细'!$D$5:$D$804,"买"))*IF(N(G231)&gt;0,G231,1)/O231,"")</f>
        <v/>
      </c>
      <c r="AC231" s="43" t="str">
        <f>IF(AND(Y231="已平仓",ISNUMBER(O231)),AA231/O231,"")</f>
        <v/>
      </c>
      <c r="AD231" s="44" t="str">
        <f>IF(AND(ISNUMBER(V231),ISNUMBER(I231)),IF(F231="空",I231-V231,V231-I231),"")</f>
        <v/>
      </c>
      <c r="AE231" s="44" t="str">
        <f>IF(OR(NOT(ISNUMBER(AA231)),NOT(ISNUMBER(X231))),"",IF(AA231&lt;0,IF(F231="空",X231-J231,J231-X231),IF(NOT(ISNUMBER(K231)),"",IF(F231="空",X231-K231,K231-X231))))</f>
        <v/>
      </c>
      <c r="AF231" s="32" t="n"/>
      <c r="AG231" s="32" t="n"/>
      <c r="AH231" s="31" t="n"/>
      <c r="AI231" s="43" t="str">
        <f>IF(A231="","",SUM(AC$5:AC231))</f>
        <v/>
      </c>
      <c r="AJ231" s="45" t="str">
        <f>IF(A231="","",MAX(0,MAX(AI$5:AI231))-AI231)</f>
        <v/>
      </c>
    </row>
    <row r="232">
      <c r="A232" s="29" t="n"/>
      <c r="B232" s="30" t="n"/>
      <c r="C232" s="31" t="n"/>
      <c r="D232" s="32" t="n"/>
      <c r="E232" s="32" t="n"/>
      <c r="F232" s="32" t="n"/>
      <c r="G232" s="32" t="n"/>
      <c r="H232" s="32" t="n"/>
      <c r="I232" s="33" t="n"/>
      <c r="J232" s="33" t="n"/>
      <c r="K232" s="33" t="n"/>
      <c r="L232" s="34" t="str">
        <f>IF(AND(ISNUMBER(I232),ISNUMBER(J232),ISNUMBER(K232)),IF(OR(AND(F232="多",I232&gt;J232),AND(F232="空",I232&lt;J232)),ABS(K232-I232)/ABS(I232-J232),"止损方向不对"),"")</f>
        <v/>
      </c>
      <c r="M232" s="35" t="str">
        <f>IF(AND(ISNUMBER(I232),ISNUMBER(J232)),IF(I232=J232,"",IF(INT(ROUND('参数'!$C$7/(ABS(I232-J232)*IF(N(G232)&gt;0,G232,1)+2*(I232*IF(N(G232)&gt;0,G232,1)*'参数'!$C$12+'参数'!$C$13+'参数'!$C$14*IF(N(G232)&gt;0,G232,1)))/IF(N(H232)&gt;0,H232,1),6))*IF(N(H232)&gt;0,H232,1)&gt;0,INT(ROUND('参数'!$C$7/(ABS(I232-J232)*IF(N(G232)&gt;0,G232,1)+2*(I232*IF(N(G232)&gt;0,G232,1)*'参数'!$C$12+'参数'!$C$13+'参数'!$C$14*IF(N(G232)&gt;0,G232,1)))/IF(N(H232)&gt;0,H232,1),6))*IF(N(H232)&gt;0,H232,1),"预算不足，这笔不做")),"")</f>
        <v/>
      </c>
      <c r="N232" s="36" t="n"/>
      <c r="O232" s="20" t="str">
        <f>IF(AND(ISNUMBER(I232),ISNUMBER(J232),ISNUMBER(N232)),IF(AND(I232&lt;&gt;J232,N232&gt;0),ABS(I232-J232)*N232*IF(N(G232)&gt;0,G232,1),""),"")</f>
        <v/>
      </c>
      <c r="P232" s="31" t="n"/>
      <c r="Q232" s="32" t="n"/>
      <c r="R232" s="37" t="str">
        <f>IF(N(U232)&gt;0,SUMPRODUCT(LARGE(('成交明细'!$A$5:$A$804=A232)*('成交明细'!$D$5:$D$804=IF(F232="空","卖","买"))*'成交明细'!$B$5:$B$804,COUNTIFS('成交明细'!$A$5:$A$804,A232,'成交明细'!$D$5:$D$804,IF(F232="空","卖","买")))),"")</f>
        <v/>
      </c>
      <c r="S232" s="37" t="str">
        <f>IF(AND(N(U232)&gt;0,N(W232)&gt;=N(U232)),SUMPRODUCT(MAX(('成交明细'!$A$5:$A$804=A232)*('成交明细'!$D$5:$D$804=IF(F232="空","买","卖"))*'成交明细'!$B$5:$B$804)),"")</f>
        <v/>
      </c>
      <c r="T232" s="38" t="str">
        <f>IF(N(U232)=0,"",IF(SUMPRODUCT(('成交明细'!$A$5:$A$804=A232)*('成交明细'!$D$5:$D$804=IF(F232="空","卖","买"))*ISNUMBER('成交明细'!$C$5:$C$804))=0,"没填时间",IFERROR(VLOOKUP(MOD(SUMPRODUCT(LARGE(('成交明细'!$A$5:$A$804=A232)*('成交明细'!$D$5:$D$804=IF(F232="空","卖","买"))*('成交明细'!$B$5:$B$804+'成交明细'!$C$5:$C$804),COUNTIFS('成交明细'!$A$5:$A$804,A232,'成交明细'!$D$5:$D$804,IF(F232="空","卖","买")))),1),'参数'!$B$39:$C$48,2,TRUE),"")))</f>
        <v/>
      </c>
      <c r="U232" s="35" t="str">
        <f>IF(A232="","",SUMIFS('成交明细'!$F$5:$F$804,'成交明细'!$A$5:$A$804,A232,'成交明细'!$D$5:$D$804,IF(F232="空","卖","买")))</f>
        <v/>
      </c>
      <c r="V232" s="39" t="str">
        <f>IF(N(U232)&gt;0,SUMIFS('成交明细'!$H$5:$H$804,'成交明细'!$A$5:$A$804,A232,'成交明细'!$D$5:$D$804,IF(F232="空","卖","买"))/U232,"")</f>
        <v/>
      </c>
      <c r="W232" s="35" t="str">
        <f>IF(A232="","",SUMIFS('成交明细'!$F$5:$F$804,'成交明细'!$A$5:$A$804,A232,'成交明细'!$D$5:$D$804,IF(F232="空","买","卖")))</f>
        <v/>
      </c>
      <c r="X232" s="39" t="str">
        <f>IF(N(W232)&gt;0,SUMIFS('成交明细'!$H$5:$H$804,'成交明细'!$A$5:$A$804,A232,'成交明细'!$D$5:$D$804,IF(F232="空","买","卖"))/W232,"")</f>
        <v/>
      </c>
      <c r="Y232" s="40" t="str">
        <f>IF(A232="","",IF(Q232&lt;&gt;"已执行",IF(Q232="","未填执行情况",Q232),IF(N(U232)=0,"待录成交",IF(N(W232)&gt;N(U232),"平仓多于开仓",IF(N(W232)&lt;N(U232),"持仓中","已平仓")))))</f>
        <v/>
      </c>
      <c r="Z232" s="41" t="str">
        <f>IF(N(U232)=0,"",SUMIFS('成交明细'!$L$5:$L$804,'成交明细'!$A$5:$A$804,A232))</f>
        <v/>
      </c>
      <c r="AA232" s="42" t="str">
        <f>IF(Y232&lt;&gt;"已平仓","",(SUMIFS('成交明细'!$H$5:$H$804,'成交明细'!$A$5:$A$804,A232,'成交明细'!$D$5:$D$804,"卖")-SUMIFS('成交明细'!$H$5:$H$804,'成交明细'!$A$5:$A$804,A232,'成交明细'!$D$5:$D$804,"买"))*IF(N(G232)&gt;0,G232,1)-Z232)</f>
        <v/>
      </c>
      <c r="AB232" s="43" t="str">
        <f>IF(AND(Y232="已平仓",ISNUMBER(O232)),(SUMIFS('成交明细'!$H$5:$H$804,'成交明细'!$A$5:$A$804,A232,'成交明细'!$D$5:$D$804,"卖")-SUMIFS('成交明细'!$H$5:$H$804,'成交明细'!$A$5:$A$804,A232,'成交明细'!$D$5:$D$804,"买"))*IF(N(G232)&gt;0,G232,1)/O232,"")</f>
        <v/>
      </c>
      <c r="AC232" s="43" t="str">
        <f>IF(AND(Y232="已平仓",ISNUMBER(O232)),AA232/O232,"")</f>
        <v/>
      </c>
      <c r="AD232" s="44" t="str">
        <f>IF(AND(ISNUMBER(V232),ISNUMBER(I232)),IF(F232="空",I232-V232,V232-I232),"")</f>
        <v/>
      </c>
      <c r="AE232" s="44" t="str">
        <f>IF(OR(NOT(ISNUMBER(AA232)),NOT(ISNUMBER(X232))),"",IF(AA232&lt;0,IF(F232="空",X232-J232,J232-X232),IF(NOT(ISNUMBER(K232)),"",IF(F232="空",X232-K232,K232-X232))))</f>
        <v/>
      </c>
      <c r="AF232" s="32" t="n"/>
      <c r="AG232" s="32" t="n"/>
      <c r="AH232" s="31" t="n"/>
      <c r="AI232" s="43" t="str">
        <f>IF(A232="","",SUM(AC$5:AC232))</f>
        <v/>
      </c>
      <c r="AJ232" s="45" t="str">
        <f>IF(A232="","",MAX(0,MAX(AI$5:AI232))-AI232)</f>
        <v/>
      </c>
    </row>
    <row r="233">
      <c r="A233" s="29" t="n"/>
      <c r="B233" s="30" t="n"/>
      <c r="C233" s="31" t="n"/>
      <c r="D233" s="32" t="n"/>
      <c r="E233" s="32" t="n"/>
      <c r="F233" s="32" t="n"/>
      <c r="G233" s="32" t="n"/>
      <c r="H233" s="32" t="n"/>
      <c r="I233" s="33" t="n"/>
      <c r="J233" s="33" t="n"/>
      <c r="K233" s="33" t="n"/>
      <c r="L233" s="34" t="str">
        <f>IF(AND(ISNUMBER(I233),ISNUMBER(J233),ISNUMBER(K233)),IF(OR(AND(F233="多",I233&gt;J233),AND(F233="空",I233&lt;J233)),ABS(K233-I233)/ABS(I233-J233),"止损方向不对"),"")</f>
        <v/>
      </c>
      <c r="M233" s="35" t="str">
        <f>IF(AND(ISNUMBER(I233),ISNUMBER(J233)),IF(I233=J233,"",IF(INT(ROUND('参数'!$C$7/(ABS(I233-J233)*IF(N(G233)&gt;0,G233,1)+2*(I233*IF(N(G233)&gt;0,G233,1)*'参数'!$C$12+'参数'!$C$13+'参数'!$C$14*IF(N(G233)&gt;0,G233,1)))/IF(N(H233)&gt;0,H233,1),6))*IF(N(H233)&gt;0,H233,1)&gt;0,INT(ROUND('参数'!$C$7/(ABS(I233-J233)*IF(N(G233)&gt;0,G233,1)+2*(I233*IF(N(G233)&gt;0,G233,1)*'参数'!$C$12+'参数'!$C$13+'参数'!$C$14*IF(N(G233)&gt;0,G233,1)))/IF(N(H233)&gt;0,H233,1),6))*IF(N(H233)&gt;0,H233,1),"预算不足，这笔不做")),"")</f>
        <v/>
      </c>
      <c r="N233" s="36" t="n"/>
      <c r="O233" s="20" t="str">
        <f>IF(AND(ISNUMBER(I233),ISNUMBER(J233),ISNUMBER(N233)),IF(AND(I233&lt;&gt;J233,N233&gt;0),ABS(I233-J233)*N233*IF(N(G233)&gt;0,G233,1),""),"")</f>
        <v/>
      </c>
      <c r="P233" s="31" t="n"/>
      <c r="Q233" s="32" t="n"/>
      <c r="R233" s="37" t="str">
        <f>IF(N(U233)&gt;0,SUMPRODUCT(LARGE(('成交明细'!$A$5:$A$804=A233)*('成交明细'!$D$5:$D$804=IF(F233="空","卖","买"))*'成交明细'!$B$5:$B$804,COUNTIFS('成交明细'!$A$5:$A$804,A233,'成交明细'!$D$5:$D$804,IF(F233="空","卖","买")))),"")</f>
        <v/>
      </c>
      <c r="S233" s="37" t="str">
        <f>IF(AND(N(U233)&gt;0,N(W233)&gt;=N(U233)),SUMPRODUCT(MAX(('成交明细'!$A$5:$A$804=A233)*('成交明细'!$D$5:$D$804=IF(F233="空","买","卖"))*'成交明细'!$B$5:$B$804)),"")</f>
        <v/>
      </c>
      <c r="T233" s="38" t="str">
        <f>IF(N(U233)=0,"",IF(SUMPRODUCT(('成交明细'!$A$5:$A$804=A233)*('成交明细'!$D$5:$D$804=IF(F233="空","卖","买"))*ISNUMBER('成交明细'!$C$5:$C$804))=0,"没填时间",IFERROR(VLOOKUP(MOD(SUMPRODUCT(LARGE(('成交明细'!$A$5:$A$804=A233)*('成交明细'!$D$5:$D$804=IF(F233="空","卖","买"))*('成交明细'!$B$5:$B$804+'成交明细'!$C$5:$C$804),COUNTIFS('成交明细'!$A$5:$A$804,A233,'成交明细'!$D$5:$D$804,IF(F233="空","卖","买")))),1),'参数'!$B$39:$C$48,2,TRUE),"")))</f>
        <v/>
      </c>
      <c r="U233" s="35" t="str">
        <f>IF(A233="","",SUMIFS('成交明细'!$F$5:$F$804,'成交明细'!$A$5:$A$804,A233,'成交明细'!$D$5:$D$804,IF(F233="空","卖","买")))</f>
        <v/>
      </c>
      <c r="V233" s="39" t="str">
        <f>IF(N(U233)&gt;0,SUMIFS('成交明细'!$H$5:$H$804,'成交明细'!$A$5:$A$804,A233,'成交明细'!$D$5:$D$804,IF(F233="空","卖","买"))/U233,"")</f>
        <v/>
      </c>
      <c r="W233" s="35" t="str">
        <f>IF(A233="","",SUMIFS('成交明细'!$F$5:$F$804,'成交明细'!$A$5:$A$804,A233,'成交明细'!$D$5:$D$804,IF(F233="空","买","卖")))</f>
        <v/>
      </c>
      <c r="X233" s="39" t="str">
        <f>IF(N(W233)&gt;0,SUMIFS('成交明细'!$H$5:$H$804,'成交明细'!$A$5:$A$804,A233,'成交明细'!$D$5:$D$804,IF(F233="空","买","卖"))/W233,"")</f>
        <v/>
      </c>
      <c r="Y233" s="40" t="str">
        <f>IF(A233="","",IF(Q233&lt;&gt;"已执行",IF(Q233="","未填执行情况",Q233),IF(N(U233)=0,"待录成交",IF(N(W233)&gt;N(U233),"平仓多于开仓",IF(N(W233)&lt;N(U233),"持仓中","已平仓")))))</f>
        <v/>
      </c>
      <c r="Z233" s="41" t="str">
        <f>IF(N(U233)=0,"",SUMIFS('成交明细'!$L$5:$L$804,'成交明细'!$A$5:$A$804,A233))</f>
        <v/>
      </c>
      <c r="AA233" s="42" t="str">
        <f>IF(Y233&lt;&gt;"已平仓","",(SUMIFS('成交明细'!$H$5:$H$804,'成交明细'!$A$5:$A$804,A233,'成交明细'!$D$5:$D$804,"卖")-SUMIFS('成交明细'!$H$5:$H$804,'成交明细'!$A$5:$A$804,A233,'成交明细'!$D$5:$D$804,"买"))*IF(N(G233)&gt;0,G233,1)-Z233)</f>
        <v/>
      </c>
      <c r="AB233" s="43" t="str">
        <f>IF(AND(Y233="已平仓",ISNUMBER(O233)),(SUMIFS('成交明细'!$H$5:$H$804,'成交明细'!$A$5:$A$804,A233,'成交明细'!$D$5:$D$804,"卖")-SUMIFS('成交明细'!$H$5:$H$804,'成交明细'!$A$5:$A$804,A233,'成交明细'!$D$5:$D$804,"买"))*IF(N(G233)&gt;0,G233,1)/O233,"")</f>
        <v/>
      </c>
      <c r="AC233" s="43" t="str">
        <f>IF(AND(Y233="已平仓",ISNUMBER(O233)),AA233/O233,"")</f>
        <v/>
      </c>
      <c r="AD233" s="44" t="str">
        <f>IF(AND(ISNUMBER(V233),ISNUMBER(I233)),IF(F233="空",I233-V233,V233-I233),"")</f>
        <v/>
      </c>
      <c r="AE233" s="44" t="str">
        <f>IF(OR(NOT(ISNUMBER(AA233)),NOT(ISNUMBER(X233))),"",IF(AA233&lt;0,IF(F233="空",X233-J233,J233-X233),IF(NOT(ISNUMBER(K233)),"",IF(F233="空",X233-K233,K233-X233))))</f>
        <v/>
      </c>
      <c r="AF233" s="32" t="n"/>
      <c r="AG233" s="32" t="n"/>
      <c r="AH233" s="31" t="n"/>
      <c r="AI233" s="43" t="str">
        <f>IF(A233="","",SUM(AC$5:AC233))</f>
        <v/>
      </c>
      <c r="AJ233" s="45" t="str">
        <f>IF(A233="","",MAX(0,MAX(AI$5:AI233))-AI233)</f>
        <v/>
      </c>
    </row>
    <row r="234">
      <c r="A234" s="29" t="n"/>
      <c r="B234" s="30" t="n"/>
      <c r="C234" s="31" t="n"/>
      <c r="D234" s="32" t="n"/>
      <c r="E234" s="32" t="n"/>
      <c r="F234" s="32" t="n"/>
      <c r="G234" s="32" t="n"/>
      <c r="H234" s="32" t="n"/>
      <c r="I234" s="33" t="n"/>
      <c r="J234" s="33" t="n"/>
      <c r="K234" s="33" t="n"/>
      <c r="L234" s="34" t="str">
        <f>IF(AND(ISNUMBER(I234),ISNUMBER(J234),ISNUMBER(K234)),IF(OR(AND(F234="多",I234&gt;J234),AND(F234="空",I234&lt;J234)),ABS(K234-I234)/ABS(I234-J234),"止损方向不对"),"")</f>
        <v/>
      </c>
      <c r="M234" s="35" t="str">
        <f>IF(AND(ISNUMBER(I234),ISNUMBER(J234)),IF(I234=J234,"",IF(INT(ROUND('参数'!$C$7/(ABS(I234-J234)*IF(N(G234)&gt;0,G234,1)+2*(I234*IF(N(G234)&gt;0,G234,1)*'参数'!$C$12+'参数'!$C$13+'参数'!$C$14*IF(N(G234)&gt;0,G234,1)))/IF(N(H234)&gt;0,H234,1),6))*IF(N(H234)&gt;0,H234,1)&gt;0,INT(ROUND('参数'!$C$7/(ABS(I234-J234)*IF(N(G234)&gt;0,G234,1)+2*(I234*IF(N(G234)&gt;0,G234,1)*'参数'!$C$12+'参数'!$C$13+'参数'!$C$14*IF(N(G234)&gt;0,G234,1)))/IF(N(H234)&gt;0,H234,1),6))*IF(N(H234)&gt;0,H234,1),"预算不足，这笔不做")),"")</f>
        <v/>
      </c>
      <c r="N234" s="36" t="n"/>
      <c r="O234" s="20" t="str">
        <f>IF(AND(ISNUMBER(I234),ISNUMBER(J234),ISNUMBER(N234)),IF(AND(I234&lt;&gt;J234,N234&gt;0),ABS(I234-J234)*N234*IF(N(G234)&gt;0,G234,1),""),"")</f>
        <v/>
      </c>
      <c r="P234" s="31" t="n"/>
      <c r="Q234" s="32" t="n"/>
      <c r="R234" s="37" t="str">
        <f>IF(N(U234)&gt;0,SUMPRODUCT(LARGE(('成交明细'!$A$5:$A$804=A234)*('成交明细'!$D$5:$D$804=IF(F234="空","卖","买"))*'成交明细'!$B$5:$B$804,COUNTIFS('成交明细'!$A$5:$A$804,A234,'成交明细'!$D$5:$D$804,IF(F234="空","卖","买")))),"")</f>
        <v/>
      </c>
      <c r="S234" s="37" t="str">
        <f>IF(AND(N(U234)&gt;0,N(W234)&gt;=N(U234)),SUMPRODUCT(MAX(('成交明细'!$A$5:$A$804=A234)*('成交明细'!$D$5:$D$804=IF(F234="空","买","卖"))*'成交明细'!$B$5:$B$804)),"")</f>
        <v/>
      </c>
      <c r="T234" s="38" t="str">
        <f>IF(N(U234)=0,"",IF(SUMPRODUCT(('成交明细'!$A$5:$A$804=A234)*('成交明细'!$D$5:$D$804=IF(F234="空","卖","买"))*ISNUMBER('成交明细'!$C$5:$C$804))=0,"没填时间",IFERROR(VLOOKUP(MOD(SUMPRODUCT(LARGE(('成交明细'!$A$5:$A$804=A234)*('成交明细'!$D$5:$D$804=IF(F234="空","卖","买"))*('成交明细'!$B$5:$B$804+'成交明细'!$C$5:$C$804),COUNTIFS('成交明细'!$A$5:$A$804,A234,'成交明细'!$D$5:$D$804,IF(F234="空","卖","买")))),1),'参数'!$B$39:$C$48,2,TRUE),"")))</f>
        <v/>
      </c>
      <c r="U234" s="35" t="str">
        <f>IF(A234="","",SUMIFS('成交明细'!$F$5:$F$804,'成交明细'!$A$5:$A$804,A234,'成交明细'!$D$5:$D$804,IF(F234="空","卖","买")))</f>
        <v/>
      </c>
      <c r="V234" s="39" t="str">
        <f>IF(N(U234)&gt;0,SUMIFS('成交明细'!$H$5:$H$804,'成交明细'!$A$5:$A$804,A234,'成交明细'!$D$5:$D$804,IF(F234="空","卖","买"))/U234,"")</f>
        <v/>
      </c>
      <c r="W234" s="35" t="str">
        <f>IF(A234="","",SUMIFS('成交明细'!$F$5:$F$804,'成交明细'!$A$5:$A$804,A234,'成交明细'!$D$5:$D$804,IF(F234="空","买","卖")))</f>
        <v/>
      </c>
      <c r="X234" s="39" t="str">
        <f>IF(N(W234)&gt;0,SUMIFS('成交明细'!$H$5:$H$804,'成交明细'!$A$5:$A$804,A234,'成交明细'!$D$5:$D$804,IF(F234="空","买","卖"))/W234,"")</f>
        <v/>
      </c>
      <c r="Y234" s="40" t="str">
        <f>IF(A234="","",IF(Q234&lt;&gt;"已执行",IF(Q234="","未填执行情况",Q234),IF(N(U234)=0,"待录成交",IF(N(W234)&gt;N(U234),"平仓多于开仓",IF(N(W234)&lt;N(U234),"持仓中","已平仓")))))</f>
        <v/>
      </c>
      <c r="Z234" s="41" t="str">
        <f>IF(N(U234)=0,"",SUMIFS('成交明细'!$L$5:$L$804,'成交明细'!$A$5:$A$804,A234))</f>
        <v/>
      </c>
      <c r="AA234" s="42" t="str">
        <f>IF(Y234&lt;&gt;"已平仓","",(SUMIFS('成交明细'!$H$5:$H$804,'成交明细'!$A$5:$A$804,A234,'成交明细'!$D$5:$D$804,"卖")-SUMIFS('成交明细'!$H$5:$H$804,'成交明细'!$A$5:$A$804,A234,'成交明细'!$D$5:$D$804,"买"))*IF(N(G234)&gt;0,G234,1)-Z234)</f>
        <v/>
      </c>
      <c r="AB234" s="43" t="str">
        <f>IF(AND(Y234="已平仓",ISNUMBER(O234)),(SUMIFS('成交明细'!$H$5:$H$804,'成交明细'!$A$5:$A$804,A234,'成交明细'!$D$5:$D$804,"卖")-SUMIFS('成交明细'!$H$5:$H$804,'成交明细'!$A$5:$A$804,A234,'成交明细'!$D$5:$D$804,"买"))*IF(N(G234)&gt;0,G234,1)/O234,"")</f>
        <v/>
      </c>
      <c r="AC234" s="43" t="str">
        <f>IF(AND(Y234="已平仓",ISNUMBER(O234)),AA234/O234,"")</f>
        <v/>
      </c>
      <c r="AD234" s="44" t="str">
        <f>IF(AND(ISNUMBER(V234),ISNUMBER(I234)),IF(F234="空",I234-V234,V234-I234),"")</f>
        <v/>
      </c>
      <c r="AE234" s="44" t="str">
        <f>IF(OR(NOT(ISNUMBER(AA234)),NOT(ISNUMBER(X234))),"",IF(AA234&lt;0,IF(F234="空",X234-J234,J234-X234),IF(NOT(ISNUMBER(K234)),"",IF(F234="空",X234-K234,K234-X234))))</f>
        <v/>
      </c>
      <c r="AF234" s="32" t="n"/>
      <c r="AG234" s="32" t="n"/>
      <c r="AH234" s="31" t="n"/>
      <c r="AI234" s="43" t="str">
        <f>IF(A234="","",SUM(AC$5:AC234))</f>
        <v/>
      </c>
      <c r="AJ234" s="45" t="str">
        <f>IF(A234="","",MAX(0,MAX(AI$5:AI234))-AI234)</f>
        <v/>
      </c>
    </row>
    <row r="235">
      <c r="A235" s="29" t="n"/>
      <c r="B235" s="30" t="n"/>
      <c r="C235" s="31" t="n"/>
      <c r="D235" s="32" t="n"/>
      <c r="E235" s="32" t="n"/>
      <c r="F235" s="32" t="n"/>
      <c r="G235" s="32" t="n"/>
      <c r="H235" s="32" t="n"/>
      <c r="I235" s="33" t="n"/>
      <c r="J235" s="33" t="n"/>
      <c r="K235" s="33" t="n"/>
      <c r="L235" s="34" t="str">
        <f>IF(AND(ISNUMBER(I235),ISNUMBER(J235),ISNUMBER(K235)),IF(OR(AND(F235="多",I235&gt;J235),AND(F235="空",I235&lt;J235)),ABS(K235-I235)/ABS(I235-J235),"止损方向不对"),"")</f>
        <v/>
      </c>
      <c r="M235" s="35" t="str">
        <f>IF(AND(ISNUMBER(I235),ISNUMBER(J235)),IF(I235=J235,"",IF(INT(ROUND('参数'!$C$7/(ABS(I235-J235)*IF(N(G235)&gt;0,G235,1)+2*(I235*IF(N(G235)&gt;0,G235,1)*'参数'!$C$12+'参数'!$C$13+'参数'!$C$14*IF(N(G235)&gt;0,G235,1)))/IF(N(H235)&gt;0,H235,1),6))*IF(N(H235)&gt;0,H235,1)&gt;0,INT(ROUND('参数'!$C$7/(ABS(I235-J235)*IF(N(G235)&gt;0,G235,1)+2*(I235*IF(N(G235)&gt;0,G235,1)*'参数'!$C$12+'参数'!$C$13+'参数'!$C$14*IF(N(G235)&gt;0,G235,1)))/IF(N(H235)&gt;0,H235,1),6))*IF(N(H235)&gt;0,H235,1),"预算不足，这笔不做")),"")</f>
        <v/>
      </c>
      <c r="N235" s="36" t="n"/>
      <c r="O235" s="20" t="str">
        <f>IF(AND(ISNUMBER(I235),ISNUMBER(J235),ISNUMBER(N235)),IF(AND(I235&lt;&gt;J235,N235&gt;0),ABS(I235-J235)*N235*IF(N(G235)&gt;0,G235,1),""),"")</f>
        <v/>
      </c>
      <c r="P235" s="31" t="n"/>
      <c r="Q235" s="32" t="n"/>
      <c r="R235" s="37" t="str">
        <f>IF(N(U235)&gt;0,SUMPRODUCT(LARGE(('成交明细'!$A$5:$A$804=A235)*('成交明细'!$D$5:$D$804=IF(F235="空","卖","买"))*'成交明细'!$B$5:$B$804,COUNTIFS('成交明细'!$A$5:$A$804,A235,'成交明细'!$D$5:$D$804,IF(F235="空","卖","买")))),"")</f>
        <v/>
      </c>
      <c r="S235" s="37" t="str">
        <f>IF(AND(N(U235)&gt;0,N(W235)&gt;=N(U235)),SUMPRODUCT(MAX(('成交明细'!$A$5:$A$804=A235)*('成交明细'!$D$5:$D$804=IF(F235="空","买","卖"))*'成交明细'!$B$5:$B$804)),"")</f>
        <v/>
      </c>
      <c r="T235" s="38" t="str">
        <f>IF(N(U235)=0,"",IF(SUMPRODUCT(('成交明细'!$A$5:$A$804=A235)*('成交明细'!$D$5:$D$804=IF(F235="空","卖","买"))*ISNUMBER('成交明细'!$C$5:$C$804))=0,"没填时间",IFERROR(VLOOKUP(MOD(SUMPRODUCT(LARGE(('成交明细'!$A$5:$A$804=A235)*('成交明细'!$D$5:$D$804=IF(F235="空","卖","买"))*('成交明细'!$B$5:$B$804+'成交明细'!$C$5:$C$804),COUNTIFS('成交明细'!$A$5:$A$804,A235,'成交明细'!$D$5:$D$804,IF(F235="空","卖","买")))),1),'参数'!$B$39:$C$48,2,TRUE),"")))</f>
        <v/>
      </c>
      <c r="U235" s="35" t="str">
        <f>IF(A235="","",SUMIFS('成交明细'!$F$5:$F$804,'成交明细'!$A$5:$A$804,A235,'成交明细'!$D$5:$D$804,IF(F235="空","卖","买")))</f>
        <v/>
      </c>
      <c r="V235" s="39" t="str">
        <f>IF(N(U235)&gt;0,SUMIFS('成交明细'!$H$5:$H$804,'成交明细'!$A$5:$A$804,A235,'成交明细'!$D$5:$D$804,IF(F235="空","卖","买"))/U235,"")</f>
        <v/>
      </c>
      <c r="W235" s="35" t="str">
        <f>IF(A235="","",SUMIFS('成交明细'!$F$5:$F$804,'成交明细'!$A$5:$A$804,A235,'成交明细'!$D$5:$D$804,IF(F235="空","买","卖")))</f>
        <v/>
      </c>
      <c r="X235" s="39" t="str">
        <f>IF(N(W235)&gt;0,SUMIFS('成交明细'!$H$5:$H$804,'成交明细'!$A$5:$A$804,A235,'成交明细'!$D$5:$D$804,IF(F235="空","买","卖"))/W235,"")</f>
        <v/>
      </c>
      <c r="Y235" s="40" t="str">
        <f>IF(A235="","",IF(Q235&lt;&gt;"已执行",IF(Q235="","未填执行情况",Q235),IF(N(U235)=0,"待录成交",IF(N(W235)&gt;N(U235),"平仓多于开仓",IF(N(W235)&lt;N(U235),"持仓中","已平仓")))))</f>
        <v/>
      </c>
      <c r="Z235" s="41" t="str">
        <f>IF(N(U235)=0,"",SUMIFS('成交明细'!$L$5:$L$804,'成交明细'!$A$5:$A$804,A235))</f>
        <v/>
      </c>
      <c r="AA235" s="42" t="str">
        <f>IF(Y235&lt;&gt;"已平仓","",(SUMIFS('成交明细'!$H$5:$H$804,'成交明细'!$A$5:$A$804,A235,'成交明细'!$D$5:$D$804,"卖")-SUMIFS('成交明细'!$H$5:$H$804,'成交明细'!$A$5:$A$804,A235,'成交明细'!$D$5:$D$804,"买"))*IF(N(G235)&gt;0,G235,1)-Z235)</f>
        <v/>
      </c>
      <c r="AB235" s="43" t="str">
        <f>IF(AND(Y235="已平仓",ISNUMBER(O235)),(SUMIFS('成交明细'!$H$5:$H$804,'成交明细'!$A$5:$A$804,A235,'成交明细'!$D$5:$D$804,"卖")-SUMIFS('成交明细'!$H$5:$H$804,'成交明细'!$A$5:$A$804,A235,'成交明细'!$D$5:$D$804,"买"))*IF(N(G235)&gt;0,G235,1)/O235,"")</f>
        <v/>
      </c>
      <c r="AC235" s="43" t="str">
        <f>IF(AND(Y235="已平仓",ISNUMBER(O235)),AA235/O235,"")</f>
        <v/>
      </c>
      <c r="AD235" s="44" t="str">
        <f>IF(AND(ISNUMBER(V235),ISNUMBER(I235)),IF(F235="空",I235-V235,V235-I235),"")</f>
        <v/>
      </c>
      <c r="AE235" s="44" t="str">
        <f>IF(OR(NOT(ISNUMBER(AA235)),NOT(ISNUMBER(X235))),"",IF(AA235&lt;0,IF(F235="空",X235-J235,J235-X235),IF(NOT(ISNUMBER(K235)),"",IF(F235="空",X235-K235,K235-X235))))</f>
        <v/>
      </c>
      <c r="AF235" s="32" t="n"/>
      <c r="AG235" s="32" t="n"/>
      <c r="AH235" s="31" t="n"/>
      <c r="AI235" s="43" t="str">
        <f>IF(A235="","",SUM(AC$5:AC235))</f>
        <v/>
      </c>
      <c r="AJ235" s="45" t="str">
        <f>IF(A235="","",MAX(0,MAX(AI$5:AI235))-AI235)</f>
        <v/>
      </c>
    </row>
    <row r="236">
      <c r="A236" s="29" t="n"/>
      <c r="B236" s="30" t="n"/>
      <c r="C236" s="31" t="n"/>
      <c r="D236" s="32" t="n"/>
      <c r="E236" s="32" t="n"/>
      <c r="F236" s="32" t="n"/>
      <c r="G236" s="32" t="n"/>
      <c r="H236" s="32" t="n"/>
      <c r="I236" s="33" t="n"/>
      <c r="J236" s="33" t="n"/>
      <c r="K236" s="33" t="n"/>
      <c r="L236" s="34" t="str">
        <f>IF(AND(ISNUMBER(I236),ISNUMBER(J236),ISNUMBER(K236)),IF(OR(AND(F236="多",I236&gt;J236),AND(F236="空",I236&lt;J236)),ABS(K236-I236)/ABS(I236-J236),"止损方向不对"),"")</f>
        <v/>
      </c>
      <c r="M236" s="35" t="str">
        <f>IF(AND(ISNUMBER(I236),ISNUMBER(J236)),IF(I236=J236,"",IF(INT(ROUND('参数'!$C$7/(ABS(I236-J236)*IF(N(G236)&gt;0,G236,1)+2*(I236*IF(N(G236)&gt;0,G236,1)*'参数'!$C$12+'参数'!$C$13+'参数'!$C$14*IF(N(G236)&gt;0,G236,1)))/IF(N(H236)&gt;0,H236,1),6))*IF(N(H236)&gt;0,H236,1)&gt;0,INT(ROUND('参数'!$C$7/(ABS(I236-J236)*IF(N(G236)&gt;0,G236,1)+2*(I236*IF(N(G236)&gt;0,G236,1)*'参数'!$C$12+'参数'!$C$13+'参数'!$C$14*IF(N(G236)&gt;0,G236,1)))/IF(N(H236)&gt;0,H236,1),6))*IF(N(H236)&gt;0,H236,1),"预算不足，这笔不做")),"")</f>
        <v/>
      </c>
      <c r="N236" s="36" t="n"/>
      <c r="O236" s="20" t="str">
        <f>IF(AND(ISNUMBER(I236),ISNUMBER(J236),ISNUMBER(N236)),IF(AND(I236&lt;&gt;J236,N236&gt;0),ABS(I236-J236)*N236*IF(N(G236)&gt;0,G236,1),""),"")</f>
        <v/>
      </c>
      <c r="P236" s="31" t="n"/>
      <c r="Q236" s="32" t="n"/>
      <c r="R236" s="37" t="str">
        <f>IF(N(U236)&gt;0,SUMPRODUCT(LARGE(('成交明细'!$A$5:$A$804=A236)*('成交明细'!$D$5:$D$804=IF(F236="空","卖","买"))*'成交明细'!$B$5:$B$804,COUNTIFS('成交明细'!$A$5:$A$804,A236,'成交明细'!$D$5:$D$804,IF(F236="空","卖","买")))),"")</f>
        <v/>
      </c>
      <c r="S236" s="37" t="str">
        <f>IF(AND(N(U236)&gt;0,N(W236)&gt;=N(U236)),SUMPRODUCT(MAX(('成交明细'!$A$5:$A$804=A236)*('成交明细'!$D$5:$D$804=IF(F236="空","买","卖"))*'成交明细'!$B$5:$B$804)),"")</f>
        <v/>
      </c>
      <c r="T236" s="38" t="str">
        <f>IF(N(U236)=0,"",IF(SUMPRODUCT(('成交明细'!$A$5:$A$804=A236)*('成交明细'!$D$5:$D$804=IF(F236="空","卖","买"))*ISNUMBER('成交明细'!$C$5:$C$804))=0,"没填时间",IFERROR(VLOOKUP(MOD(SUMPRODUCT(LARGE(('成交明细'!$A$5:$A$804=A236)*('成交明细'!$D$5:$D$804=IF(F236="空","卖","买"))*('成交明细'!$B$5:$B$804+'成交明细'!$C$5:$C$804),COUNTIFS('成交明细'!$A$5:$A$804,A236,'成交明细'!$D$5:$D$804,IF(F236="空","卖","买")))),1),'参数'!$B$39:$C$48,2,TRUE),"")))</f>
        <v/>
      </c>
      <c r="U236" s="35" t="str">
        <f>IF(A236="","",SUMIFS('成交明细'!$F$5:$F$804,'成交明细'!$A$5:$A$804,A236,'成交明细'!$D$5:$D$804,IF(F236="空","卖","买")))</f>
        <v/>
      </c>
      <c r="V236" s="39" t="str">
        <f>IF(N(U236)&gt;0,SUMIFS('成交明细'!$H$5:$H$804,'成交明细'!$A$5:$A$804,A236,'成交明细'!$D$5:$D$804,IF(F236="空","卖","买"))/U236,"")</f>
        <v/>
      </c>
      <c r="W236" s="35" t="str">
        <f>IF(A236="","",SUMIFS('成交明细'!$F$5:$F$804,'成交明细'!$A$5:$A$804,A236,'成交明细'!$D$5:$D$804,IF(F236="空","买","卖")))</f>
        <v/>
      </c>
      <c r="X236" s="39" t="str">
        <f>IF(N(W236)&gt;0,SUMIFS('成交明细'!$H$5:$H$804,'成交明细'!$A$5:$A$804,A236,'成交明细'!$D$5:$D$804,IF(F236="空","买","卖"))/W236,"")</f>
        <v/>
      </c>
      <c r="Y236" s="40" t="str">
        <f>IF(A236="","",IF(Q236&lt;&gt;"已执行",IF(Q236="","未填执行情况",Q236),IF(N(U236)=0,"待录成交",IF(N(W236)&gt;N(U236),"平仓多于开仓",IF(N(W236)&lt;N(U236),"持仓中","已平仓")))))</f>
        <v/>
      </c>
      <c r="Z236" s="41" t="str">
        <f>IF(N(U236)=0,"",SUMIFS('成交明细'!$L$5:$L$804,'成交明细'!$A$5:$A$804,A236))</f>
        <v/>
      </c>
      <c r="AA236" s="42" t="str">
        <f>IF(Y236&lt;&gt;"已平仓","",(SUMIFS('成交明细'!$H$5:$H$804,'成交明细'!$A$5:$A$804,A236,'成交明细'!$D$5:$D$804,"卖")-SUMIFS('成交明细'!$H$5:$H$804,'成交明细'!$A$5:$A$804,A236,'成交明细'!$D$5:$D$804,"买"))*IF(N(G236)&gt;0,G236,1)-Z236)</f>
        <v/>
      </c>
      <c r="AB236" s="43" t="str">
        <f>IF(AND(Y236="已平仓",ISNUMBER(O236)),(SUMIFS('成交明细'!$H$5:$H$804,'成交明细'!$A$5:$A$804,A236,'成交明细'!$D$5:$D$804,"卖")-SUMIFS('成交明细'!$H$5:$H$804,'成交明细'!$A$5:$A$804,A236,'成交明细'!$D$5:$D$804,"买"))*IF(N(G236)&gt;0,G236,1)/O236,"")</f>
        <v/>
      </c>
      <c r="AC236" s="43" t="str">
        <f>IF(AND(Y236="已平仓",ISNUMBER(O236)),AA236/O236,"")</f>
        <v/>
      </c>
      <c r="AD236" s="44" t="str">
        <f>IF(AND(ISNUMBER(V236),ISNUMBER(I236)),IF(F236="空",I236-V236,V236-I236),"")</f>
        <v/>
      </c>
      <c r="AE236" s="44" t="str">
        <f>IF(OR(NOT(ISNUMBER(AA236)),NOT(ISNUMBER(X236))),"",IF(AA236&lt;0,IF(F236="空",X236-J236,J236-X236),IF(NOT(ISNUMBER(K236)),"",IF(F236="空",X236-K236,K236-X236))))</f>
        <v/>
      </c>
      <c r="AF236" s="32" t="n"/>
      <c r="AG236" s="32" t="n"/>
      <c r="AH236" s="31" t="n"/>
      <c r="AI236" s="43" t="str">
        <f>IF(A236="","",SUM(AC$5:AC236))</f>
        <v/>
      </c>
      <c r="AJ236" s="45" t="str">
        <f>IF(A236="","",MAX(0,MAX(AI$5:AI236))-AI236)</f>
        <v/>
      </c>
    </row>
    <row r="237">
      <c r="A237" s="29" t="n"/>
      <c r="B237" s="30" t="n"/>
      <c r="C237" s="31" t="n"/>
      <c r="D237" s="32" t="n"/>
      <c r="E237" s="32" t="n"/>
      <c r="F237" s="32" t="n"/>
      <c r="G237" s="32" t="n"/>
      <c r="H237" s="32" t="n"/>
      <c r="I237" s="33" t="n"/>
      <c r="J237" s="33" t="n"/>
      <c r="K237" s="33" t="n"/>
      <c r="L237" s="34" t="str">
        <f>IF(AND(ISNUMBER(I237),ISNUMBER(J237),ISNUMBER(K237)),IF(OR(AND(F237="多",I237&gt;J237),AND(F237="空",I237&lt;J237)),ABS(K237-I237)/ABS(I237-J237),"止损方向不对"),"")</f>
        <v/>
      </c>
      <c r="M237" s="35" t="str">
        <f>IF(AND(ISNUMBER(I237),ISNUMBER(J237)),IF(I237=J237,"",IF(INT(ROUND('参数'!$C$7/(ABS(I237-J237)*IF(N(G237)&gt;0,G237,1)+2*(I237*IF(N(G237)&gt;0,G237,1)*'参数'!$C$12+'参数'!$C$13+'参数'!$C$14*IF(N(G237)&gt;0,G237,1)))/IF(N(H237)&gt;0,H237,1),6))*IF(N(H237)&gt;0,H237,1)&gt;0,INT(ROUND('参数'!$C$7/(ABS(I237-J237)*IF(N(G237)&gt;0,G237,1)+2*(I237*IF(N(G237)&gt;0,G237,1)*'参数'!$C$12+'参数'!$C$13+'参数'!$C$14*IF(N(G237)&gt;0,G237,1)))/IF(N(H237)&gt;0,H237,1),6))*IF(N(H237)&gt;0,H237,1),"预算不足，这笔不做")),"")</f>
        <v/>
      </c>
      <c r="N237" s="36" t="n"/>
      <c r="O237" s="20" t="str">
        <f>IF(AND(ISNUMBER(I237),ISNUMBER(J237),ISNUMBER(N237)),IF(AND(I237&lt;&gt;J237,N237&gt;0),ABS(I237-J237)*N237*IF(N(G237)&gt;0,G237,1),""),"")</f>
        <v/>
      </c>
      <c r="P237" s="31" t="n"/>
      <c r="Q237" s="32" t="n"/>
      <c r="R237" s="37" t="str">
        <f>IF(N(U237)&gt;0,SUMPRODUCT(LARGE(('成交明细'!$A$5:$A$804=A237)*('成交明细'!$D$5:$D$804=IF(F237="空","卖","买"))*'成交明细'!$B$5:$B$804,COUNTIFS('成交明细'!$A$5:$A$804,A237,'成交明细'!$D$5:$D$804,IF(F237="空","卖","买")))),"")</f>
        <v/>
      </c>
      <c r="S237" s="37" t="str">
        <f>IF(AND(N(U237)&gt;0,N(W237)&gt;=N(U237)),SUMPRODUCT(MAX(('成交明细'!$A$5:$A$804=A237)*('成交明细'!$D$5:$D$804=IF(F237="空","买","卖"))*'成交明细'!$B$5:$B$804)),"")</f>
        <v/>
      </c>
      <c r="T237" s="38" t="str">
        <f>IF(N(U237)=0,"",IF(SUMPRODUCT(('成交明细'!$A$5:$A$804=A237)*('成交明细'!$D$5:$D$804=IF(F237="空","卖","买"))*ISNUMBER('成交明细'!$C$5:$C$804))=0,"没填时间",IFERROR(VLOOKUP(MOD(SUMPRODUCT(LARGE(('成交明细'!$A$5:$A$804=A237)*('成交明细'!$D$5:$D$804=IF(F237="空","卖","买"))*('成交明细'!$B$5:$B$804+'成交明细'!$C$5:$C$804),COUNTIFS('成交明细'!$A$5:$A$804,A237,'成交明细'!$D$5:$D$804,IF(F237="空","卖","买")))),1),'参数'!$B$39:$C$48,2,TRUE),"")))</f>
        <v/>
      </c>
      <c r="U237" s="35" t="str">
        <f>IF(A237="","",SUMIFS('成交明细'!$F$5:$F$804,'成交明细'!$A$5:$A$804,A237,'成交明细'!$D$5:$D$804,IF(F237="空","卖","买")))</f>
        <v/>
      </c>
      <c r="V237" s="39" t="str">
        <f>IF(N(U237)&gt;0,SUMIFS('成交明细'!$H$5:$H$804,'成交明细'!$A$5:$A$804,A237,'成交明细'!$D$5:$D$804,IF(F237="空","卖","买"))/U237,"")</f>
        <v/>
      </c>
      <c r="W237" s="35" t="str">
        <f>IF(A237="","",SUMIFS('成交明细'!$F$5:$F$804,'成交明细'!$A$5:$A$804,A237,'成交明细'!$D$5:$D$804,IF(F237="空","买","卖")))</f>
        <v/>
      </c>
      <c r="X237" s="39" t="str">
        <f>IF(N(W237)&gt;0,SUMIFS('成交明细'!$H$5:$H$804,'成交明细'!$A$5:$A$804,A237,'成交明细'!$D$5:$D$804,IF(F237="空","买","卖"))/W237,"")</f>
        <v/>
      </c>
      <c r="Y237" s="40" t="str">
        <f>IF(A237="","",IF(Q237&lt;&gt;"已执行",IF(Q237="","未填执行情况",Q237),IF(N(U237)=0,"待录成交",IF(N(W237)&gt;N(U237),"平仓多于开仓",IF(N(W237)&lt;N(U237),"持仓中","已平仓")))))</f>
        <v/>
      </c>
      <c r="Z237" s="41" t="str">
        <f>IF(N(U237)=0,"",SUMIFS('成交明细'!$L$5:$L$804,'成交明细'!$A$5:$A$804,A237))</f>
        <v/>
      </c>
      <c r="AA237" s="42" t="str">
        <f>IF(Y237&lt;&gt;"已平仓","",(SUMIFS('成交明细'!$H$5:$H$804,'成交明细'!$A$5:$A$804,A237,'成交明细'!$D$5:$D$804,"卖")-SUMIFS('成交明细'!$H$5:$H$804,'成交明细'!$A$5:$A$804,A237,'成交明细'!$D$5:$D$804,"买"))*IF(N(G237)&gt;0,G237,1)-Z237)</f>
        <v/>
      </c>
      <c r="AB237" s="43" t="str">
        <f>IF(AND(Y237="已平仓",ISNUMBER(O237)),(SUMIFS('成交明细'!$H$5:$H$804,'成交明细'!$A$5:$A$804,A237,'成交明细'!$D$5:$D$804,"卖")-SUMIFS('成交明细'!$H$5:$H$804,'成交明细'!$A$5:$A$804,A237,'成交明细'!$D$5:$D$804,"买"))*IF(N(G237)&gt;0,G237,1)/O237,"")</f>
        <v/>
      </c>
      <c r="AC237" s="43" t="str">
        <f>IF(AND(Y237="已平仓",ISNUMBER(O237)),AA237/O237,"")</f>
        <v/>
      </c>
      <c r="AD237" s="44" t="str">
        <f>IF(AND(ISNUMBER(V237),ISNUMBER(I237)),IF(F237="空",I237-V237,V237-I237),"")</f>
        <v/>
      </c>
      <c r="AE237" s="44" t="str">
        <f>IF(OR(NOT(ISNUMBER(AA237)),NOT(ISNUMBER(X237))),"",IF(AA237&lt;0,IF(F237="空",X237-J237,J237-X237),IF(NOT(ISNUMBER(K237)),"",IF(F237="空",X237-K237,K237-X237))))</f>
        <v/>
      </c>
      <c r="AF237" s="32" t="n"/>
      <c r="AG237" s="32" t="n"/>
      <c r="AH237" s="31" t="n"/>
      <c r="AI237" s="43" t="str">
        <f>IF(A237="","",SUM(AC$5:AC237))</f>
        <v/>
      </c>
      <c r="AJ237" s="45" t="str">
        <f>IF(A237="","",MAX(0,MAX(AI$5:AI237))-AI237)</f>
        <v/>
      </c>
    </row>
    <row r="238">
      <c r="A238" s="29" t="n"/>
      <c r="B238" s="30" t="n"/>
      <c r="C238" s="31" t="n"/>
      <c r="D238" s="32" t="n"/>
      <c r="E238" s="32" t="n"/>
      <c r="F238" s="32" t="n"/>
      <c r="G238" s="32" t="n"/>
      <c r="H238" s="32" t="n"/>
      <c r="I238" s="33" t="n"/>
      <c r="J238" s="33" t="n"/>
      <c r="K238" s="33" t="n"/>
      <c r="L238" s="34" t="str">
        <f>IF(AND(ISNUMBER(I238),ISNUMBER(J238),ISNUMBER(K238)),IF(OR(AND(F238="多",I238&gt;J238),AND(F238="空",I238&lt;J238)),ABS(K238-I238)/ABS(I238-J238),"止损方向不对"),"")</f>
        <v/>
      </c>
      <c r="M238" s="35" t="str">
        <f>IF(AND(ISNUMBER(I238),ISNUMBER(J238)),IF(I238=J238,"",IF(INT(ROUND('参数'!$C$7/(ABS(I238-J238)*IF(N(G238)&gt;0,G238,1)+2*(I238*IF(N(G238)&gt;0,G238,1)*'参数'!$C$12+'参数'!$C$13+'参数'!$C$14*IF(N(G238)&gt;0,G238,1)))/IF(N(H238)&gt;0,H238,1),6))*IF(N(H238)&gt;0,H238,1)&gt;0,INT(ROUND('参数'!$C$7/(ABS(I238-J238)*IF(N(G238)&gt;0,G238,1)+2*(I238*IF(N(G238)&gt;0,G238,1)*'参数'!$C$12+'参数'!$C$13+'参数'!$C$14*IF(N(G238)&gt;0,G238,1)))/IF(N(H238)&gt;0,H238,1),6))*IF(N(H238)&gt;0,H238,1),"预算不足，这笔不做")),"")</f>
        <v/>
      </c>
      <c r="N238" s="36" t="n"/>
      <c r="O238" s="20" t="str">
        <f>IF(AND(ISNUMBER(I238),ISNUMBER(J238),ISNUMBER(N238)),IF(AND(I238&lt;&gt;J238,N238&gt;0),ABS(I238-J238)*N238*IF(N(G238)&gt;0,G238,1),""),"")</f>
        <v/>
      </c>
      <c r="P238" s="31" t="n"/>
      <c r="Q238" s="32" t="n"/>
      <c r="R238" s="37" t="str">
        <f>IF(N(U238)&gt;0,SUMPRODUCT(LARGE(('成交明细'!$A$5:$A$804=A238)*('成交明细'!$D$5:$D$804=IF(F238="空","卖","买"))*'成交明细'!$B$5:$B$804,COUNTIFS('成交明细'!$A$5:$A$804,A238,'成交明细'!$D$5:$D$804,IF(F238="空","卖","买")))),"")</f>
        <v/>
      </c>
      <c r="S238" s="37" t="str">
        <f>IF(AND(N(U238)&gt;0,N(W238)&gt;=N(U238)),SUMPRODUCT(MAX(('成交明细'!$A$5:$A$804=A238)*('成交明细'!$D$5:$D$804=IF(F238="空","买","卖"))*'成交明细'!$B$5:$B$804)),"")</f>
        <v/>
      </c>
      <c r="T238" s="38" t="str">
        <f>IF(N(U238)=0,"",IF(SUMPRODUCT(('成交明细'!$A$5:$A$804=A238)*('成交明细'!$D$5:$D$804=IF(F238="空","卖","买"))*ISNUMBER('成交明细'!$C$5:$C$804))=0,"没填时间",IFERROR(VLOOKUP(MOD(SUMPRODUCT(LARGE(('成交明细'!$A$5:$A$804=A238)*('成交明细'!$D$5:$D$804=IF(F238="空","卖","买"))*('成交明细'!$B$5:$B$804+'成交明细'!$C$5:$C$804),COUNTIFS('成交明细'!$A$5:$A$804,A238,'成交明细'!$D$5:$D$804,IF(F238="空","卖","买")))),1),'参数'!$B$39:$C$48,2,TRUE),"")))</f>
        <v/>
      </c>
      <c r="U238" s="35" t="str">
        <f>IF(A238="","",SUMIFS('成交明细'!$F$5:$F$804,'成交明细'!$A$5:$A$804,A238,'成交明细'!$D$5:$D$804,IF(F238="空","卖","买")))</f>
        <v/>
      </c>
      <c r="V238" s="39" t="str">
        <f>IF(N(U238)&gt;0,SUMIFS('成交明细'!$H$5:$H$804,'成交明细'!$A$5:$A$804,A238,'成交明细'!$D$5:$D$804,IF(F238="空","卖","买"))/U238,"")</f>
        <v/>
      </c>
      <c r="W238" s="35" t="str">
        <f>IF(A238="","",SUMIFS('成交明细'!$F$5:$F$804,'成交明细'!$A$5:$A$804,A238,'成交明细'!$D$5:$D$804,IF(F238="空","买","卖")))</f>
        <v/>
      </c>
      <c r="X238" s="39" t="str">
        <f>IF(N(W238)&gt;0,SUMIFS('成交明细'!$H$5:$H$804,'成交明细'!$A$5:$A$804,A238,'成交明细'!$D$5:$D$804,IF(F238="空","买","卖"))/W238,"")</f>
        <v/>
      </c>
      <c r="Y238" s="40" t="str">
        <f>IF(A238="","",IF(Q238&lt;&gt;"已执行",IF(Q238="","未填执行情况",Q238),IF(N(U238)=0,"待录成交",IF(N(W238)&gt;N(U238),"平仓多于开仓",IF(N(W238)&lt;N(U238),"持仓中","已平仓")))))</f>
        <v/>
      </c>
      <c r="Z238" s="41" t="str">
        <f>IF(N(U238)=0,"",SUMIFS('成交明细'!$L$5:$L$804,'成交明细'!$A$5:$A$804,A238))</f>
        <v/>
      </c>
      <c r="AA238" s="42" t="str">
        <f>IF(Y238&lt;&gt;"已平仓","",(SUMIFS('成交明细'!$H$5:$H$804,'成交明细'!$A$5:$A$804,A238,'成交明细'!$D$5:$D$804,"卖")-SUMIFS('成交明细'!$H$5:$H$804,'成交明细'!$A$5:$A$804,A238,'成交明细'!$D$5:$D$804,"买"))*IF(N(G238)&gt;0,G238,1)-Z238)</f>
        <v/>
      </c>
      <c r="AB238" s="43" t="str">
        <f>IF(AND(Y238="已平仓",ISNUMBER(O238)),(SUMIFS('成交明细'!$H$5:$H$804,'成交明细'!$A$5:$A$804,A238,'成交明细'!$D$5:$D$804,"卖")-SUMIFS('成交明细'!$H$5:$H$804,'成交明细'!$A$5:$A$804,A238,'成交明细'!$D$5:$D$804,"买"))*IF(N(G238)&gt;0,G238,1)/O238,"")</f>
        <v/>
      </c>
      <c r="AC238" s="43" t="str">
        <f>IF(AND(Y238="已平仓",ISNUMBER(O238)),AA238/O238,"")</f>
        <v/>
      </c>
      <c r="AD238" s="44" t="str">
        <f>IF(AND(ISNUMBER(V238),ISNUMBER(I238)),IF(F238="空",I238-V238,V238-I238),"")</f>
        <v/>
      </c>
      <c r="AE238" s="44" t="str">
        <f>IF(OR(NOT(ISNUMBER(AA238)),NOT(ISNUMBER(X238))),"",IF(AA238&lt;0,IF(F238="空",X238-J238,J238-X238),IF(NOT(ISNUMBER(K238)),"",IF(F238="空",X238-K238,K238-X238))))</f>
        <v/>
      </c>
      <c r="AF238" s="32" t="n"/>
      <c r="AG238" s="32" t="n"/>
      <c r="AH238" s="31" t="n"/>
      <c r="AI238" s="43" t="str">
        <f>IF(A238="","",SUM(AC$5:AC238))</f>
        <v/>
      </c>
      <c r="AJ238" s="45" t="str">
        <f>IF(A238="","",MAX(0,MAX(AI$5:AI238))-AI238)</f>
        <v/>
      </c>
    </row>
    <row r="239">
      <c r="A239" s="29" t="n"/>
      <c r="B239" s="30" t="n"/>
      <c r="C239" s="31" t="n"/>
      <c r="D239" s="32" t="n"/>
      <c r="E239" s="32" t="n"/>
      <c r="F239" s="32" t="n"/>
      <c r="G239" s="32" t="n"/>
      <c r="H239" s="32" t="n"/>
      <c r="I239" s="33" t="n"/>
      <c r="J239" s="33" t="n"/>
      <c r="K239" s="33" t="n"/>
      <c r="L239" s="34" t="str">
        <f>IF(AND(ISNUMBER(I239),ISNUMBER(J239),ISNUMBER(K239)),IF(OR(AND(F239="多",I239&gt;J239),AND(F239="空",I239&lt;J239)),ABS(K239-I239)/ABS(I239-J239),"止损方向不对"),"")</f>
        <v/>
      </c>
      <c r="M239" s="35" t="str">
        <f>IF(AND(ISNUMBER(I239),ISNUMBER(J239)),IF(I239=J239,"",IF(INT(ROUND('参数'!$C$7/(ABS(I239-J239)*IF(N(G239)&gt;0,G239,1)+2*(I239*IF(N(G239)&gt;0,G239,1)*'参数'!$C$12+'参数'!$C$13+'参数'!$C$14*IF(N(G239)&gt;0,G239,1)))/IF(N(H239)&gt;0,H239,1),6))*IF(N(H239)&gt;0,H239,1)&gt;0,INT(ROUND('参数'!$C$7/(ABS(I239-J239)*IF(N(G239)&gt;0,G239,1)+2*(I239*IF(N(G239)&gt;0,G239,1)*'参数'!$C$12+'参数'!$C$13+'参数'!$C$14*IF(N(G239)&gt;0,G239,1)))/IF(N(H239)&gt;0,H239,1),6))*IF(N(H239)&gt;0,H239,1),"预算不足，这笔不做")),"")</f>
        <v/>
      </c>
      <c r="N239" s="36" t="n"/>
      <c r="O239" s="20" t="str">
        <f>IF(AND(ISNUMBER(I239),ISNUMBER(J239),ISNUMBER(N239)),IF(AND(I239&lt;&gt;J239,N239&gt;0),ABS(I239-J239)*N239*IF(N(G239)&gt;0,G239,1),""),"")</f>
        <v/>
      </c>
      <c r="P239" s="31" t="n"/>
      <c r="Q239" s="32" t="n"/>
      <c r="R239" s="37" t="str">
        <f>IF(N(U239)&gt;0,SUMPRODUCT(LARGE(('成交明细'!$A$5:$A$804=A239)*('成交明细'!$D$5:$D$804=IF(F239="空","卖","买"))*'成交明细'!$B$5:$B$804,COUNTIFS('成交明细'!$A$5:$A$804,A239,'成交明细'!$D$5:$D$804,IF(F239="空","卖","买")))),"")</f>
        <v/>
      </c>
      <c r="S239" s="37" t="str">
        <f>IF(AND(N(U239)&gt;0,N(W239)&gt;=N(U239)),SUMPRODUCT(MAX(('成交明细'!$A$5:$A$804=A239)*('成交明细'!$D$5:$D$804=IF(F239="空","买","卖"))*'成交明细'!$B$5:$B$804)),"")</f>
        <v/>
      </c>
      <c r="T239" s="38" t="str">
        <f>IF(N(U239)=0,"",IF(SUMPRODUCT(('成交明细'!$A$5:$A$804=A239)*('成交明细'!$D$5:$D$804=IF(F239="空","卖","买"))*ISNUMBER('成交明细'!$C$5:$C$804))=0,"没填时间",IFERROR(VLOOKUP(MOD(SUMPRODUCT(LARGE(('成交明细'!$A$5:$A$804=A239)*('成交明细'!$D$5:$D$804=IF(F239="空","卖","买"))*('成交明细'!$B$5:$B$804+'成交明细'!$C$5:$C$804),COUNTIFS('成交明细'!$A$5:$A$804,A239,'成交明细'!$D$5:$D$804,IF(F239="空","卖","买")))),1),'参数'!$B$39:$C$48,2,TRUE),"")))</f>
        <v/>
      </c>
      <c r="U239" s="35" t="str">
        <f>IF(A239="","",SUMIFS('成交明细'!$F$5:$F$804,'成交明细'!$A$5:$A$804,A239,'成交明细'!$D$5:$D$804,IF(F239="空","卖","买")))</f>
        <v/>
      </c>
      <c r="V239" s="39" t="str">
        <f>IF(N(U239)&gt;0,SUMIFS('成交明细'!$H$5:$H$804,'成交明细'!$A$5:$A$804,A239,'成交明细'!$D$5:$D$804,IF(F239="空","卖","买"))/U239,"")</f>
        <v/>
      </c>
      <c r="W239" s="35" t="str">
        <f>IF(A239="","",SUMIFS('成交明细'!$F$5:$F$804,'成交明细'!$A$5:$A$804,A239,'成交明细'!$D$5:$D$804,IF(F239="空","买","卖")))</f>
        <v/>
      </c>
      <c r="X239" s="39" t="str">
        <f>IF(N(W239)&gt;0,SUMIFS('成交明细'!$H$5:$H$804,'成交明细'!$A$5:$A$804,A239,'成交明细'!$D$5:$D$804,IF(F239="空","买","卖"))/W239,"")</f>
        <v/>
      </c>
      <c r="Y239" s="40" t="str">
        <f>IF(A239="","",IF(Q239&lt;&gt;"已执行",IF(Q239="","未填执行情况",Q239),IF(N(U239)=0,"待录成交",IF(N(W239)&gt;N(U239),"平仓多于开仓",IF(N(W239)&lt;N(U239),"持仓中","已平仓")))))</f>
        <v/>
      </c>
      <c r="Z239" s="41" t="str">
        <f>IF(N(U239)=0,"",SUMIFS('成交明细'!$L$5:$L$804,'成交明细'!$A$5:$A$804,A239))</f>
        <v/>
      </c>
      <c r="AA239" s="42" t="str">
        <f>IF(Y239&lt;&gt;"已平仓","",(SUMIFS('成交明细'!$H$5:$H$804,'成交明细'!$A$5:$A$804,A239,'成交明细'!$D$5:$D$804,"卖")-SUMIFS('成交明细'!$H$5:$H$804,'成交明细'!$A$5:$A$804,A239,'成交明细'!$D$5:$D$804,"买"))*IF(N(G239)&gt;0,G239,1)-Z239)</f>
        <v/>
      </c>
      <c r="AB239" s="43" t="str">
        <f>IF(AND(Y239="已平仓",ISNUMBER(O239)),(SUMIFS('成交明细'!$H$5:$H$804,'成交明细'!$A$5:$A$804,A239,'成交明细'!$D$5:$D$804,"卖")-SUMIFS('成交明细'!$H$5:$H$804,'成交明细'!$A$5:$A$804,A239,'成交明细'!$D$5:$D$804,"买"))*IF(N(G239)&gt;0,G239,1)/O239,"")</f>
        <v/>
      </c>
      <c r="AC239" s="43" t="str">
        <f>IF(AND(Y239="已平仓",ISNUMBER(O239)),AA239/O239,"")</f>
        <v/>
      </c>
      <c r="AD239" s="44" t="str">
        <f>IF(AND(ISNUMBER(V239),ISNUMBER(I239)),IF(F239="空",I239-V239,V239-I239),"")</f>
        <v/>
      </c>
      <c r="AE239" s="44" t="str">
        <f>IF(OR(NOT(ISNUMBER(AA239)),NOT(ISNUMBER(X239))),"",IF(AA239&lt;0,IF(F239="空",X239-J239,J239-X239),IF(NOT(ISNUMBER(K239)),"",IF(F239="空",X239-K239,K239-X239))))</f>
        <v/>
      </c>
      <c r="AF239" s="32" t="n"/>
      <c r="AG239" s="32" t="n"/>
      <c r="AH239" s="31" t="n"/>
      <c r="AI239" s="43" t="str">
        <f>IF(A239="","",SUM(AC$5:AC239))</f>
        <v/>
      </c>
      <c r="AJ239" s="45" t="str">
        <f>IF(A239="","",MAX(0,MAX(AI$5:AI239))-AI239)</f>
        <v/>
      </c>
    </row>
    <row r="240">
      <c r="A240" s="29" t="n"/>
      <c r="B240" s="30" t="n"/>
      <c r="C240" s="31" t="n"/>
      <c r="D240" s="32" t="n"/>
      <c r="E240" s="32" t="n"/>
      <c r="F240" s="32" t="n"/>
      <c r="G240" s="32" t="n"/>
      <c r="H240" s="32" t="n"/>
      <c r="I240" s="33" t="n"/>
      <c r="J240" s="33" t="n"/>
      <c r="K240" s="33" t="n"/>
      <c r="L240" s="34" t="str">
        <f>IF(AND(ISNUMBER(I240),ISNUMBER(J240),ISNUMBER(K240)),IF(OR(AND(F240="多",I240&gt;J240),AND(F240="空",I240&lt;J240)),ABS(K240-I240)/ABS(I240-J240),"止损方向不对"),"")</f>
        <v/>
      </c>
      <c r="M240" s="35" t="str">
        <f>IF(AND(ISNUMBER(I240),ISNUMBER(J240)),IF(I240=J240,"",IF(INT(ROUND('参数'!$C$7/(ABS(I240-J240)*IF(N(G240)&gt;0,G240,1)+2*(I240*IF(N(G240)&gt;0,G240,1)*'参数'!$C$12+'参数'!$C$13+'参数'!$C$14*IF(N(G240)&gt;0,G240,1)))/IF(N(H240)&gt;0,H240,1),6))*IF(N(H240)&gt;0,H240,1)&gt;0,INT(ROUND('参数'!$C$7/(ABS(I240-J240)*IF(N(G240)&gt;0,G240,1)+2*(I240*IF(N(G240)&gt;0,G240,1)*'参数'!$C$12+'参数'!$C$13+'参数'!$C$14*IF(N(G240)&gt;0,G240,1)))/IF(N(H240)&gt;0,H240,1),6))*IF(N(H240)&gt;0,H240,1),"预算不足，这笔不做")),"")</f>
        <v/>
      </c>
      <c r="N240" s="36" t="n"/>
      <c r="O240" s="20" t="str">
        <f>IF(AND(ISNUMBER(I240),ISNUMBER(J240),ISNUMBER(N240)),IF(AND(I240&lt;&gt;J240,N240&gt;0),ABS(I240-J240)*N240*IF(N(G240)&gt;0,G240,1),""),"")</f>
        <v/>
      </c>
      <c r="P240" s="31" t="n"/>
      <c r="Q240" s="32" t="n"/>
      <c r="R240" s="37" t="str">
        <f>IF(N(U240)&gt;0,SUMPRODUCT(LARGE(('成交明细'!$A$5:$A$804=A240)*('成交明细'!$D$5:$D$804=IF(F240="空","卖","买"))*'成交明细'!$B$5:$B$804,COUNTIFS('成交明细'!$A$5:$A$804,A240,'成交明细'!$D$5:$D$804,IF(F240="空","卖","买")))),"")</f>
        <v/>
      </c>
      <c r="S240" s="37" t="str">
        <f>IF(AND(N(U240)&gt;0,N(W240)&gt;=N(U240)),SUMPRODUCT(MAX(('成交明细'!$A$5:$A$804=A240)*('成交明细'!$D$5:$D$804=IF(F240="空","买","卖"))*'成交明细'!$B$5:$B$804)),"")</f>
        <v/>
      </c>
      <c r="T240" s="38" t="str">
        <f>IF(N(U240)=0,"",IF(SUMPRODUCT(('成交明细'!$A$5:$A$804=A240)*('成交明细'!$D$5:$D$804=IF(F240="空","卖","买"))*ISNUMBER('成交明细'!$C$5:$C$804))=0,"没填时间",IFERROR(VLOOKUP(MOD(SUMPRODUCT(LARGE(('成交明细'!$A$5:$A$804=A240)*('成交明细'!$D$5:$D$804=IF(F240="空","卖","买"))*('成交明细'!$B$5:$B$804+'成交明细'!$C$5:$C$804),COUNTIFS('成交明细'!$A$5:$A$804,A240,'成交明细'!$D$5:$D$804,IF(F240="空","卖","买")))),1),'参数'!$B$39:$C$48,2,TRUE),"")))</f>
        <v/>
      </c>
      <c r="U240" s="35" t="str">
        <f>IF(A240="","",SUMIFS('成交明细'!$F$5:$F$804,'成交明细'!$A$5:$A$804,A240,'成交明细'!$D$5:$D$804,IF(F240="空","卖","买")))</f>
        <v/>
      </c>
      <c r="V240" s="39" t="str">
        <f>IF(N(U240)&gt;0,SUMIFS('成交明细'!$H$5:$H$804,'成交明细'!$A$5:$A$804,A240,'成交明细'!$D$5:$D$804,IF(F240="空","卖","买"))/U240,"")</f>
        <v/>
      </c>
      <c r="W240" s="35" t="str">
        <f>IF(A240="","",SUMIFS('成交明细'!$F$5:$F$804,'成交明细'!$A$5:$A$804,A240,'成交明细'!$D$5:$D$804,IF(F240="空","买","卖")))</f>
        <v/>
      </c>
      <c r="X240" s="39" t="str">
        <f>IF(N(W240)&gt;0,SUMIFS('成交明细'!$H$5:$H$804,'成交明细'!$A$5:$A$804,A240,'成交明细'!$D$5:$D$804,IF(F240="空","买","卖"))/W240,"")</f>
        <v/>
      </c>
      <c r="Y240" s="40" t="str">
        <f>IF(A240="","",IF(Q240&lt;&gt;"已执行",IF(Q240="","未填执行情况",Q240),IF(N(U240)=0,"待录成交",IF(N(W240)&gt;N(U240),"平仓多于开仓",IF(N(W240)&lt;N(U240),"持仓中","已平仓")))))</f>
        <v/>
      </c>
      <c r="Z240" s="41" t="str">
        <f>IF(N(U240)=0,"",SUMIFS('成交明细'!$L$5:$L$804,'成交明细'!$A$5:$A$804,A240))</f>
        <v/>
      </c>
      <c r="AA240" s="42" t="str">
        <f>IF(Y240&lt;&gt;"已平仓","",(SUMIFS('成交明细'!$H$5:$H$804,'成交明细'!$A$5:$A$804,A240,'成交明细'!$D$5:$D$804,"卖")-SUMIFS('成交明细'!$H$5:$H$804,'成交明细'!$A$5:$A$804,A240,'成交明细'!$D$5:$D$804,"买"))*IF(N(G240)&gt;0,G240,1)-Z240)</f>
        <v/>
      </c>
      <c r="AB240" s="43" t="str">
        <f>IF(AND(Y240="已平仓",ISNUMBER(O240)),(SUMIFS('成交明细'!$H$5:$H$804,'成交明细'!$A$5:$A$804,A240,'成交明细'!$D$5:$D$804,"卖")-SUMIFS('成交明细'!$H$5:$H$804,'成交明细'!$A$5:$A$804,A240,'成交明细'!$D$5:$D$804,"买"))*IF(N(G240)&gt;0,G240,1)/O240,"")</f>
        <v/>
      </c>
      <c r="AC240" s="43" t="str">
        <f>IF(AND(Y240="已平仓",ISNUMBER(O240)),AA240/O240,"")</f>
        <v/>
      </c>
      <c r="AD240" s="44" t="str">
        <f>IF(AND(ISNUMBER(V240),ISNUMBER(I240)),IF(F240="空",I240-V240,V240-I240),"")</f>
        <v/>
      </c>
      <c r="AE240" s="44" t="str">
        <f>IF(OR(NOT(ISNUMBER(AA240)),NOT(ISNUMBER(X240))),"",IF(AA240&lt;0,IF(F240="空",X240-J240,J240-X240),IF(NOT(ISNUMBER(K240)),"",IF(F240="空",X240-K240,K240-X240))))</f>
        <v/>
      </c>
      <c r="AF240" s="32" t="n"/>
      <c r="AG240" s="32" t="n"/>
      <c r="AH240" s="31" t="n"/>
      <c r="AI240" s="43" t="str">
        <f>IF(A240="","",SUM(AC$5:AC240))</f>
        <v/>
      </c>
      <c r="AJ240" s="45" t="str">
        <f>IF(A240="","",MAX(0,MAX(AI$5:AI240))-AI240)</f>
        <v/>
      </c>
    </row>
    <row r="241">
      <c r="A241" s="29" t="n"/>
      <c r="B241" s="30" t="n"/>
      <c r="C241" s="31" t="n"/>
      <c r="D241" s="32" t="n"/>
      <c r="E241" s="32" t="n"/>
      <c r="F241" s="32" t="n"/>
      <c r="G241" s="32" t="n"/>
      <c r="H241" s="32" t="n"/>
      <c r="I241" s="33" t="n"/>
      <c r="J241" s="33" t="n"/>
      <c r="K241" s="33" t="n"/>
      <c r="L241" s="34" t="str">
        <f>IF(AND(ISNUMBER(I241),ISNUMBER(J241),ISNUMBER(K241)),IF(OR(AND(F241="多",I241&gt;J241),AND(F241="空",I241&lt;J241)),ABS(K241-I241)/ABS(I241-J241),"止损方向不对"),"")</f>
        <v/>
      </c>
      <c r="M241" s="35" t="str">
        <f>IF(AND(ISNUMBER(I241),ISNUMBER(J241)),IF(I241=J241,"",IF(INT(ROUND('参数'!$C$7/(ABS(I241-J241)*IF(N(G241)&gt;0,G241,1)+2*(I241*IF(N(G241)&gt;0,G241,1)*'参数'!$C$12+'参数'!$C$13+'参数'!$C$14*IF(N(G241)&gt;0,G241,1)))/IF(N(H241)&gt;0,H241,1),6))*IF(N(H241)&gt;0,H241,1)&gt;0,INT(ROUND('参数'!$C$7/(ABS(I241-J241)*IF(N(G241)&gt;0,G241,1)+2*(I241*IF(N(G241)&gt;0,G241,1)*'参数'!$C$12+'参数'!$C$13+'参数'!$C$14*IF(N(G241)&gt;0,G241,1)))/IF(N(H241)&gt;0,H241,1),6))*IF(N(H241)&gt;0,H241,1),"预算不足，这笔不做")),"")</f>
        <v/>
      </c>
      <c r="N241" s="36" t="n"/>
      <c r="O241" s="20" t="str">
        <f>IF(AND(ISNUMBER(I241),ISNUMBER(J241),ISNUMBER(N241)),IF(AND(I241&lt;&gt;J241,N241&gt;0),ABS(I241-J241)*N241*IF(N(G241)&gt;0,G241,1),""),"")</f>
        <v/>
      </c>
      <c r="P241" s="31" t="n"/>
      <c r="Q241" s="32" t="n"/>
      <c r="R241" s="37" t="str">
        <f>IF(N(U241)&gt;0,SUMPRODUCT(LARGE(('成交明细'!$A$5:$A$804=A241)*('成交明细'!$D$5:$D$804=IF(F241="空","卖","买"))*'成交明细'!$B$5:$B$804,COUNTIFS('成交明细'!$A$5:$A$804,A241,'成交明细'!$D$5:$D$804,IF(F241="空","卖","买")))),"")</f>
        <v/>
      </c>
      <c r="S241" s="37" t="str">
        <f>IF(AND(N(U241)&gt;0,N(W241)&gt;=N(U241)),SUMPRODUCT(MAX(('成交明细'!$A$5:$A$804=A241)*('成交明细'!$D$5:$D$804=IF(F241="空","买","卖"))*'成交明细'!$B$5:$B$804)),"")</f>
        <v/>
      </c>
      <c r="T241" s="38" t="str">
        <f>IF(N(U241)=0,"",IF(SUMPRODUCT(('成交明细'!$A$5:$A$804=A241)*('成交明细'!$D$5:$D$804=IF(F241="空","卖","买"))*ISNUMBER('成交明细'!$C$5:$C$804))=0,"没填时间",IFERROR(VLOOKUP(MOD(SUMPRODUCT(LARGE(('成交明细'!$A$5:$A$804=A241)*('成交明细'!$D$5:$D$804=IF(F241="空","卖","买"))*('成交明细'!$B$5:$B$804+'成交明细'!$C$5:$C$804),COUNTIFS('成交明细'!$A$5:$A$804,A241,'成交明细'!$D$5:$D$804,IF(F241="空","卖","买")))),1),'参数'!$B$39:$C$48,2,TRUE),"")))</f>
        <v/>
      </c>
      <c r="U241" s="35" t="str">
        <f>IF(A241="","",SUMIFS('成交明细'!$F$5:$F$804,'成交明细'!$A$5:$A$804,A241,'成交明细'!$D$5:$D$804,IF(F241="空","卖","买")))</f>
        <v/>
      </c>
      <c r="V241" s="39" t="str">
        <f>IF(N(U241)&gt;0,SUMIFS('成交明细'!$H$5:$H$804,'成交明细'!$A$5:$A$804,A241,'成交明细'!$D$5:$D$804,IF(F241="空","卖","买"))/U241,"")</f>
        <v/>
      </c>
      <c r="W241" s="35" t="str">
        <f>IF(A241="","",SUMIFS('成交明细'!$F$5:$F$804,'成交明细'!$A$5:$A$804,A241,'成交明细'!$D$5:$D$804,IF(F241="空","买","卖")))</f>
        <v/>
      </c>
      <c r="X241" s="39" t="str">
        <f>IF(N(W241)&gt;0,SUMIFS('成交明细'!$H$5:$H$804,'成交明细'!$A$5:$A$804,A241,'成交明细'!$D$5:$D$804,IF(F241="空","买","卖"))/W241,"")</f>
        <v/>
      </c>
      <c r="Y241" s="40" t="str">
        <f>IF(A241="","",IF(Q241&lt;&gt;"已执行",IF(Q241="","未填执行情况",Q241),IF(N(U241)=0,"待录成交",IF(N(W241)&gt;N(U241),"平仓多于开仓",IF(N(W241)&lt;N(U241),"持仓中","已平仓")))))</f>
        <v/>
      </c>
      <c r="Z241" s="41" t="str">
        <f>IF(N(U241)=0,"",SUMIFS('成交明细'!$L$5:$L$804,'成交明细'!$A$5:$A$804,A241))</f>
        <v/>
      </c>
      <c r="AA241" s="42" t="str">
        <f>IF(Y241&lt;&gt;"已平仓","",(SUMIFS('成交明细'!$H$5:$H$804,'成交明细'!$A$5:$A$804,A241,'成交明细'!$D$5:$D$804,"卖")-SUMIFS('成交明细'!$H$5:$H$804,'成交明细'!$A$5:$A$804,A241,'成交明细'!$D$5:$D$804,"买"))*IF(N(G241)&gt;0,G241,1)-Z241)</f>
        <v/>
      </c>
      <c r="AB241" s="43" t="str">
        <f>IF(AND(Y241="已平仓",ISNUMBER(O241)),(SUMIFS('成交明细'!$H$5:$H$804,'成交明细'!$A$5:$A$804,A241,'成交明细'!$D$5:$D$804,"卖")-SUMIFS('成交明细'!$H$5:$H$804,'成交明细'!$A$5:$A$804,A241,'成交明细'!$D$5:$D$804,"买"))*IF(N(G241)&gt;0,G241,1)/O241,"")</f>
        <v/>
      </c>
      <c r="AC241" s="43" t="str">
        <f>IF(AND(Y241="已平仓",ISNUMBER(O241)),AA241/O241,"")</f>
        <v/>
      </c>
      <c r="AD241" s="44" t="str">
        <f>IF(AND(ISNUMBER(V241),ISNUMBER(I241)),IF(F241="空",I241-V241,V241-I241),"")</f>
        <v/>
      </c>
      <c r="AE241" s="44" t="str">
        <f>IF(OR(NOT(ISNUMBER(AA241)),NOT(ISNUMBER(X241))),"",IF(AA241&lt;0,IF(F241="空",X241-J241,J241-X241),IF(NOT(ISNUMBER(K241)),"",IF(F241="空",X241-K241,K241-X241))))</f>
        <v/>
      </c>
      <c r="AF241" s="32" t="n"/>
      <c r="AG241" s="32" t="n"/>
      <c r="AH241" s="31" t="n"/>
      <c r="AI241" s="43" t="str">
        <f>IF(A241="","",SUM(AC$5:AC241))</f>
        <v/>
      </c>
      <c r="AJ241" s="45" t="str">
        <f>IF(A241="","",MAX(0,MAX(AI$5:AI241))-AI241)</f>
        <v/>
      </c>
    </row>
    <row r="242">
      <c r="A242" s="29" t="n"/>
      <c r="B242" s="30" t="n"/>
      <c r="C242" s="31" t="n"/>
      <c r="D242" s="32" t="n"/>
      <c r="E242" s="32" t="n"/>
      <c r="F242" s="32" t="n"/>
      <c r="G242" s="32" t="n"/>
      <c r="H242" s="32" t="n"/>
      <c r="I242" s="33" t="n"/>
      <c r="J242" s="33" t="n"/>
      <c r="K242" s="33" t="n"/>
      <c r="L242" s="34" t="str">
        <f>IF(AND(ISNUMBER(I242),ISNUMBER(J242),ISNUMBER(K242)),IF(OR(AND(F242="多",I242&gt;J242),AND(F242="空",I242&lt;J242)),ABS(K242-I242)/ABS(I242-J242),"止损方向不对"),"")</f>
        <v/>
      </c>
      <c r="M242" s="35" t="str">
        <f>IF(AND(ISNUMBER(I242),ISNUMBER(J242)),IF(I242=J242,"",IF(INT(ROUND('参数'!$C$7/(ABS(I242-J242)*IF(N(G242)&gt;0,G242,1)+2*(I242*IF(N(G242)&gt;0,G242,1)*'参数'!$C$12+'参数'!$C$13+'参数'!$C$14*IF(N(G242)&gt;0,G242,1)))/IF(N(H242)&gt;0,H242,1),6))*IF(N(H242)&gt;0,H242,1)&gt;0,INT(ROUND('参数'!$C$7/(ABS(I242-J242)*IF(N(G242)&gt;0,G242,1)+2*(I242*IF(N(G242)&gt;0,G242,1)*'参数'!$C$12+'参数'!$C$13+'参数'!$C$14*IF(N(G242)&gt;0,G242,1)))/IF(N(H242)&gt;0,H242,1),6))*IF(N(H242)&gt;0,H242,1),"预算不足，这笔不做")),"")</f>
        <v/>
      </c>
      <c r="N242" s="36" t="n"/>
      <c r="O242" s="20" t="str">
        <f>IF(AND(ISNUMBER(I242),ISNUMBER(J242),ISNUMBER(N242)),IF(AND(I242&lt;&gt;J242,N242&gt;0),ABS(I242-J242)*N242*IF(N(G242)&gt;0,G242,1),""),"")</f>
        <v/>
      </c>
      <c r="P242" s="31" t="n"/>
      <c r="Q242" s="32" t="n"/>
      <c r="R242" s="37" t="str">
        <f>IF(N(U242)&gt;0,SUMPRODUCT(LARGE(('成交明细'!$A$5:$A$804=A242)*('成交明细'!$D$5:$D$804=IF(F242="空","卖","买"))*'成交明细'!$B$5:$B$804,COUNTIFS('成交明细'!$A$5:$A$804,A242,'成交明细'!$D$5:$D$804,IF(F242="空","卖","买")))),"")</f>
        <v/>
      </c>
      <c r="S242" s="37" t="str">
        <f>IF(AND(N(U242)&gt;0,N(W242)&gt;=N(U242)),SUMPRODUCT(MAX(('成交明细'!$A$5:$A$804=A242)*('成交明细'!$D$5:$D$804=IF(F242="空","买","卖"))*'成交明细'!$B$5:$B$804)),"")</f>
        <v/>
      </c>
      <c r="T242" s="38" t="str">
        <f>IF(N(U242)=0,"",IF(SUMPRODUCT(('成交明细'!$A$5:$A$804=A242)*('成交明细'!$D$5:$D$804=IF(F242="空","卖","买"))*ISNUMBER('成交明细'!$C$5:$C$804))=0,"没填时间",IFERROR(VLOOKUP(MOD(SUMPRODUCT(LARGE(('成交明细'!$A$5:$A$804=A242)*('成交明细'!$D$5:$D$804=IF(F242="空","卖","买"))*('成交明细'!$B$5:$B$804+'成交明细'!$C$5:$C$804),COUNTIFS('成交明细'!$A$5:$A$804,A242,'成交明细'!$D$5:$D$804,IF(F242="空","卖","买")))),1),'参数'!$B$39:$C$48,2,TRUE),"")))</f>
        <v/>
      </c>
      <c r="U242" s="35" t="str">
        <f>IF(A242="","",SUMIFS('成交明细'!$F$5:$F$804,'成交明细'!$A$5:$A$804,A242,'成交明细'!$D$5:$D$804,IF(F242="空","卖","买")))</f>
        <v/>
      </c>
      <c r="V242" s="39" t="str">
        <f>IF(N(U242)&gt;0,SUMIFS('成交明细'!$H$5:$H$804,'成交明细'!$A$5:$A$804,A242,'成交明细'!$D$5:$D$804,IF(F242="空","卖","买"))/U242,"")</f>
        <v/>
      </c>
      <c r="W242" s="35" t="str">
        <f>IF(A242="","",SUMIFS('成交明细'!$F$5:$F$804,'成交明细'!$A$5:$A$804,A242,'成交明细'!$D$5:$D$804,IF(F242="空","买","卖")))</f>
        <v/>
      </c>
      <c r="X242" s="39" t="str">
        <f>IF(N(W242)&gt;0,SUMIFS('成交明细'!$H$5:$H$804,'成交明细'!$A$5:$A$804,A242,'成交明细'!$D$5:$D$804,IF(F242="空","买","卖"))/W242,"")</f>
        <v/>
      </c>
      <c r="Y242" s="40" t="str">
        <f>IF(A242="","",IF(Q242&lt;&gt;"已执行",IF(Q242="","未填执行情况",Q242),IF(N(U242)=0,"待录成交",IF(N(W242)&gt;N(U242),"平仓多于开仓",IF(N(W242)&lt;N(U242),"持仓中","已平仓")))))</f>
        <v/>
      </c>
      <c r="Z242" s="41" t="str">
        <f>IF(N(U242)=0,"",SUMIFS('成交明细'!$L$5:$L$804,'成交明细'!$A$5:$A$804,A242))</f>
        <v/>
      </c>
      <c r="AA242" s="42" t="str">
        <f>IF(Y242&lt;&gt;"已平仓","",(SUMIFS('成交明细'!$H$5:$H$804,'成交明细'!$A$5:$A$804,A242,'成交明细'!$D$5:$D$804,"卖")-SUMIFS('成交明细'!$H$5:$H$804,'成交明细'!$A$5:$A$804,A242,'成交明细'!$D$5:$D$804,"买"))*IF(N(G242)&gt;0,G242,1)-Z242)</f>
        <v/>
      </c>
      <c r="AB242" s="43" t="str">
        <f>IF(AND(Y242="已平仓",ISNUMBER(O242)),(SUMIFS('成交明细'!$H$5:$H$804,'成交明细'!$A$5:$A$804,A242,'成交明细'!$D$5:$D$804,"卖")-SUMIFS('成交明细'!$H$5:$H$804,'成交明细'!$A$5:$A$804,A242,'成交明细'!$D$5:$D$804,"买"))*IF(N(G242)&gt;0,G242,1)/O242,"")</f>
        <v/>
      </c>
      <c r="AC242" s="43" t="str">
        <f>IF(AND(Y242="已平仓",ISNUMBER(O242)),AA242/O242,"")</f>
        <v/>
      </c>
      <c r="AD242" s="44" t="str">
        <f>IF(AND(ISNUMBER(V242),ISNUMBER(I242)),IF(F242="空",I242-V242,V242-I242),"")</f>
        <v/>
      </c>
      <c r="AE242" s="44" t="str">
        <f>IF(OR(NOT(ISNUMBER(AA242)),NOT(ISNUMBER(X242))),"",IF(AA242&lt;0,IF(F242="空",X242-J242,J242-X242),IF(NOT(ISNUMBER(K242)),"",IF(F242="空",X242-K242,K242-X242))))</f>
        <v/>
      </c>
      <c r="AF242" s="32" t="n"/>
      <c r="AG242" s="32" t="n"/>
      <c r="AH242" s="31" t="n"/>
      <c r="AI242" s="43" t="str">
        <f>IF(A242="","",SUM(AC$5:AC242))</f>
        <v/>
      </c>
      <c r="AJ242" s="45" t="str">
        <f>IF(A242="","",MAX(0,MAX(AI$5:AI242))-AI242)</f>
        <v/>
      </c>
    </row>
    <row r="243">
      <c r="A243" s="29" t="n"/>
      <c r="B243" s="30" t="n"/>
      <c r="C243" s="31" t="n"/>
      <c r="D243" s="32" t="n"/>
      <c r="E243" s="32" t="n"/>
      <c r="F243" s="32" t="n"/>
      <c r="G243" s="32" t="n"/>
      <c r="H243" s="32" t="n"/>
      <c r="I243" s="33" t="n"/>
      <c r="J243" s="33" t="n"/>
      <c r="K243" s="33" t="n"/>
      <c r="L243" s="34" t="str">
        <f>IF(AND(ISNUMBER(I243),ISNUMBER(J243),ISNUMBER(K243)),IF(OR(AND(F243="多",I243&gt;J243),AND(F243="空",I243&lt;J243)),ABS(K243-I243)/ABS(I243-J243),"止损方向不对"),"")</f>
        <v/>
      </c>
      <c r="M243" s="35" t="str">
        <f>IF(AND(ISNUMBER(I243),ISNUMBER(J243)),IF(I243=J243,"",IF(INT(ROUND('参数'!$C$7/(ABS(I243-J243)*IF(N(G243)&gt;0,G243,1)+2*(I243*IF(N(G243)&gt;0,G243,1)*'参数'!$C$12+'参数'!$C$13+'参数'!$C$14*IF(N(G243)&gt;0,G243,1)))/IF(N(H243)&gt;0,H243,1),6))*IF(N(H243)&gt;0,H243,1)&gt;0,INT(ROUND('参数'!$C$7/(ABS(I243-J243)*IF(N(G243)&gt;0,G243,1)+2*(I243*IF(N(G243)&gt;0,G243,1)*'参数'!$C$12+'参数'!$C$13+'参数'!$C$14*IF(N(G243)&gt;0,G243,1)))/IF(N(H243)&gt;0,H243,1),6))*IF(N(H243)&gt;0,H243,1),"预算不足，这笔不做")),"")</f>
        <v/>
      </c>
      <c r="N243" s="36" t="n"/>
      <c r="O243" s="20" t="str">
        <f>IF(AND(ISNUMBER(I243),ISNUMBER(J243),ISNUMBER(N243)),IF(AND(I243&lt;&gt;J243,N243&gt;0),ABS(I243-J243)*N243*IF(N(G243)&gt;0,G243,1),""),"")</f>
        <v/>
      </c>
      <c r="P243" s="31" t="n"/>
      <c r="Q243" s="32" t="n"/>
      <c r="R243" s="37" t="str">
        <f>IF(N(U243)&gt;0,SUMPRODUCT(LARGE(('成交明细'!$A$5:$A$804=A243)*('成交明细'!$D$5:$D$804=IF(F243="空","卖","买"))*'成交明细'!$B$5:$B$804,COUNTIFS('成交明细'!$A$5:$A$804,A243,'成交明细'!$D$5:$D$804,IF(F243="空","卖","买")))),"")</f>
        <v/>
      </c>
      <c r="S243" s="37" t="str">
        <f>IF(AND(N(U243)&gt;0,N(W243)&gt;=N(U243)),SUMPRODUCT(MAX(('成交明细'!$A$5:$A$804=A243)*('成交明细'!$D$5:$D$804=IF(F243="空","买","卖"))*'成交明细'!$B$5:$B$804)),"")</f>
        <v/>
      </c>
      <c r="T243" s="38" t="str">
        <f>IF(N(U243)=0,"",IF(SUMPRODUCT(('成交明细'!$A$5:$A$804=A243)*('成交明细'!$D$5:$D$804=IF(F243="空","卖","买"))*ISNUMBER('成交明细'!$C$5:$C$804))=0,"没填时间",IFERROR(VLOOKUP(MOD(SUMPRODUCT(LARGE(('成交明细'!$A$5:$A$804=A243)*('成交明细'!$D$5:$D$804=IF(F243="空","卖","买"))*('成交明细'!$B$5:$B$804+'成交明细'!$C$5:$C$804),COUNTIFS('成交明细'!$A$5:$A$804,A243,'成交明细'!$D$5:$D$804,IF(F243="空","卖","买")))),1),'参数'!$B$39:$C$48,2,TRUE),"")))</f>
        <v/>
      </c>
      <c r="U243" s="35" t="str">
        <f>IF(A243="","",SUMIFS('成交明细'!$F$5:$F$804,'成交明细'!$A$5:$A$804,A243,'成交明细'!$D$5:$D$804,IF(F243="空","卖","买")))</f>
        <v/>
      </c>
      <c r="V243" s="39" t="str">
        <f>IF(N(U243)&gt;0,SUMIFS('成交明细'!$H$5:$H$804,'成交明细'!$A$5:$A$804,A243,'成交明细'!$D$5:$D$804,IF(F243="空","卖","买"))/U243,"")</f>
        <v/>
      </c>
      <c r="W243" s="35" t="str">
        <f>IF(A243="","",SUMIFS('成交明细'!$F$5:$F$804,'成交明细'!$A$5:$A$804,A243,'成交明细'!$D$5:$D$804,IF(F243="空","买","卖")))</f>
        <v/>
      </c>
      <c r="X243" s="39" t="str">
        <f>IF(N(W243)&gt;0,SUMIFS('成交明细'!$H$5:$H$804,'成交明细'!$A$5:$A$804,A243,'成交明细'!$D$5:$D$804,IF(F243="空","买","卖"))/W243,"")</f>
        <v/>
      </c>
      <c r="Y243" s="40" t="str">
        <f>IF(A243="","",IF(Q243&lt;&gt;"已执行",IF(Q243="","未填执行情况",Q243),IF(N(U243)=0,"待录成交",IF(N(W243)&gt;N(U243),"平仓多于开仓",IF(N(W243)&lt;N(U243),"持仓中","已平仓")))))</f>
        <v/>
      </c>
      <c r="Z243" s="41" t="str">
        <f>IF(N(U243)=0,"",SUMIFS('成交明细'!$L$5:$L$804,'成交明细'!$A$5:$A$804,A243))</f>
        <v/>
      </c>
      <c r="AA243" s="42" t="str">
        <f>IF(Y243&lt;&gt;"已平仓","",(SUMIFS('成交明细'!$H$5:$H$804,'成交明细'!$A$5:$A$804,A243,'成交明细'!$D$5:$D$804,"卖")-SUMIFS('成交明细'!$H$5:$H$804,'成交明细'!$A$5:$A$804,A243,'成交明细'!$D$5:$D$804,"买"))*IF(N(G243)&gt;0,G243,1)-Z243)</f>
        <v/>
      </c>
      <c r="AB243" s="43" t="str">
        <f>IF(AND(Y243="已平仓",ISNUMBER(O243)),(SUMIFS('成交明细'!$H$5:$H$804,'成交明细'!$A$5:$A$804,A243,'成交明细'!$D$5:$D$804,"卖")-SUMIFS('成交明细'!$H$5:$H$804,'成交明细'!$A$5:$A$804,A243,'成交明细'!$D$5:$D$804,"买"))*IF(N(G243)&gt;0,G243,1)/O243,"")</f>
        <v/>
      </c>
      <c r="AC243" s="43" t="str">
        <f>IF(AND(Y243="已平仓",ISNUMBER(O243)),AA243/O243,"")</f>
        <v/>
      </c>
      <c r="AD243" s="44" t="str">
        <f>IF(AND(ISNUMBER(V243),ISNUMBER(I243)),IF(F243="空",I243-V243,V243-I243),"")</f>
        <v/>
      </c>
      <c r="AE243" s="44" t="str">
        <f>IF(OR(NOT(ISNUMBER(AA243)),NOT(ISNUMBER(X243))),"",IF(AA243&lt;0,IF(F243="空",X243-J243,J243-X243),IF(NOT(ISNUMBER(K243)),"",IF(F243="空",X243-K243,K243-X243))))</f>
        <v/>
      </c>
      <c r="AF243" s="32" t="n"/>
      <c r="AG243" s="32" t="n"/>
      <c r="AH243" s="31" t="n"/>
      <c r="AI243" s="43" t="str">
        <f>IF(A243="","",SUM(AC$5:AC243))</f>
        <v/>
      </c>
      <c r="AJ243" s="45" t="str">
        <f>IF(A243="","",MAX(0,MAX(AI$5:AI243))-AI243)</f>
        <v/>
      </c>
    </row>
    <row r="244">
      <c r="A244" s="29" t="n"/>
      <c r="B244" s="30" t="n"/>
      <c r="C244" s="31" t="n"/>
      <c r="D244" s="32" t="n"/>
      <c r="E244" s="32" t="n"/>
      <c r="F244" s="32" t="n"/>
      <c r="G244" s="32" t="n"/>
      <c r="H244" s="32" t="n"/>
      <c r="I244" s="33" t="n"/>
      <c r="J244" s="33" t="n"/>
      <c r="K244" s="33" t="n"/>
      <c r="L244" s="34" t="str">
        <f>IF(AND(ISNUMBER(I244),ISNUMBER(J244),ISNUMBER(K244)),IF(OR(AND(F244="多",I244&gt;J244),AND(F244="空",I244&lt;J244)),ABS(K244-I244)/ABS(I244-J244),"止损方向不对"),"")</f>
        <v/>
      </c>
      <c r="M244" s="35" t="str">
        <f>IF(AND(ISNUMBER(I244),ISNUMBER(J244)),IF(I244=J244,"",IF(INT(ROUND('参数'!$C$7/(ABS(I244-J244)*IF(N(G244)&gt;0,G244,1)+2*(I244*IF(N(G244)&gt;0,G244,1)*'参数'!$C$12+'参数'!$C$13+'参数'!$C$14*IF(N(G244)&gt;0,G244,1)))/IF(N(H244)&gt;0,H244,1),6))*IF(N(H244)&gt;0,H244,1)&gt;0,INT(ROUND('参数'!$C$7/(ABS(I244-J244)*IF(N(G244)&gt;0,G244,1)+2*(I244*IF(N(G244)&gt;0,G244,1)*'参数'!$C$12+'参数'!$C$13+'参数'!$C$14*IF(N(G244)&gt;0,G244,1)))/IF(N(H244)&gt;0,H244,1),6))*IF(N(H244)&gt;0,H244,1),"预算不足，这笔不做")),"")</f>
        <v/>
      </c>
      <c r="N244" s="36" t="n"/>
      <c r="O244" s="20" t="str">
        <f>IF(AND(ISNUMBER(I244),ISNUMBER(J244),ISNUMBER(N244)),IF(AND(I244&lt;&gt;J244,N244&gt;0),ABS(I244-J244)*N244*IF(N(G244)&gt;0,G244,1),""),"")</f>
        <v/>
      </c>
      <c r="P244" s="31" t="n"/>
      <c r="Q244" s="32" t="n"/>
      <c r="R244" s="37" t="str">
        <f>IF(N(U244)&gt;0,SUMPRODUCT(LARGE(('成交明细'!$A$5:$A$804=A244)*('成交明细'!$D$5:$D$804=IF(F244="空","卖","买"))*'成交明细'!$B$5:$B$804,COUNTIFS('成交明细'!$A$5:$A$804,A244,'成交明细'!$D$5:$D$804,IF(F244="空","卖","买")))),"")</f>
        <v/>
      </c>
      <c r="S244" s="37" t="str">
        <f>IF(AND(N(U244)&gt;0,N(W244)&gt;=N(U244)),SUMPRODUCT(MAX(('成交明细'!$A$5:$A$804=A244)*('成交明细'!$D$5:$D$804=IF(F244="空","买","卖"))*'成交明细'!$B$5:$B$804)),"")</f>
        <v/>
      </c>
      <c r="T244" s="38" t="str">
        <f>IF(N(U244)=0,"",IF(SUMPRODUCT(('成交明细'!$A$5:$A$804=A244)*('成交明细'!$D$5:$D$804=IF(F244="空","卖","买"))*ISNUMBER('成交明细'!$C$5:$C$804))=0,"没填时间",IFERROR(VLOOKUP(MOD(SUMPRODUCT(LARGE(('成交明细'!$A$5:$A$804=A244)*('成交明细'!$D$5:$D$804=IF(F244="空","卖","买"))*('成交明细'!$B$5:$B$804+'成交明细'!$C$5:$C$804),COUNTIFS('成交明细'!$A$5:$A$804,A244,'成交明细'!$D$5:$D$804,IF(F244="空","卖","买")))),1),'参数'!$B$39:$C$48,2,TRUE),"")))</f>
        <v/>
      </c>
      <c r="U244" s="35" t="str">
        <f>IF(A244="","",SUMIFS('成交明细'!$F$5:$F$804,'成交明细'!$A$5:$A$804,A244,'成交明细'!$D$5:$D$804,IF(F244="空","卖","买")))</f>
        <v/>
      </c>
      <c r="V244" s="39" t="str">
        <f>IF(N(U244)&gt;0,SUMIFS('成交明细'!$H$5:$H$804,'成交明细'!$A$5:$A$804,A244,'成交明细'!$D$5:$D$804,IF(F244="空","卖","买"))/U244,"")</f>
        <v/>
      </c>
      <c r="W244" s="35" t="str">
        <f>IF(A244="","",SUMIFS('成交明细'!$F$5:$F$804,'成交明细'!$A$5:$A$804,A244,'成交明细'!$D$5:$D$804,IF(F244="空","买","卖")))</f>
        <v/>
      </c>
      <c r="X244" s="39" t="str">
        <f>IF(N(W244)&gt;0,SUMIFS('成交明细'!$H$5:$H$804,'成交明细'!$A$5:$A$804,A244,'成交明细'!$D$5:$D$804,IF(F244="空","买","卖"))/W244,"")</f>
        <v/>
      </c>
      <c r="Y244" s="40" t="str">
        <f>IF(A244="","",IF(Q244&lt;&gt;"已执行",IF(Q244="","未填执行情况",Q244),IF(N(U244)=0,"待录成交",IF(N(W244)&gt;N(U244),"平仓多于开仓",IF(N(W244)&lt;N(U244),"持仓中","已平仓")))))</f>
        <v/>
      </c>
      <c r="Z244" s="41" t="str">
        <f>IF(N(U244)=0,"",SUMIFS('成交明细'!$L$5:$L$804,'成交明细'!$A$5:$A$804,A244))</f>
        <v/>
      </c>
      <c r="AA244" s="42" t="str">
        <f>IF(Y244&lt;&gt;"已平仓","",(SUMIFS('成交明细'!$H$5:$H$804,'成交明细'!$A$5:$A$804,A244,'成交明细'!$D$5:$D$804,"卖")-SUMIFS('成交明细'!$H$5:$H$804,'成交明细'!$A$5:$A$804,A244,'成交明细'!$D$5:$D$804,"买"))*IF(N(G244)&gt;0,G244,1)-Z244)</f>
        <v/>
      </c>
      <c r="AB244" s="43" t="str">
        <f>IF(AND(Y244="已平仓",ISNUMBER(O244)),(SUMIFS('成交明细'!$H$5:$H$804,'成交明细'!$A$5:$A$804,A244,'成交明细'!$D$5:$D$804,"卖")-SUMIFS('成交明细'!$H$5:$H$804,'成交明细'!$A$5:$A$804,A244,'成交明细'!$D$5:$D$804,"买"))*IF(N(G244)&gt;0,G244,1)/O244,"")</f>
        <v/>
      </c>
      <c r="AC244" s="43" t="str">
        <f>IF(AND(Y244="已平仓",ISNUMBER(O244)),AA244/O244,"")</f>
        <v/>
      </c>
      <c r="AD244" s="44" t="str">
        <f>IF(AND(ISNUMBER(V244),ISNUMBER(I244)),IF(F244="空",I244-V244,V244-I244),"")</f>
        <v/>
      </c>
      <c r="AE244" s="44" t="str">
        <f>IF(OR(NOT(ISNUMBER(AA244)),NOT(ISNUMBER(X244))),"",IF(AA244&lt;0,IF(F244="空",X244-J244,J244-X244),IF(NOT(ISNUMBER(K244)),"",IF(F244="空",X244-K244,K244-X244))))</f>
        <v/>
      </c>
      <c r="AF244" s="32" t="n"/>
      <c r="AG244" s="32" t="n"/>
      <c r="AH244" s="31" t="n"/>
      <c r="AI244" s="43" t="str">
        <f>IF(A244="","",SUM(AC$5:AC244))</f>
        <v/>
      </c>
      <c r="AJ244" s="45" t="str">
        <f>IF(A244="","",MAX(0,MAX(AI$5:AI244))-AI244)</f>
        <v/>
      </c>
    </row>
    <row r="245">
      <c r="A245" s="29" t="n"/>
      <c r="B245" s="30" t="n"/>
      <c r="C245" s="31" t="n"/>
      <c r="D245" s="32" t="n"/>
      <c r="E245" s="32" t="n"/>
      <c r="F245" s="32" t="n"/>
      <c r="G245" s="32" t="n"/>
      <c r="H245" s="32" t="n"/>
      <c r="I245" s="33" t="n"/>
      <c r="J245" s="33" t="n"/>
      <c r="K245" s="33" t="n"/>
      <c r="L245" s="34" t="str">
        <f>IF(AND(ISNUMBER(I245),ISNUMBER(J245),ISNUMBER(K245)),IF(OR(AND(F245="多",I245&gt;J245),AND(F245="空",I245&lt;J245)),ABS(K245-I245)/ABS(I245-J245),"止损方向不对"),"")</f>
        <v/>
      </c>
      <c r="M245" s="35" t="str">
        <f>IF(AND(ISNUMBER(I245),ISNUMBER(J245)),IF(I245=J245,"",IF(INT(ROUND('参数'!$C$7/(ABS(I245-J245)*IF(N(G245)&gt;0,G245,1)+2*(I245*IF(N(G245)&gt;0,G245,1)*'参数'!$C$12+'参数'!$C$13+'参数'!$C$14*IF(N(G245)&gt;0,G245,1)))/IF(N(H245)&gt;0,H245,1),6))*IF(N(H245)&gt;0,H245,1)&gt;0,INT(ROUND('参数'!$C$7/(ABS(I245-J245)*IF(N(G245)&gt;0,G245,1)+2*(I245*IF(N(G245)&gt;0,G245,1)*'参数'!$C$12+'参数'!$C$13+'参数'!$C$14*IF(N(G245)&gt;0,G245,1)))/IF(N(H245)&gt;0,H245,1),6))*IF(N(H245)&gt;0,H245,1),"预算不足，这笔不做")),"")</f>
        <v/>
      </c>
      <c r="N245" s="36" t="n"/>
      <c r="O245" s="20" t="str">
        <f>IF(AND(ISNUMBER(I245),ISNUMBER(J245),ISNUMBER(N245)),IF(AND(I245&lt;&gt;J245,N245&gt;0),ABS(I245-J245)*N245*IF(N(G245)&gt;0,G245,1),""),"")</f>
        <v/>
      </c>
      <c r="P245" s="31" t="n"/>
      <c r="Q245" s="32" t="n"/>
      <c r="R245" s="37" t="str">
        <f>IF(N(U245)&gt;0,SUMPRODUCT(LARGE(('成交明细'!$A$5:$A$804=A245)*('成交明细'!$D$5:$D$804=IF(F245="空","卖","买"))*'成交明细'!$B$5:$B$804,COUNTIFS('成交明细'!$A$5:$A$804,A245,'成交明细'!$D$5:$D$804,IF(F245="空","卖","买")))),"")</f>
        <v/>
      </c>
      <c r="S245" s="37" t="str">
        <f>IF(AND(N(U245)&gt;0,N(W245)&gt;=N(U245)),SUMPRODUCT(MAX(('成交明细'!$A$5:$A$804=A245)*('成交明细'!$D$5:$D$804=IF(F245="空","买","卖"))*'成交明细'!$B$5:$B$804)),"")</f>
        <v/>
      </c>
      <c r="T245" s="38" t="str">
        <f>IF(N(U245)=0,"",IF(SUMPRODUCT(('成交明细'!$A$5:$A$804=A245)*('成交明细'!$D$5:$D$804=IF(F245="空","卖","买"))*ISNUMBER('成交明细'!$C$5:$C$804))=0,"没填时间",IFERROR(VLOOKUP(MOD(SUMPRODUCT(LARGE(('成交明细'!$A$5:$A$804=A245)*('成交明细'!$D$5:$D$804=IF(F245="空","卖","买"))*('成交明细'!$B$5:$B$804+'成交明细'!$C$5:$C$804),COUNTIFS('成交明细'!$A$5:$A$804,A245,'成交明细'!$D$5:$D$804,IF(F245="空","卖","买")))),1),'参数'!$B$39:$C$48,2,TRUE),"")))</f>
        <v/>
      </c>
      <c r="U245" s="35" t="str">
        <f>IF(A245="","",SUMIFS('成交明细'!$F$5:$F$804,'成交明细'!$A$5:$A$804,A245,'成交明细'!$D$5:$D$804,IF(F245="空","卖","买")))</f>
        <v/>
      </c>
      <c r="V245" s="39" t="str">
        <f>IF(N(U245)&gt;0,SUMIFS('成交明细'!$H$5:$H$804,'成交明细'!$A$5:$A$804,A245,'成交明细'!$D$5:$D$804,IF(F245="空","卖","买"))/U245,"")</f>
        <v/>
      </c>
      <c r="W245" s="35" t="str">
        <f>IF(A245="","",SUMIFS('成交明细'!$F$5:$F$804,'成交明细'!$A$5:$A$804,A245,'成交明细'!$D$5:$D$804,IF(F245="空","买","卖")))</f>
        <v/>
      </c>
      <c r="X245" s="39" t="str">
        <f>IF(N(W245)&gt;0,SUMIFS('成交明细'!$H$5:$H$804,'成交明细'!$A$5:$A$804,A245,'成交明细'!$D$5:$D$804,IF(F245="空","买","卖"))/W245,"")</f>
        <v/>
      </c>
      <c r="Y245" s="40" t="str">
        <f>IF(A245="","",IF(Q245&lt;&gt;"已执行",IF(Q245="","未填执行情况",Q245),IF(N(U245)=0,"待录成交",IF(N(W245)&gt;N(U245),"平仓多于开仓",IF(N(W245)&lt;N(U245),"持仓中","已平仓")))))</f>
        <v/>
      </c>
      <c r="Z245" s="41" t="str">
        <f>IF(N(U245)=0,"",SUMIFS('成交明细'!$L$5:$L$804,'成交明细'!$A$5:$A$804,A245))</f>
        <v/>
      </c>
      <c r="AA245" s="42" t="str">
        <f>IF(Y245&lt;&gt;"已平仓","",(SUMIFS('成交明细'!$H$5:$H$804,'成交明细'!$A$5:$A$804,A245,'成交明细'!$D$5:$D$804,"卖")-SUMIFS('成交明细'!$H$5:$H$804,'成交明细'!$A$5:$A$804,A245,'成交明细'!$D$5:$D$804,"买"))*IF(N(G245)&gt;0,G245,1)-Z245)</f>
        <v/>
      </c>
      <c r="AB245" s="43" t="str">
        <f>IF(AND(Y245="已平仓",ISNUMBER(O245)),(SUMIFS('成交明细'!$H$5:$H$804,'成交明细'!$A$5:$A$804,A245,'成交明细'!$D$5:$D$804,"卖")-SUMIFS('成交明细'!$H$5:$H$804,'成交明细'!$A$5:$A$804,A245,'成交明细'!$D$5:$D$804,"买"))*IF(N(G245)&gt;0,G245,1)/O245,"")</f>
        <v/>
      </c>
      <c r="AC245" s="43" t="str">
        <f>IF(AND(Y245="已平仓",ISNUMBER(O245)),AA245/O245,"")</f>
        <v/>
      </c>
      <c r="AD245" s="44" t="str">
        <f>IF(AND(ISNUMBER(V245),ISNUMBER(I245)),IF(F245="空",I245-V245,V245-I245),"")</f>
        <v/>
      </c>
      <c r="AE245" s="44" t="str">
        <f>IF(OR(NOT(ISNUMBER(AA245)),NOT(ISNUMBER(X245))),"",IF(AA245&lt;0,IF(F245="空",X245-J245,J245-X245),IF(NOT(ISNUMBER(K245)),"",IF(F245="空",X245-K245,K245-X245))))</f>
        <v/>
      </c>
      <c r="AF245" s="32" t="n"/>
      <c r="AG245" s="32" t="n"/>
      <c r="AH245" s="31" t="n"/>
      <c r="AI245" s="43" t="str">
        <f>IF(A245="","",SUM(AC$5:AC245))</f>
        <v/>
      </c>
      <c r="AJ245" s="45" t="str">
        <f>IF(A245="","",MAX(0,MAX(AI$5:AI245))-AI245)</f>
        <v/>
      </c>
    </row>
    <row r="246">
      <c r="A246" s="29" t="n"/>
      <c r="B246" s="30" t="n"/>
      <c r="C246" s="31" t="n"/>
      <c r="D246" s="32" t="n"/>
      <c r="E246" s="32" t="n"/>
      <c r="F246" s="32" t="n"/>
      <c r="G246" s="32" t="n"/>
      <c r="H246" s="32" t="n"/>
      <c r="I246" s="33" t="n"/>
      <c r="J246" s="33" t="n"/>
      <c r="K246" s="33" t="n"/>
      <c r="L246" s="34" t="str">
        <f>IF(AND(ISNUMBER(I246),ISNUMBER(J246),ISNUMBER(K246)),IF(OR(AND(F246="多",I246&gt;J246),AND(F246="空",I246&lt;J246)),ABS(K246-I246)/ABS(I246-J246),"止损方向不对"),"")</f>
        <v/>
      </c>
      <c r="M246" s="35" t="str">
        <f>IF(AND(ISNUMBER(I246),ISNUMBER(J246)),IF(I246=J246,"",IF(INT(ROUND('参数'!$C$7/(ABS(I246-J246)*IF(N(G246)&gt;0,G246,1)+2*(I246*IF(N(G246)&gt;0,G246,1)*'参数'!$C$12+'参数'!$C$13+'参数'!$C$14*IF(N(G246)&gt;0,G246,1)))/IF(N(H246)&gt;0,H246,1),6))*IF(N(H246)&gt;0,H246,1)&gt;0,INT(ROUND('参数'!$C$7/(ABS(I246-J246)*IF(N(G246)&gt;0,G246,1)+2*(I246*IF(N(G246)&gt;0,G246,1)*'参数'!$C$12+'参数'!$C$13+'参数'!$C$14*IF(N(G246)&gt;0,G246,1)))/IF(N(H246)&gt;0,H246,1),6))*IF(N(H246)&gt;0,H246,1),"预算不足，这笔不做")),"")</f>
        <v/>
      </c>
      <c r="N246" s="36" t="n"/>
      <c r="O246" s="20" t="str">
        <f>IF(AND(ISNUMBER(I246),ISNUMBER(J246),ISNUMBER(N246)),IF(AND(I246&lt;&gt;J246,N246&gt;0),ABS(I246-J246)*N246*IF(N(G246)&gt;0,G246,1),""),"")</f>
        <v/>
      </c>
      <c r="P246" s="31" t="n"/>
      <c r="Q246" s="32" t="n"/>
      <c r="R246" s="37" t="str">
        <f>IF(N(U246)&gt;0,SUMPRODUCT(LARGE(('成交明细'!$A$5:$A$804=A246)*('成交明细'!$D$5:$D$804=IF(F246="空","卖","买"))*'成交明细'!$B$5:$B$804,COUNTIFS('成交明细'!$A$5:$A$804,A246,'成交明细'!$D$5:$D$804,IF(F246="空","卖","买")))),"")</f>
        <v/>
      </c>
      <c r="S246" s="37" t="str">
        <f>IF(AND(N(U246)&gt;0,N(W246)&gt;=N(U246)),SUMPRODUCT(MAX(('成交明细'!$A$5:$A$804=A246)*('成交明细'!$D$5:$D$804=IF(F246="空","买","卖"))*'成交明细'!$B$5:$B$804)),"")</f>
        <v/>
      </c>
      <c r="T246" s="38" t="str">
        <f>IF(N(U246)=0,"",IF(SUMPRODUCT(('成交明细'!$A$5:$A$804=A246)*('成交明细'!$D$5:$D$804=IF(F246="空","卖","买"))*ISNUMBER('成交明细'!$C$5:$C$804))=0,"没填时间",IFERROR(VLOOKUP(MOD(SUMPRODUCT(LARGE(('成交明细'!$A$5:$A$804=A246)*('成交明细'!$D$5:$D$804=IF(F246="空","卖","买"))*('成交明细'!$B$5:$B$804+'成交明细'!$C$5:$C$804),COUNTIFS('成交明细'!$A$5:$A$804,A246,'成交明细'!$D$5:$D$804,IF(F246="空","卖","买")))),1),'参数'!$B$39:$C$48,2,TRUE),"")))</f>
        <v/>
      </c>
      <c r="U246" s="35" t="str">
        <f>IF(A246="","",SUMIFS('成交明细'!$F$5:$F$804,'成交明细'!$A$5:$A$804,A246,'成交明细'!$D$5:$D$804,IF(F246="空","卖","买")))</f>
        <v/>
      </c>
      <c r="V246" s="39" t="str">
        <f>IF(N(U246)&gt;0,SUMIFS('成交明细'!$H$5:$H$804,'成交明细'!$A$5:$A$804,A246,'成交明细'!$D$5:$D$804,IF(F246="空","卖","买"))/U246,"")</f>
        <v/>
      </c>
      <c r="W246" s="35" t="str">
        <f>IF(A246="","",SUMIFS('成交明细'!$F$5:$F$804,'成交明细'!$A$5:$A$804,A246,'成交明细'!$D$5:$D$804,IF(F246="空","买","卖")))</f>
        <v/>
      </c>
      <c r="X246" s="39" t="str">
        <f>IF(N(W246)&gt;0,SUMIFS('成交明细'!$H$5:$H$804,'成交明细'!$A$5:$A$804,A246,'成交明细'!$D$5:$D$804,IF(F246="空","买","卖"))/W246,"")</f>
        <v/>
      </c>
      <c r="Y246" s="40" t="str">
        <f>IF(A246="","",IF(Q246&lt;&gt;"已执行",IF(Q246="","未填执行情况",Q246),IF(N(U246)=0,"待录成交",IF(N(W246)&gt;N(U246),"平仓多于开仓",IF(N(W246)&lt;N(U246),"持仓中","已平仓")))))</f>
        <v/>
      </c>
      <c r="Z246" s="41" t="str">
        <f>IF(N(U246)=0,"",SUMIFS('成交明细'!$L$5:$L$804,'成交明细'!$A$5:$A$804,A246))</f>
        <v/>
      </c>
      <c r="AA246" s="42" t="str">
        <f>IF(Y246&lt;&gt;"已平仓","",(SUMIFS('成交明细'!$H$5:$H$804,'成交明细'!$A$5:$A$804,A246,'成交明细'!$D$5:$D$804,"卖")-SUMIFS('成交明细'!$H$5:$H$804,'成交明细'!$A$5:$A$804,A246,'成交明细'!$D$5:$D$804,"买"))*IF(N(G246)&gt;0,G246,1)-Z246)</f>
        <v/>
      </c>
      <c r="AB246" s="43" t="str">
        <f>IF(AND(Y246="已平仓",ISNUMBER(O246)),(SUMIFS('成交明细'!$H$5:$H$804,'成交明细'!$A$5:$A$804,A246,'成交明细'!$D$5:$D$804,"卖")-SUMIFS('成交明细'!$H$5:$H$804,'成交明细'!$A$5:$A$804,A246,'成交明细'!$D$5:$D$804,"买"))*IF(N(G246)&gt;0,G246,1)/O246,"")</f>
        <v/>
      </c>
      <c r="AC246" s="43" t="str">
        <f>IF(AND(Y246="已平仓",ISNUMBER(O246)),AA246/O246,"")</f>
        <v/>
      </c>
      <c r="AD246" s="44" t="str">
        <f>IF(AND(ISNUMBER(V246),ISNUMBER(I246)),IF(F246="空",I246-V246,V246-I246),"")</f>
        <v/>
      </c>
      <c r="AE246" s="44" t="str">
        <f>IF(OR(NOT(ISNUMBER(AA246)),NOT(ISNUMBER(X246))),"",IF(AA246&lt;0,IF(F246="空",X246-J246,J246-X246),IF(NOT(ISNUMBER(K246)),"",IF(F246="空",X246-K246,K246-X246))))</f>
        <v/>
      </c>
      <c r="AF246" s="32" t="n"/>
      <c r="AG246" s="32" t="n"/>
      <c r="AH246" s="31" t="n"/>
      <c r="AI246" s="43" t="str">
        <f>IF(A246="","",SUM(AC$5:AC246))</f>
        <v/>
      </c>
      <c r="AJ246" s="45" t="str">
        <f>IF(A246="","",MAX(0,MAX(AI$5:AI246))-AI246)</f>
        <v/>
      </c>
    </row>
    <row r="247">
      <c r="A247" s="29" t="n"/>
      <c r="B247" s="30" t="n"/>
      <c r="C247" s="31" t="n"/>
      <c r="D247" s="32" t="n"/>
      <c r="E247" s="32" t="n"/>
      <c r="F247" s="32" t="n"/>
      <c r="G247" s="32" t="n"/>
      <c r="H247" s="32" t="n"/>
      <c r="I247" s="33" t="n"/>
      <c r="J247" s="33" t="n"/>
      <c r="K247" s="33" t="n"/>
      <c r="L247" s="34" t="str">
        <f>IF(AND(ISNUMBER(I247),ISNUMBER(J247),ISNUMBER(K247)),IF(OR(AND(F247="多",I247&gt;J247),AND(F247="空",I247&lt;J247)),ABS(K247-I247)/ABS(I247-J247),"止损方向不对"),"")</f>
        <v/>
      </c>
      <c r="M247" s="35" t="str">
        <f>IF(AND(ISNUMBER(I247),ISNUMBER(J247)),IF(I247=J247,"",IF(INT(ROUND('参数'!$C$7/(ABS(I247-J247)*IF(N(G247)&gt;0,G247,1)+2*(I247*IF(N(G247)&gt;0,G247,1)*'参数'!$C$12+'参数'!$C$13+'参数'!$C$14*IF(N(G247)&gt;0,G247,1)))/IF(N(H247)&gt;0,H247,1),6))*IF(N(H247)&gt;0,H247,1)&gt;0,INT(ROUND('参数'!$C$7/(ABS(I247-J247)*IF(N(G247)&gt;0,G247,1)+2*(I247*IF(N(G247)&gt;0,G247,1)*'参数'!$C$12+'参数'!$C$13+'参数'!$C$14*IF(N(G247)&gt;0,G247,1)))/IF(N(H247)&gt;0,H247,1),6))*IF(N(H247)&gt;0,H247,1),"预算不足，这笔不做")),"")</f>
        <v/>
      </c>
      <c r="N247" s="36" t="n"/>
      <c r="O247" s="20" t="str">
        <f>IF(AND(ISNUMBER(I247),ISNUMBER(J247),ISNUMBER(N247)),IF(AND(I247&lt;&gt;J247,N247&gt;0),ABS(I247-J247)*N247*IF(N(G247)&gt;0,G247,1),""),"")</f>
        <v/>
      </c>
      <c r="P247" s="31" t="n"/>
      <c r="Q247" s="32" t="n"/>
      <c r="R247" s="37" t="str">
        <f>IF(N(U247)&gt;0,SUMPRODUCT(LARGE(('成交明细'!$A$5:$A$804=A247)*('成交明细'!$D$5:$D$804=IF(F247="空","卖","买"))*'成交明细'!$B$5:$B$804,COUNTIFS('成交明细'!$A$5:$A$804,A247,'成交明细'!$D$5:$D$804,IF(F247="空","卖","买")))),"")</f>
        <v/>
      </c>
      <c r="S247" s="37" t="str">
        <f>IF(AND(N(U247)&gt;0,N(W247)&gt;=N(U247)),SUMPRODUCT(MAX(('成交明细'!$A$5:$A$804=A247)*('成交明细'!$D$5:$D$804=IF(F247="空","买","卖"))*'成交明细'!$B$5:$B$804)),"")</f>
        <v/>
      </c>
      <c r="T247" s="38" t="str">
        <f>IF(N(U247)=0,"",IF(SUMPRODUCT(('成交明细'!$A$5:$A$804=A247)*('成交明细'!$D$5:$D$804=IF(F247="空","卖","买"))*ISNUMBER('成交明细'!$C$5:$C$804))=0,"没填时间",IFERROR(VLOOKUP(MOD(SUMPRODUCT(LARGE(('成交明细'!$A$5:$A$804=A247)*('成交明细'!$D$5:$D$804=IF(F247="空","卖","买"))*('成交明细'!$B$5:$B$804+'成交明细'!$C$5:$C$804),COUNTIFS('成交明细'!$A$5:$A$804,A247,'成交明细'!$D$5:$D$804,IF(F247="空","卖","买")))),1),'参数'!$B$39:$C$48,2,TRUE),"")))</f>
        <v/>
      </c>
      <c r="U247" s="35" t="str">
        <f>IF(A247="","",SUMIFS('成交明细'!$F$5:$F$804,'成交明细'!$A$5:$A$804,A247,'成交明细'!$D$5:$D$804,IF(F247="空","卖","买")))</f>
        <v/>
      </c>
      <c r="V247" s="39" t="str">
        <f>IF(N(U247)&gt;0,SUMIFS('成交明细'!$H$5:$H$804,'成交明细'!$A$5:$A$804,A247,'成交明细'!$D$5:$D$804,IF(F247="空","卖","买"))/U247,"")</f>
        <v/>
      </c>
      <c r="W247" s="35" t="str">
        <f>IF(A247="","",SUMIFS('成交明细'!$F$5:$F$804,'成交明细'!$A$5:$A$804,A247,'成交明细'!$D$5:$D$804,IF(F247="空","买","卖")))</f>
        <v/>
      </c>
      <c r="X247" s="39" t="str">
        <f>IF(N(W247)&gt;0,SUMIFS('成交明细'!$H$5:$H$804,'成交明细'!$A$5:$A$804,A247,'成交明细'!$D$5:$D$804,IF(F247="空","买","卖"))/W247,"")</f>
        <v/>
      </c>
      <c r="Y247" s="40" t="str">
        <f>IF(A247="","",IF(Q247&lt;&gt;"已执行",IF(Q247="","未填执行情况",Q247),IF(N(U247)=0,"待录成交",IF(N(W247)&gt;N(U247),"平仓多于开仓",IF(N(W247)&lt;N(U247),"持仓中","已平仓")))))</f>
        <v/>
      </c>
      <c r="Z247" s="41" t="str">
        <f>IF(N(U247)=0,"",SUMIFS('成交明细'!$L$5:$L$804,'成交明细'!$A$5:$A$804,A247))</f>
        <v/>
      </c>
      <c r="AA247" s="42" t="str">
        <f>IF(Y247&lt;&gt;"已平仓","",(SUMIFS('成交明细'!$H$5:$H$804,'成交明细'!$A$5:$A$804,A247,'成交明细'!$D$5:$D$804,"卖")-SUMIFS('成交明细'!$H$5:$H$804,'成交明细'!$A$5:$A$804,A247,'成交明细'!$D$5:$D$804,"买"))*IF(N(G247)&gt;0,G247,1)-Z247)</f>
        <v/>
      </c>
      <c r="AB247" s="43" t="str">
        <f>IF(AND(Y247="已平仓",ISNUMBER(O247)),(SUMIFS('成交明细'!$H$5:$H$804,'成交明细'!$A$5:$A$804,A247,'成交明细'!$D$5:$D$804,"卖")-SUMIFS('成交明细'!$H$5:$H$804,'成交明细'!$A$5:$A$804,A247,'成交明细'!$D$5:$D$804,"买"))*IF(N(G247)&gt;0,G247,1)/O247,"")</f>
        <v/>
      </c>
      <c r="AC247" s="43" t="str">
        <f>IF(AND(Y247="已平仓",ISNUMBER(O247)),AA247/O247,"")</f>
        <v/>
      </c>
      <c r="AD247" s="44" t="str">
        <f>IF(AND(ISNUMBER(V247),ISNUMBER(I247)),IF(F247="空",I247-V247,V247-I247),"")</f>
        <v/>
      </c>
      <c r="AE247" s="44" t="str">
        <f>IF(OR(NOT(ISNUMBER(AA247)),NOT(ISNUMBER(X247))),"",IF(AA247&lt;0,IF(F247="空",X247-J247,J247-X247),IF(NOT(ISNUMBER(K247)),"",IF(F247="空",X247-K247,K247-X247))))</f>
        <v/>
      </c>
      <c r="AF247" s="32" t="n"/>
      <c r="AG247" s="32" t="n"/>
      <c r="AH247" s="31" t="n"/>
      <c r="AI247" s="43" t="str">
        <f>IF(A247="","",SUM(AC$5:AC247))</f>
        <v/>
      </c>
      <c r="AJ247" s="45" t="str">
        <f>IF(A247="","",MAX(0,MAX(AI$5:AI247))-AI247)</f>
        <v/>
      </c>
    </row>
    <row r="248">
      <c r="A248" s="29" t="n"/>
      <c r="B248" s="30" t="n"/>
      <c r="C248" s="31" t="n"/>
      <c r="D248" s="32" t="n"/>
      <c r="E248" s="32" t="n"/>
      <c r="F248" s="32" t="n"/>
      <c r="G248" s="32" t="n"/>
      <c r="H248" s="32" t="n"/>
      <c r="I248" s="33" t="n"/>
      <c r="J248" s="33" t="n"/>
      <c r="K248" s="33" t="n"/>
      <c r="L248" s="34" t="str">
        <f>IF(AND(ISNUMBER(I248),ISNUMBER(J248),ISNUMBER(K248)),IF(OR(AND(F248="多",I248&gt;J248),AND(F248="空",I248&lt;J248)),ABS(K248-I248)/ABS(I248-J248),"止损方向不对"),"")</f>
        <v/>
      </c>
      <c r="M248" s="35" t="str">
        <f>IF(AND(ISNUMBER(I248),ISNUMBER(J248)),IF(I248=J248,"",IF(INT(ROUND('参数'!$C$7/(ABS(I248-J248)*IF(N(G248)&gt;0,G248,1)+2*(I248*IF(N(G248)&gt;0,G248,1)*'参数'!$C$12+'参数'!$C$13+'参数'!$C$14*IF(N(G248)&gt;0,G248,1)))/IF(N(H248)&gt;0,H248,1),6))*IF(N(H248)&gt;0,H248,1)&gt;0,INT(ROUND('参数'!$C$7/(ABS(I248-J248)*IF(N(G248)&gt;0,G248,1)+2*(I248*IF(N(G248)&gt;0,G248,1)*'参数'!$C$12+'参数'!$C$13+'参数'!$C$14*IF(N(G248)&gt;0,G248,1)))/IF(N(H248)&gt;0,H248,1),6))*IF(N(H248)&gt;0,H248,1),"预算不足，这笔不做")),"")</f>
        <v/>
      </c>
      <c r="N248" s="36" t="n"/>
      <c r="O248" s="20" t="str">
        <f>IF(AND(ISNUMBER(I248),ISNUMBER(J248),ISNUMBER(N248)),IF(AND(I248&lt;&gt;J248,N248&gt;0),ABS(I248-J248)*N248*IF(N(G248)&gt;0,G248,1),""),"")</f>
        <v/>
      </c>
      <c r="P248" s="31" t="n"/>
      <c r="Q248" s="32" t="n"/>
      <c r="R248" s="37" t="str">
        <f>IF(N(U248)&gt;0,SUMPRODUCT(LARGE(('成交明细'!$A$5:$A$804=A248)*('成交明细'!$D$5:$D$804=IF(F248="空","卖","买"))*'成交明细'!$B$5:$B$804,COUNTIFS('成交明细'!$A$5:$A$804,A248,'成交明细'!$D$5:$D$804,IF(F248="空","卖","买")))),"")</f>
        <v/>
      </c>
      <c r="S248" s="37" t="str">
        <f>IF(AND(N(U248)&gt;0,N(W248)&gt;=N(U248)),SUMPRODUCT(MAX(('成交明细'!$A$5:$A$804=A248)*('成交明细'!$D$5:$D$804=IF(F248="空","买","卖"))*'成交明细'!$B$5:$B$804)),"")</f>
        <v/>
      </c>
      <c r="T248" s="38" t="str">
        <f>IF(N(U248)=0,"",IF(SUMPRODUCT(('成交明细'!$A$5:$A$804=A248)*('成交明细'!$D$5:$D$804=IF(F248="空","卖","买"))*ISNUMBER('成交明细'!$C$5:$C$804))=0,"没填时间",IFERROR(VLOOKUP(MOD(SUMPRODUCT(LARGE(('成交明细'!$A$5:$A$804=A248)*('成交明细'!$D$5:$D$804=IF(F248="空","卖","买"))*('成交明细'!$B$5:$B$804+'成交明细'!$C$5:$C$804),COUNTIFS('成交明细'!$A$5:$A$804,A248,'成交明细'!$D$5:$D$804,IF(F248="空","卖","买")))),1),'参数'!$B$39:$C$48,2,TRUE),"")))</f>
        <v/>
      </c>
      <c r="U248" s="35" t="str">
        <f>IF(A248="","",SUMIFS('成交明细'!$F$5:$F$804,'成交明细'!$A$5:$A$804,A248,'成交明细'!$D$5:$D$804,IF(F248="空","卖","买")))</f>
        <v/>
      </c>
      <c r="V248" s="39" t="str">
        <f>IF(N(U248)&gt;0,SUMIFS('成交明细'!$H$5:$H$804,'成交明细'!$A$5:$A$804,A248,'成交明细'!$D$5:$D$804,IF(F248="空","卖","买"))/U248,"")</f>
        <v/>
      </c>
      <c r="W248" s="35" t="str">
        <f>IF(A248="","",SUMIFS('成交明细'!$F$5:$F$804,'成交明细'!$A$5:$A$804,A248,'成交明细'!$D$5:$D$804,IF(F248="空","买","卖")))</f>
        <v/>
      </c>
      <c r="X248" s="39" t="str">
        <f>IF(N(W248)&gt;0,SUMIFS('成交明细'!$H$5:$H$804,'成交明细'!$A$5:$A$804,A248,'成交明细'!$D$5:$D$804,IF(F248="空","买","卖"))/W248,"")</f>
        <v/>
      </c>
      <c r="Y248" s="40" t="str">
        <f>IF(A248="","",IF(Q248&lt;&gt;"已执行",IF(Q248="","未填执行情况",Q248),IF(N(U248)=0,"待录成交",IF(N(W248)&gt;N(U248),"平仓多于开仓",IF(N(W248)&lt;N(U248),"持仓中","已平仓")))))</f>
        <v/>
      </c>
      <c r="Z248" s="41" t="str">
        <f>IF(N(U248)=0,"",SUMIFS('成交明细'!$L$5:$L$804,'成交明细'!$A$5:$A$804,A248))</f>
        <v/>
      </c>
      <c r="AA248" s="42" t="str">
        <f>IF(Y248&lt;&gt;"已平仓","",(SUMIFS('成交明细'!$H$5:$H$804,'成交明细'!$A$5:$A$804,A248,'成交明细'!$D$5:$D$804,"卖")-SUMIFS('成交明细'!$H$5:$H$804,'成交明细'!$A$5:$A$804,A248,'成交明细'!$D$5:$D$804,"买"))*IF(N(G248)&gt;0,G248,1)-Z248)</f>
        <v/>
      </c>
      <c r="AB248" s="43" t="str">
        <f>IF(AND(Y248="已平仓",ISNUMBER(O248)),(SUMIFS('成交明细'!$H$5:$H$804,'成交明细'!$A$5:$A$804,A248,'成交明细'!$D$5:$D$804,"卖")-SUMIFS('成交明细'!$H$5:$H$804,'成交明细'!$A$5:$A$804,A248,'成交明细'!$D$5:$D$804,"买"))*IF(N(G248)&gt;0,G248,1)/O248,"")</f>
        <v/>
      </c>
      <c r="AC248" s="43" t="str">
        <f>IF(AND(Y248="已平仓",ISNUMBER(O248)),AA248/O248,"")</f>
        <v/>
      </c>
      <c r="AD248" s="44" t="str">
        <f>IF(AND(ISNUMBER(V248),ISNUMBER(I248)),IF(F248="空",I248-V248,V248-I248),"")</f>
        <v/>
      </c>
      <c r="AE248" s="44" t="str">
        <f>IF(OR(NOT(ISNUMBER(AA248)),NOT(ISNUMBER(X248))),"",IF(AA248&lt;0,IF(F248="空",X248-J248,J248-X248),IF(NOT(ISNUMBER(K248)),"",IF(F248="空",X248-K248,K248-X248))))</f>
        <v/>
      </c>
      <c r="AF248" s="32" t="n"/>
      <c r="AG248" s="32" t="n"/>
      <c r="AH248" s="31" t="n"/>
      <c r="AI248" s="43" t="str">
        <f>IF(A248="","",SUM(AC$5:AC248))</f>
        <v/>
      </c>
      <c r="AJ248" s="45" t="str">
        <f>IF(A248="","",MAX(0,MAX(AI$5:AI248))-AI248)</f>
        <v/>
      </c>
    </row>
    <row r="249">
      <c r="A249" s="29" t="n"/>
      <c r="B249" s="30" t="n"/>
      <c r="C249" s="31" t="n"/>
      <c r="D249" s="32" t="n"/>
      <c r="E249" s="32" t="n"/>
      <c r="F249" s="32" t="n"/>
      <c r="G249" s="32" t="n"/>
      <c r="H249" s="32" t="n"/>
      <c r="I249" s="33" t="n"/>
      <c r="J249" s="33" t="n"/>
      <c r="K249" s="33" t="n"/>
      <c r="L249" s="34" t="str">
        <f>IF(AND(ISNUMBER(I249),ISNUMBER(J249),ISNUMBER(K249)),IF(OR(AND(F249="多",I249&gt;J249),AND(F249="空",I249&lt;J249)),ABS(K249-I249)/ABS(I249-J249),"止损方向不对"),"")</f>
        <v/>
      </c>
      <c r="M249" s="35" t="str">
        <f>IF(AND(ISNUMBER(I249),ISNUMBER(J249)),IF(I249=J249,"",IF(INT(ROUND('参数'!$C$7/(ABS(I249-J249)*IF(N(G249)&gt;0,G249,1)+2*(I249*IF(N(G249)&gt;0,G249,1)*'参数'!$C$12+'参数'!$C$13+'参数'!$C$14*IF(N(G249)&gt;0,G249,1)))/IF(N(H249)&gt;0,H249,1),6))*IF(N(H249)&gt;0,H249,1)&gt;0,INT(ROUND('参数'!$C$7/(ABS(I249-J249)*IF(N(G249)&gt;0,G249,1)+2*(I249*IF(N(G249)&gt;0,G249,1)*'参数'!$C$12+'参数'!$C$13+'参数'!$C$14*IF(N(G249)&gt;0,G249,1)))/IF(N(H249)&gt;0,H249,1),6))*IF(N(H249)&gt;0,H249,1),"预算不足，这笔不做")),"")</f>
        <v/>
      </c>
      <c r="N249" s="36" t="n"/>
      <c r="O249" s="20" t="str">
        <f>IF(AND(ISNUMBER(I249),ISNUMBER(J249),ISNUMBER(N249)),IF(AND(I249&lt;&gt;J249,N249&gt;0),ABS(I249-J249)*N249*IF(N(G249)&gt;0,G249,1),""),"")</f>
        <v/>
      </c>
      <c r="P249" s="31" t="n"/>
      <c r="Q249" s="32" t="n"/>
      <c r="R249" s="37" t="str">
        <f>IF(N(U249)&gt;0,SUMPRODUCT(LARGE(('成交明细'!$A$5:$A$804=A249)*('成交明细'!$D$5:$D$804=IF(F249="空","卖","买"))*'成交明细'!$B$5:$B$804,COUNTIFS('成交明细'!$A$5:$A$804,A249,'成交明细'!$D$5:$D$804,IF(F249="空","卖","买")))),"")</f>
        <v/>
      </c>
      <c r="S249" s="37" t="str">
        <f>IF(AND(N(U249)&gt;0,N(W249)&gt;=N(U249)),SUMPRODUCT(MAX(('成交明细'!$A$5:$A$804=A249)*('成交明细'!$D$5:$D$804=IF(F249="空","买","卖"))*'成交明细'!$B$5:$B$804)),"")</f>
        <v/>
      </c>
      <c r="T249" s="38" t="str">
        <f>IF(N(U249)=0,"",IF(SUMPRODUCT(('成交明细'!$A$5:$A$804=A249)*('成交明细'!$D$5:$D$804=IF(F249="空","卖","买"))*ISNUMBER('成交明细'!$C$5:$C$804))=0,"没填时间",IFERROR(VLOOKUP(MOD(SUMPRODUCT(LARGE(('成交明细'!$A$5:$A$804=A249)*('成交明细'!$D$5:$D$804=IF(F249="空","卖","买"))*('成交明细'!$B$5:$B$804+'成交明细'!$C$5:$C$804),COUNTIFS('成交明细'!$A$5:$A$804,A249,'成交明细'!$D$5:$D$804,IF(F249="空","卖","买")))),1),'参数'!$B$39:$C$48,2,TRUE),"")))</f>
        <v/>
      </c>
      <c r="U249" s="35" t="str">
        <f>IF(A249="","",SUMIFS('成交明细'!$F$5:$F$804,'成交明细'!$A$5:$A$804,A249,'成交明细'!$D$5:$D$804,IF(F249="空","卖","买")))</f>
        <v/>
      </c>
      <c r="V249" s="39" t="str">
        <f>IF(N(U249)&gt;0,SUMIFS('成交明细'!$H$5:$H$804,'成交明细'!$A$5:$A$804,A249,'成交明细'!$D$5:$D$804,IF(F249="空","卖","买"))/U249,"")</f>
        <v/>
      </c>
      <c r="W249" s="35" t="str">
        <f>IF(A249="","",SUMIFS('成交明细'!$F$5:$F$804,'成交明细'!$A$5:$A$804,A249,'成交明细'!$D$5:$D$804,IF(F249="空","买","卖")))</f>
        <v/>
      </c>
      <c r="X249" s="39" t="str">
        <f>IF(N(W249)&gt;0,SUMIFS('成交明细'!$H$5:$H$804,'成交明细'!$A$5:$A$804,A249,'成交明细'!$D$5:$D$804,IF(F249="空","买","卖"))/W249,"")</f>
        <v/>
      </c>
      <c r="Y249" s="40" t="str">
        <f>IF(A249="","",IF(Q249&lt;&gt;"已执行",IF(Q249="","未填执行情况",Q249),IF(N(U249)=0,"待录成交",IF(N(W249)&gt;N(U249),"平仓多于开仓",IF(N(W249)&lt;N(U249),"持仓中","已平仓")))))</f>
        <v/>
      </c>
      <c r="Z249" s="41" t="str">
        <f>IF(N(U249)=0,"",SUMIFS('成交明细'!$L$5:$L$804,'成交明细'!$A$5:$A$804,A249))</f>
        <v/>
      </c>
      <c r="AA249" s="42" t="str">
        <f>IF(Y249&lt;&gt;"已平仓","",(SUMIFS('成交明细'!$H$5:$H$804,'成交明细'!$A$5:$A$804,A249,'成交明细'!$D$5:$D$804,"卖")-SUMIFS('成交明细'!$H$5:$H$804,'成交明细'!$A$5:$A$804,A249,'成交明细'!$D$5:$D$804,"买"))*IF(N(G249)&gt;0,G249,1)-Z249)</f>
        <v/>
      </c>
      <c r="AB249" s="43" t="str">
        <f>IF(AND(Y249="已平仓",ISNUMBER(O249)),(SUMIFS('成交明细'!$H$5:$H$804,'成交明细'!$A$5:$A$804,A249,'成交明细'!$D$5:$D$804,"卖")-SUMIFS('成交明细'!$H$5:$H$804,'成交明细'!$A$5:$A$804,A249,'成交明细'!$D$5:$D$804,"买"))*IF(N(G249)&gt;0,G249,1)/O249,"")</f>
        <v/>
      </c>
      <c r="AC249" s="43" t="str">
        <f>IF(AND(Y249="已平仓",ISNUMBER(O249)),AA249/O249,"")</f>
        <v/>
      </c>
      <c r="AD249" s="44" t="str">
        <f>IF(AND(ISNUMBER(V249),ISNUMBER(I249)),IF(F249="空",I249-V249,V249-I249),"")</f>
        <v/>
      </c>
      <c r="AE249" s="44" t="str">
        <f>IF(OR(NOT(ISNUMBER(AA249)),NOT(ISNUMBER(X249))),"",IF(AA249&lt;0,IF(F249="空",X249-J249,J249-X249),IF(NOT(ISNUMBER(K249)),"",IF(F249="空",X249-K249,K249-X249))))</f>
        <v/>
      </c>
      <c r="AF249" s="32" t="n"/>
      <c r="AG249" s="32" t="n"/>
      <c r="AH249" s="31" t="n"/>
      <c r="AI249" s="43" t="str">
        <f>IF(A249="","",SUM(AC$5:AC249))</f>
        <v/>
      </c>
      <c r="AJ249" s="45" t="str">
        <f>IF(A249="","",MAX(0,MAX(AI$5:AI249))-AI249)</f>
        <v/>
      </c>
    </row>
    <row r="250">
      <c r="A250" s="29" t="n"/>
      <c r="B250" s="30" t="n"/>
      <c r="C250" s="31" t="n"/>
      <c r="D250" s="32" t="n"/>
      <c r="E250" s="32" t="n"/>
      <c r="F250" s="32" t="n"/>
      <c r="G250" s="32" t="n"/>
      <c r="H250" s="32" t="n"/>
      <c r="I250" s="33" t="n"/>
      <c r="J250" s="33" t="n"/>
      <c r="K250" s="33" t="n"/>
      <c r="L250" s="34" t="str">
        <f>IF(AND(ISNUMBER(I250),ISNUMBER(J250),ISNUMBER(K250)),IF(OR(AND(F250="多",I250&gt;J250),AND(F250="空",I250&lt;J250)),ABS(K250-I250)/ABS(I250-J250),"止损方向不对"),"")</f>
        <v/>
      </c>
      <c r="M250" s="35" t="str">
        <f>IF(AND(ISNUMBER(I250),ISNUMBER(J250)),IF(I250=J250,"",IF(INT(ROUND('参数'!$C$7/(ABS(I250-J250)*IF(N(G250)&gt;0,G250,1)+2*(I250*IF(N(G250)&gt;0,G250,1)*'参数'!$C$12+'参数'!$C$13+'参数'!$C$14*IF(N(G250)&gt;0,G250,1)))/IF(N(H250)&gt;0,H250,1),6))*IF(N(H250)&gt;0,H250,1)&gt;0,INT(ROUND('参数'!$C$7/(ABS(I250-J250)*IF(N(G250)&gt;0,G250,1)+2*(I250*IF(N(G250)&gt;0,G250,1)*'参数'!$C$12+'参数'!$C$13+'参数'!$C$14*IF(N(G250)&gt;0,G250,1)))/IF(N(H250)&gt;0,H250,1),6))*IF(N(H250)&gt;0,H250,1),"预算不足，这笔不做")),"")</f>
        <v/>
      </c>
      <c r="N250" s="36" t="n"/>
      <c r="O250" s="20" t="str">
        <f>IF(AND(ISNUMBER(I250),ISNUMBER(J250),ISNUMBER(N250)),IF(AND(I250&lt;&gt;J250,N250&gt;0),ABS(I250-J250)*N250*IF(N(G250)&gt;0,G250,1),""),"")</f>
        <v/>
      </c>
      <c r="P250" s="31" t="n"/>
      <c r="Q250" s="32" t="n"/>
      <c r="R250" s="37" t="str">
        <f>IF(N(U250)&gt;0,SUMPRODUCT(LARGE(('成交明细'!$A$5:$A$804=A250)*('成交明细'!$D$5:$D$804=IF(F250="空","卖","买"))*'成交明细'!$B$5:$B$804,COUNTIFS('成交明细'!$A$5:$A$804,A250,'成交明细'!$D$5:$D$804,IF(F250="空","卖","买")))),"")</f>
        <v/>
      </c>
      <c r="S250" s="37" t="str">
        <f>IF(AND(N(U250)&gt;0,N(W250)&gt;=N(U250)),SUMPRODUCT(MAX(('成交明细'!$A$5:$A$804=A250)*('成交明细'!$D$5:$D$804=IF(F250="空","买","卖"))*'成交明细'!$B$5:$B$804)),"")</f>
        <v/>
      </c>
      <c r="T250" s="38" t="str">
        <f>IF(N(U250)=0,"",IF(SUMPRODUCT(('成交明细'!$A$5:$A$804=A250)*('成交明细'!$D$5:$D$804=IF(F250="空","卖","买"))*ISNUMBER('成交明细'!$C$5:$C$804))=0,"没填时间",IFERROR(VLOOKUP(MOD(SUMPRODUCT(LARGE(('成交明细'!$A$5:$A$804=A250)*('成交明细'!$D$5:$D$804=IF(F250="空","卖","买"))*('成交明细'!$B$5:$B$804+'成交明细'!$C$5:$C$804),COUNTIFS('成交明细'!$A$5:$A$804,A250,'成交明细'!$D$5:$D$804,IF(F250="空","卖","买")))),1),'参数'!$B$39:$C$48,2,TRUE),"")))</f>
        <v/>
      </c>
      <c r="U250" s="35" t="str">
        <f>IF(A250="","",SUMIFS('成交明细'!$F$5:$F$804,'成交明细'!$A$5:$A$804,A250,'成交明细'!$D$5:$D$804,IF(F250="空","卖","买")))</f>
        <v/>
      </c>
      <c r="V250" s="39" t="str">
        <f>IF(N(U250)&gt;0,SUMIFS('成交明细'!$H$5:$H$804,'成交明细'!$A$5:$A$804,A250,'成交明细'!$D$5:$D$804,IF(F250="空","卖","买"))/U250,"")</f>
        <v/>
      </c>
      <c r="W250" s="35" t="str">
        <f>IF(A250="","",SUMIFS('成交明细'!$F$5:$F$804,'成交明细'!$A$5:$A$804,A250,'成交明细'!$D$5:$D$804,IF(F250="空","买","卖")))</f>
        <v/>
      </c>
      <c r="X250" s="39" t="str">
        <f>IF(N(W250)&gt;0,SUMIFS('成交明细'!$H$5:$H$804,'成交明细'!$A$5:$A$804,A250,'成交明细'!$D$5:$D$804,IF(F250="空","买","卖"))/W250,"")</f>
        <v/>
      </c>
      <c r="Y250" s="40" t="str">
        <f>IF(A250="","",IF(Q250&lt;&gt;"已执行",IF(Q250="","未填执行情况",Q250),IF(N(U250)=0,"待录成交",IF(N(W250)&gt;N(U250),"平仓多于开仓",IF(N(W250)&lt;N(U250),"持仓中","已平仓")))))</f>
        <v/>
      </c>
      <c r="Z250" s="41" t="str">
        <f>IF(N(U250)=0,"",SUMIFS('成交明细'!$L$5:$L$804,'成交明细'!$A$5:$A$804,A250))</f>
        <v/>
      </c>
      <c r="AA250" s="42" t="str">
        <f>IF(Y250&lt;&gt;"已平仓","",(SUMIFS('成交明细'!$H$5:$H$804,'成交明细'!$A$5:$A$804,A250,'成交明细'!$D$5:$D$804,"卖")-SUMIFS('成交明细'!$H$5:$H$804,'成交明细'!$A$5:$A$804,A250,'成交明细'!$D$5:$D$804,"买"))*IF(N(G250)&gt;0,G250,1)-Z250)</f>
        <v/>
      </c>
      <c r="AB250" s="43" t="str">
        <f>IF(AND(Y250="已平仓",ISNUMBER(O250)),(SUMIFS('成交明细'!$H$5:$H$804,'成交明细'!$A$5:$A$804,A250,'成交明细'!$D$5:$D$804,"卖")-SUMIFS('成交明细'!$H$5:$H$804,'成交明细'!$A$5:$A$804,A250,'成交明细'!$D$5:$D$804,"买"))*IF(N(G250)&gt;0,G250,1)/O250,"")</f>
        <v/>
      </c>
      <c r="AC250" s="43" t="str">
        <f>IF(AND(Y250="已平仓",ISNUMBER(O250)),AA250/O250,"")</f>
        <v/>
      </c>
      <c r="AD250" s="44" t="str">
        <f>IF(AND(ISNUMBER(V250),ISNUMBER(I250)),IF(F250="空",I250-V250,V250-I250),"")</f>
        <v/>
      </c>
      <c r="AE250" s="44" t="str">
        <f>IF(OR(NOT(ISNUMBER(AA250)),NOT(ISNUMBER(X250))),"",IF(AA250&lt;0,IF(F250="空",X250-J250,J250-X250),IF(NOT(ISNUMBER(K250)),"",IF(F250="空",X250-K250,K250-X250))))</f>
        <v/>
      </c>
      <c r="AF250" s="32" t="n"/>
      <c r="AG250" s="32" t="n"/>
      <c r="AH250" s="31" t="n"/>
      <c r="AI250" s="43" t="str">
        <f>IF(A250="","",SUM(AC$5:AC250))</f>
        <v/>
      </c>
      <c r="AJ250" s="45" t="str">
        <f>IF(A250="","",MAX(0,MAX(AI$5:AI250))-AI250)</f>
        <v/>
      </c>
    </row>
    <row r="251">
      <c r="A251" s="29" t="n"/>
      <c r="B251" s="30" t="n"/>
      <c r="C251" s="31" t="n"/>
      <c r="D251" s="32" t="n"/>
      <c r="E251" s="32" t="n"/>
      <c r="F251" s="32" t="n"/>
      <c r="G251" s="32" t="n"/>
      <c r="H251" s="32" t="n"/>
      <c r="I251" s="33" t="n"/>
      <c r="J251" s="33" t="n"/>
      <c r="K251" s="33" t="n"/>
      <c r="L251" s="34" t="str">
        <f>IF(AND(ISNUMBER(I251),ISNUMBER(J251),ISNUMBER(K251)),IF(OR(AND(F251="多",I251&gt;J251),AND(F251="空",I251&lt;J251)),ABS(K251-I251)/ABS(I251-J251),"止损方向不对"),"")</f>
        <v/>
      </c>
      <c r="M251" s="35" t="str">
        <f>IF(AND(ISNUMBER(I251),ISNUMBER(J251)),IF(I251=J251,"",IF(INT(ROUND('参数'!$C$7/(ABS(I251-J251)*IF(N(G251)&gt;0,G251,1)+2*(I251*IF(N(G251)&gt;0,G251,1)*'参数'!$C$12+'参数'!$C$13+'参数'!$C$14*IF(N(G251)&gt;0,G251,1)))/IF(N(H251)&gt;0,H251,1),6))*IF(N(H251)&gt;0,H251,1)&gt;0,INT(ROUND('参数'!$C$7/(ABS(I251-J251)*IF(N(G251)&gt;0,G251,1)+2*(I251*IF(N(G251)&gt;0,G251,1)*'参数'!$C$12+'参数'!$C$13+'参数'!$C$14*IF(N(G251)&gt;0,G251,1)))/IF(N(H251)&gt;0,H251,1),6))*IF(N(H251)&gt;0,H251,1),"预算不足，这笔不做")),"")</f>
        <v/>
      </c>
      <c r="N251" s="36" t="n"/>
      <c r="O251" s="20" t="str">
        <f>IF(AND(ISNUMBER(I251),ISNUMBER(J251),ISNUMBER(N251)),IF(AND(I251&lt;&gt;J251,N251&gt;0),ABS(I251-J251)*N251*IF(N(G251)&gt;0,G251,1),""),"")</f>
        <v/>
      </c>
      <c r="P251" s="31" t="n"/>
      <c r="Q251" s="32" t="n"/>
      <c r="R251" s="37" t="str">
        <f>IF(N(U251)&gt;0,SUMPRODUCT(LARGE(('成交明细'!$A$5:$A$804=A251)*('成交明细'!$D$5:$D$804=IF(F251="空","卖","买"))*'成交明细'!$B$5:$B$804,COUNTIFS('成交明细'!$A$5:$A$804,A251,'成交明细'!$D$5:$D$804,IF(F251="空","卖","买")))),"")</f>
        <v/>
      </c>
      <c r="S251" s="37" t="str">
        <f>IF(AND(N(U251)&gt;0,N(W251)&gt;=N(U251)),SUMPRODUCT(MAX(('成交明细'!$A$5:$A$804=A251)*('成交明细'!$D$5:$D$804=IF(F251="空","买","卖"))*'成交明细'!$B$5:$B$804)),"")</f>
        <v/>
      </c>
      <c r="T251" s="38" t="str">
        <f>IF(N(U251)=0,"",IF(SUMPRODUCT(('成交明细'!$A$5:$A$804=A251)*('成交明细'!$D$5:$D$804=IF(F251="空","卖","买"))*ISNUMBER('成交明细'!$C$5:$C$804))=0,"没填时间",IFERROR(VLOOKUP(MOD(SUMPRODUCT(LARGE(('成交明细'!$A$5:$A$804=A251)*('成交明细'!$D$5:$D$804=IF(F251="空","卖","买"))*('成交明细'!$B$5:$B$804+'成交明细'!$C$5:$C$804),COUNTIFS('成交明细'!$A$5:$A$804,A251,'成交明细'!$D$5:$D$804,IF(F251="空","卖","买")))),1),'参数'!$B$39:$C$48,2,TRUE),"")))</f>
        <v/>
      </c>
      <c r="U251" s="35" t="str">
        <f>IF(A251="","",SUMIFS('成交明细'!$F$5:$F$804,'成交明细'!$A$5:$A$804,A251,'成交明细'!$D$5:$D$804,IF(F251="空","卖","买")))</f>
        <v/>
      </c>
      <c r="V251" s="39" t="str">
        <f>IF(N(U251)&gt;0,SUMIFS('成交明细'!$H$5:$H$804,'成交明细'!$A$5:$A$804,A251,'成交明细'!$D$5:$D$804,IF(F251="空","卖","买"))/U251,"")</f>
        <v/>
      </c>
      <c r="W251" s="35" t="str">
        <f>IF(A251="","",SUMIFS('成交明细'!$F$5:$F$804,'成交明细'!$A$5:$A$804,A251,'成交明细'!$D$5:$D$804,IF(F251="空","买","卖")))</f>
        <v/>
      </c>
      <c r="X251" s="39" t="str">
        <f>IF(N(W251)&gt;0,SUMIFS('成交明细'!$H$5:$H$804,'成交明细'!$A$5:$A$804,A251,'成交明细'!$D$5:$D$804,IF(F251="空","买","卖"))/W251,"")</f>
        <v/>
      </c>
      <c r="Y251" s="40" t="str">
        <f>IF(A251="","",IF(Q251&lt;&gt;"已执行",IF(Q251="","未填执行情况",Q251),IF(N(U251)=0,"待录成交",IF(N(W251)&gt;N(U251),"平仓多于开仓",IF(N(W251)&lt;N(U251),"持仓中","已平仓")))))</f>
        <v/>
      </c>
      <c r="Z251" s="41" t="str">
        <f>IF(N(U251)=0,"",SUMIFS('成交明细'!$L$5:$L$804,'成交明细'!$A$5:$A$804,A251))</f>
        <v/>
      </c>
      <c r="AA251" s="42" t="str">
        <f>IF(Y251&lt;&gt;"已平仓","",(SUMIFS('成交明细'!$H$5:$H$804,'成交明细'!$A$5:$A$804,A251,'成交明细'!$D$5:$D$804,"卖")-SUMIFS('成交明细'!$H$5:$H$804,'成交明细'!$A$5:$A$804,A251,'成交明细'!$D$5:$D$804,"买"))*IF(N(G251)&gt;0,G251,1)-Z251)</f>
        <v/>
      </c>
      <c r="AB251" s="43" t="str">
        <f>IF(AND(Y251="已平仓",ISNUMBER(O251)),(SUMIFS('成交明细'!$H$5:$H$804,'成交明细'!$A$5:$A$804,A251,'成交明细'!$D$5:$D$804,"卖")-SUMIFS('成交明细'!$H$5:$H$804,'成交明细'!$A$5:$A$804,A251,'成交明细'!$D$5:$D$804,"买"))*IF(N(G251)&gt;0,G251,1)/O251,"")</f>
        <v/>
      </c>
      <c r="AC251" s="43" t="str">
        <f>IF(AND(Y251="已平仓",ISNUMBER(O251)),AA251/O251,"")</f>
        <v/>
      </c>
      <c r="AD251" s="44" t="str">
        <f>IF(AND(ISNUMBER(V251),ISNUMBER(I251)),IF(F251="空",I251-V251,V251-I251),"")</f>
        <v/>
      </c>
      <c r="AE251" s="44" t="str">
        <f>IF(OR(NOT(ISNUMBER(AA251)),NOT(ISNUMBER(X251))),"",IF(AA251&lt;0,IF(F251="空",X251-J251,J251-X251),IF(NOT(ISNUMBER(K251)),"",IF(F251="空",X251-K251,K251-X251))))</f>
        <v/>
      </c>
      <c r="AF251" s="32" t="n"/>
      <c r="AG251" s="32" t="n"/>
      <c r="AH251" s="31" t="n"/>
      <c r="AI251" s="43" t="str">
        <f>IF(A251="","",SUM(AC$5:AC251))</f>
        <v/>
      </c>
      <c r="AJ251" s="45" t="str">
        <f>IF(A251="","",MAX(0,MAX(AI$5:AI251))-AI251)</f>
        <v/>
      </c>
    </row>
    <row r="252">
      <c r="A252" s="29" t="n"/>
      <c r="B252" s="30" t="n"/>
      <c r="C252" s="31" t="n"/>
      <c r="D252" s="32" t="n"/>
      <c r="E252" s="32" t="n"/>
      <c r="F252" s="32" t="n"/>
      <c r="G252" s="32" t="n"/>
      <c r="H252" s="32" t="n"/>
      <c r="I252" s="33" t="n"/>
      <c r="J252" s="33" t="n"/>
      <c r="K252" s="33" t="n"/>
      <c r="L252" s="34" t="str">
        <f>IF(AND(ISNUMBER(I252),ISNUMBER(J252),ISNUMBER(K252)),IF(OR(AND(F252="多",I252&gt;J252),AND(F252="空",I252&lt;J252)),ABS(K252-I252)/ABS(I252-J252),"止损方向不对"),"")</f>
        <v/>
      </c>
      <c r="M252" s="35" t="str">
        <f>IF(AND(ISNUMBER(I252),ISNUMBER(J252)),IF(I252=J252,"",IF(INT(ROUND('参数'!$C$7/(ABS(I252-J252)*IF(N(G252)&gt;0,G252,1)+2*(I252*IF(N(G252)&gt;0,G252,1)*'参数'!$C$12+'参数'!$C$13+'参数'!$C$14*IF(N(G252)&gt;0,G252,1)))/IF(N(H252)&gt;0,H252,1),6))*IF(N(H252)&gt;0,H252,1)&gt;0,INT(ROUND('参数'!$C$7/(ABS(I252-J252)*IF(N(G252)&gt;0,G252,1)+2*(I252*IF(N(G252)&gt;0,G252,1)*'参数'!$C$12+'参数'!$C$13+'参数'!$C$14*IF(N(G252)&gt;0,G252,1)))/IF(N(H252)&gt;0,H252,1),6))*IF(N(H252)&gt;0,H252,1),"预算不足，这笔不做")),"")</f>
        <v/>
      </c>
      <c r="N252" s="36" t="n"/>
      <c r="O252" s="20" t="str">
        <f>IF(AND(ISNUMBER(I252),ISNUMBER(J252),ISNUMBER(N252)),IF(AND(I252&lt;&gt;J252,N252&gt;0),ABS(I252-J252)*N252*IF(N(G252)&gt;0,G252,1),""),"")</f>
        <v/>
      </c>
      <c r="P252" s="31" t="n"/>
      <c r="Q252" s="32" t="n"/>
      <c r="R252" s="37" t="str">
        <f>IF(N(U252)&gt;0,SUMPRODUCT(LARGE(('成交明细'!$A$5:$A$804=A252)*('成交明细'!$D$5:$D$804=IF(F252="空","卖","买"))*'成交明细'!$B$5:$B$804,COUNTIFS('成交明细'!$A$5:$A$804,A252,'成交明细'!$D$5:$D$804,IF(F252="空","卖","买")))),"")</f>
        <v/>
      </c>
      <c r="S252" s="37" t="str">
        <f>IF(AND(N(U252)&gt;0,N(W252)&gt;=N(U252)),SUMPRODUCT(MAX(('成交明细'!$A$5:$A$804=A252)*('成交明细'!$D$5:$D$804=IF(F252="空","买","卖"))*'成交明细'!$B$5:$B$804)),"")</f>
        <v/>
      </c>
      <c r="T252" s="38" t="str">
        <f>IF(N(U252)=0,"",IF(SUMPRODUCT(('成交明细'!$A$5:$A$804=A252)*('成交明细'!$D$5:$D$804=IF(F252="空","卖","买"))*ISNUMBER('成交明细'!$C$5:$C$804))=0,"没填时间",IFERROR(VLOOKUP(MOD(SUMPRODUCT(LARGE(('成交明细'!$A$5:$A$804=A252)*('成交明细'!$D$5:$D$804=IF(F252="空","卖","买"))*('成交明细'!$B$5:$B$804+'成交明细'!$C$5:$C$804),COUNTIFS('成交明细'!$A$5:$A$804,A252,'成交明细'!$D$5:$D$804,IF(F252="空","卖","买")))),1),'参数'!$B$39:$C$48,2,TRUE),"")))</f>
        <v/>
      </c>
      <c r="U252" s="35" t="str">
        <f>IF(A252="","",SUMIFS('成交明细'!$F$5:$F$804,'成交明细'!$A$5:$A$804,A252,'成交明细'!$D$5:$D$804,IF(F252="空","卖","买")))</f>
        <v/>
      </c>
      <c r="V252" s="39" t="str">
        <f>IF(N(U252)&gt;0,SUMIFS('成交明细'!$H$5:$H$804,'成交明细'!$A$5:$A$804,A252,'成交明细'!$D$5:$D$804,IF(F252="空","卖","买"))/U252,"")</f>
        <v/>
      </c>
      <c r="W252" s="35" t="str">
        <f>IF(A252="","",SUMIFS('成交明细'!$F$5:$F$804,'成交明细'!$A$5:$A$804,A252,'成交明细'!$D$5:$D$804,IF(F252="空","买","卖")))</f>
        <v/>
      </c>
      <c r="X252" s="39" t="str">
        <f>IF(N(W252)&gt;0,SUMIFS('成交明细'!$H$5:$H$804,'成交明细'!$A$5:$A$804,A252,'成交明细'!$D$5:$D$804,IF(F252="空","买","卖"))/W252,"")</f>
        <v/>
      </c>
      <c r="Y252" s="40" t="str">
        <f>IF(A252="","",IF(Q252&lt;&gt;"已执行",IF(Q252="","未填执行情况",Q252),IF(N(U252)=0,"待录成交",IF(N(W252)&gt;N(U252),"平仓多于开仓",IF(N(W252)&lt;N(U252),"持仓中","已平仓")))))</f>
        <v/>
      </c>
      <c r="Z252" s="41" t="str">
        <f>IF(N(U252)=0,"",SUMIFS('成交明细'!$L$5:$L$804,'成交明细'!$A$5:$A$804,A252))</f>
        <v/>
      </c>
      <c r="AA252" s="42" t="str">
        <f>IF(Y252&lt;&gt;"已平仓","",(SUMIFS('成交明细'!$H$5:$H$804,'成交明细'!$A$5:$A$804,A252,'成交明细'!$D$5:$D$804,"卖")-SUMIFS('成交明细'!$H$5:$H$804,'成交明细'!$A$5:$A$804,A252,'成交明细'!$D$5:$D$804,"买"))*IF(N(G252)&gt;0,G252,1)-Z252)</f>
        <v/>
      </c>
      <c r="AB252" s="43" t="str">
        <f>IF(AND(Y252="已平仓",ISNUMBER(O252)),(SUMIFS('成交明细'!$H$5:$H$804,'成交明细'!$A$5:$A$804,A252,'成交明细'!$D$5:$D$804,"卖")-SUMIFS('成交明细'!$H$5:$H$804,'成交明细'!$A$5:$A$804,A252,'成交明细'!$D$5:$D$804,"买"))*IF(N(G252)&gt;0,G252,1)/O252,"")</f>
        <v/>
      </c>
      <c r="AC252" s="43" t="str">
        <f>IF(AND(Y252="已平仓",ISNUMBER(O252)),AA252/O252,"")</f>
        <v/>
      </c>
      <c r="AD252" s="44" t="str">
        <f>IF(AND(ISNUMBER(V252),ISNUMBER(I252)),IF(F252="空",I252-V252,V252-I252),"")</f>
        <v/>
      </c>
      <c r="AE252" s="44" t="str">
        <f>IF(OR(NOT(ISNUMBER(AA252)),NOT(ISNUMBER(X252))),"",IF(AA252&lt;0,IF(F252="空",X252-J252,J252-X252),IF(NOT(ISNUMBER(K252)),"",IF(F252="空",X252-K252,K252-X252))))</f>
        <v/>
      </c>
      <c r="AF252" s="32" t="n"/>
      <c r="AG252" s="32" t="n"/>
      <c r="AH252" s="31" t="n"/>
      <c r="AI252" s="43" t="str">
        <f>IF(A252="","",SUM(AC$5:AC252))</f>
        <v/>
      </c>
      <c r="AJ252" s="45" t="str">
        <f>IF(A252="","",MAX(0,MAX(AI$5:AI252))-AI252)</f>
        <v/>
      </c>
    </row>
    <row r="253">
      <c r="A253" s="29" t="n"/>
      <c r="B253" s="30" t="n"/>
      <c r="C253" s="31" t="n"/>
      <c r="D253" s="32" t="n"/>
      <c r="E253" s="32" t="n"/>
      <c r="F253" s="32" t="n"/>
      <c r="G253" s="32" t="n"/>
      <c r="H253" s="32" t="n"/>
      <c r="I253" s="33" t="n"/>
      <c r="J253" s="33" t="n"/>
      <c r="K253" s="33" t="n"/>
      <c r="L253" s="34" t="str">
        <f>IF(AND(ISNUMBER(I253),ISNUMBER(J253),ISNUMBER(K253)),IF(OR(AND(F253="多",I253&gt;J253),AND(F253="空",I253&lt;J253)),ABS(K253-I253)/ABS(I253-J253),"止损方向不对"),"")</f>
        <v/>
      </c>
      <c r="M253" s="35" t="str">
        <f>IF(AND(ISNUMBER(I253),ISNUMBER(J253)),IF(I253=J253,"",IF(INT(ROUND('参数'!$C$7/(ABS(I253-J253)*IF(N(G253)&gt;0,G253,1)+2*(I253*IF(N(G253)&gt;0,G253,1)*'参数'!$C$12+'参数'!$C$13+'参数'!$C$14*IF(N(G253)&gt;0,G253,1)))/IF(N(H253)&gt;0,H253,1),6))*IF(N(H253)&gt;0,H253,1)&gt;0,INT(ROUND('参数'!$C$7/(ABS(I253-J253)*IF(N(G253)&gt;0,G253,1)+2*(I253*IF(N(G253)&gt;0,G253,1)*'参数'!$C$12+'参数'!$C$13+'参数'!$C$14*IF(N(G253)&gt;0,G253,1)))/IF(N(H253)&gt;0,H253,1),6))*IF(N(H253)&gt;0,H253,1),"预算不足，这笔不做")),"")</f>
        <v/>
      </c>
      <c r="N253" s="36" t="n"/>
      <c r="O253" s="20" t="str">
        <f>IF(AND(ISNUMBER(I253),ISNUMBER(J253),ISNUMBER(N253)),IF(AND(I253&lt;&gt;J253,N253&gt;0),ABS(I253-J253)*N253*IF(N(G253)&gt;0,G253,1),""),"")</f>
        <v/>
      </c>
      <c r="P253" s="31" t="n"/>
      <c r="Q253" s="32" t="n"/>
      <c r="R253" s="37" t="str">
        <f>IF(N(U253)&gt;0,SUMPRODUCT(LARGE(('成交明细'!$A$5:$A$804=A253)*('成交明细'!$D$5:$D$804=IF(F253="空","卖","买"))*'成交明细'!$B$5:$B$804,COUNTIFS('成交明细'!$A$5:$A$804,A253,'成交明细'!$D$5:$D$804,IF(F253="空","卖","买")))),"")</f>
        <v/>
      </c>
      <c r="S253" s="37" t="str">
        <f>IF(AND(N(U253)&gt;0,N(W253)&gt;=N(U253)),SUMPRODUCT(MAX(('成交明细'!$A$5:$A$804=A253)*('成交明细'!$D$5:$D$804=IF(F253="空","买","卖"))*'成交明细'!$B$5:$B$804)),"")</f>
        <v/>
      </c>
      <c r="T253" s="38" t="str">
        <f>IF(N(U253)=0,"",IF(SUMPRODUCT(('成交明细'!$A$5:$A$804=A253)*('成交明细'!$D$5:$D$804=IF(F253="空","卖","买"))*ISNUMBER('成交明细'!$C$5:$C$804))=0,"没填时间",IFERROR(VLOOKUP(MOD(SUMPRODUCT(LARGE(('成交明细'!$A$5:$A$804=A253)*('成交明细'!$D$5:$D$804=IF(F253="空","卖","买"))*('成交明细'!$B$5:$B$804+'成交明细'!$C$5:$C$804),COUNTIFS('成交明细'!$A$5:$A$804,A253,'成交明细'!$D$5:$D$804,IF(F253="空","卖","买")))),1),'参数'!$B$39:$C$48,2,TRUE),"")))</f>
        <v/>
      </c>
      <c r="U253" s="35" t="str">
        <f>IF(A253="","",SUMIFS('成交明细'!$F$5:$F$804,'成交明细'!$A$5:$A$804,A253,'成交明细'!$D$5:$D$804,IF(F253="空","卖","买")))</f>
        <v/>
      </c>
      <c r="V253" s="39" t="str">
        <f>IF(N(U253)&gt;0,SUMIFS('成交明细'!$H$5:$H$804,'成交明细'!$A$5:$A$804,A253,'成交明细'!$D$5:$D$804,IF(F253="空","卖","买"))/U253,"")</f>
        <v/>
      </c>
      <c r="W253" s="35" t="str">
        <f>IF(A253="","",SUMIFS('成交明细'!$F$5:$F$804,'成交明细'!$A$5:$A$804,A253,'成交明细'!$D$5:$D$804,IF(F253="空","买","卖")))</f>
        <v/>
      </c>
      <c r="X253" s="39" t="str">
        <f>IF(N(W253)&gt;0,SUMIFS('成交明细'!$H$5:$H$804,'成交明细'!$A$5:$A$804,A253,'成交明细'!$D$5:$D$804,IF(F253="空","买","卖"))/W253,"")</f>
        <v/>
      </c>
      <c r="Y253" s="40" t="str">
        <f>IF(A253="","",IF(Q253&lt;&gt;"已执行",IF(Q253="","未填执行情况",Q253),IF(N(U253)=0,"待录成交",IF(N(W253)&gt;N(U253),"平仓多于开仓",IF(N(W253)&lt;N(U253),"持仓中","已平仓")))))</f>
        <v/>
      </c>
      <c r="Z253" s="41" t="str">
        <f>IF(N(U253)=0,"",SUMIFS('成交明细'!$L$5:$L$804,'成交明细'!$A$5:$A$804,A253))</f>
        <v/>
      </c>
      <c r="AA253" s="42" t="str">
        <f>IF(Y253&lt;&gt;"已平仓","",(SUMIFS('成交明细'!$H$5:$H$804,'成交明细'!$A$5:$A$804,A253,'成交明细'!$D$5:$D$804,"卖")-SUMIFS('成交明细'!$H$5:$H$804,'成交明细'!$A$5:$A$804,A253,'成交明细'!$D$5:$D$804,"买"))*IF(N(G253)&gt;0,G253,1)-Z253)</f>
        <v/>
      </c>
      <c r="AB253" s="43" t="str">
        <f>IF(AND(Y253="已平仓",ISNUMBER(O253)),(SUMIFS('成交明细'!$H$5:$H$804,'成交明细'!$A$5:$A$804,A253,'成交明细'!$D$5:$D$804,"卖")-SUMIFS('成交明细'!$H$5:$H$804,'成交明细'!$A$5:$A$804,A253,'成交明细'!$D$5:$D$804,"买"))*IF(N(G253)&gt;0,G253,1)/O253,"")</f>
        <v/>
      </c>
      <c r="AC253" s="43" t="str">
        <f>IF(AND(Y253="已平仓",ISNUMBER(O253)),AA253/O253,"")</f>
        <v/>
      </c>
      <c r="AD253" s="44" t="str">
        <f>IF(AND(ISNUMBER(V253),ISNUMBER(I253)),IF(F253="空",I253-V253,V253-I253),"")</f>
        <v/>
      </c>
      <c r="AE253" s="44" t="str">
        <f>IF(OR(NOT(ISNUMBER(AA253)),NOT(ISNUMBER(X253))),"",IF(AA253&lt;0,IF(F253="空",X253-J253,J253-X253),IF(NOT(ISNUMBER(K253)),"",IF(F253="空",X253-K253,K253-X253))))</f>
        <v/>
      </c>
      <c r="AF253" s="32" t="n"/>
      <c r="AG253" s="32" t="n"/>
      <c r="AH253" s="31" t="n"/>
      <c r="AI253" s="43" t="str">
        <f>IF(A253="","",SUM(AC$5:AC253))</f>
        <v/>
      </c>
      <c r="AJ253" s="45" t="str">
        <f>IF(A253="","",MAX(0,MAX(AI$5:AI253))-AI253)</f>
        <v/>
      </c>
    </row>
    <row r="254">
      <c r="A254" s="29" t="n"/>
      <c r="B254" s="30" t="n"/>
      <c r="C254" s="31" t="n"/>
      <c r="D254" s="32" t="n"/>
      <c r="E254" s="32" t="n"/>
      <c r="F254" s="32" t="n"/>
      <c r="G254" s="32" t="n"/>
      <c r="H254" s="32" t="n"/>
      <c r="I254" s="33" t="n"/>
      <c r="J254" s="33" t="n"/>
      <c r="K254" s="33" t="n"/>
      <c r="L254" s="34" t="str">
        <f>IF(AND(ISNUMBER(I254),ISNUMBER(J254),ISNUMBER(K254)),IF(OR(AND(F254="多",I254&gt;J254),AND(F254="空",I254&lt;J254)),ABS(K254-I254)/ABS(I254-J254),"止损方向不对"),"")</f>
        <v/>
      </c>
      <c r="M254" s="35" t="str">
        <f>IF(AND(ISNUMBER(I254),ISNUMBER(J254)),IF(I254=J254,"",IF(INT(ROUND('参数'!$C$7/(ABS(I254-J254)*IF(N(G254)&gt;0,G254,1)+2*(I254*IF(N(G254)&gt;0,G254,1)*'参数'!$C$12+'参数'!$C$13+'参数'!$C$14*IF(N(G254)&gt;0,G254,1)))/IF(N(H254)&gt;0,H254,1),6))*IF(N(H254)&gt;0,H254,1)&gt;0,INT(ROUND('参数'!$C$7/(ABS(I254-J254)*IF(N(G254)&gt;0,G254,1)+2*(I254*IF(N(G254)&gt;0,G254,1)*'参数'!$C$12+'参数'!$C$13+'参数'!$C$14*IF(N(G254)&gt;0,G254,1)))/IF(N(H254)&gt;0,H254,1),6))*IF(N(H254)&gt;0,H254,1),"预算不足，这笔不做")),"")</f>
        <v/>
      </c>
      <c r="N254" s="36" t="n"/>
      <c r="O254" s="20" t="str">
        <f>IF(AND(ISNUMBER(I254),ISNUMBER(J254),ISNUMBER(N254)),IF(AND(I254&lt;&gt;J254,N254&gt;0),ABS(I254-J254)*N254*IF(N(G254)&gt;0,G254,1),""),"")</f>
        <v/>
      </c>
      <c r="P254" s="31" t="n"/>
      <c r="Q254" s="32" t="n"/>
      <c r="R254" s="37" t="str">
        <f>IF(N(U254)&gt;0,SUMPRODUCT(LARGE(('成交明细'!$A$5:$A$804=A254)*('成交明细'!$D$5:$D$804=IF(F254="空","卖","买"))*'成交明细'!$B$5:$B$804,COUNTIFS('成交明细'!$A$5:$A$804,A254,'成交明细'!$D$5:$D$804,IF(F254="空","卖","买")))),"")</f>
        <v/>
      </c>
      <c r="S254" s="37" t="str">
        <f>IF(AND(N(U254)&gt;0,N(W254)&gt;=N(U254)),SUMPRODUCT(MAX(('成交明细'!$A$5:$A$804=A254)*('成交明细'!$D$5:$D$804=IF(F254="空","买","卖"))*'成交明细'!$B$5:$B$804)),"")</f>
        <v/>
      </c>
      <c r="T254" s="38" t="str">
        <f>IF(N(U254)=0,"",IF(SUMPRODUCT(('成交明细'!$A$5:$A$804=A254)*('成交明细'!$D$5:$D$804=IF(F254="空","卖","买"))*ISNUMBER('成交明细'!$C$5:$C$804))=0,"没填时间",IFERROR(VLOOKUP(MOD(SUMPRODUCT(LARGE(('成交明细'!$A$5:$A$804=A254)*('成交明细'!$D$5:$D$804=IF(F254="空","卖","买"))*('成交明细'!$B$5:$B$804+'成交明细'!$C$5:$C$804),COUNTIFS('成交明细'!$A$5:$A$804,A254,'成交明细'!$D$5:$D$804,IF(F254="空","卖","买")))),1),'参数'!$B$39:$C$48,2,TRUE),"")))</f>
        <v/>
      </c>
      <c r="U254" s="35" t="str">
        <f>IF(A254="","",SUMIFS('成交明细'!$F$5:$F$804,'成交明细'!$A$5:$A$804,A254,'成交明细'!$D$5:$D$804,IF(F254="空","卖","买")))</f>
        <v/>
      </c>
      <c r="V254" s="39" t="str">
        <f>IF(N(U254)&gt;0,SUMIFS('成交明细'!$H$5:$H$804,'成交明细'!$A$5:$A$804,A254,'成交明细'!$D$5:$D$804,IF(F254="空","卖","买"))/U254,"")</f>
        <v/>
      </c>
      <c r="W254" s="35" t="str">
        <f>IF(A254="","",SUMIFS('成交明细'!$F$5:$F$804,'成交明细'!$A$5:$A$804,A254,'成交明细'!$D$5:$D$804,IF(F254="空","买","卖")))</f>
        <v/>
      </c>
      <c r="X254" s="39" t="str">
        <f>IF(N(W254)&gt;0,SUMIFS('成交明细'!$H$5:$H$804,'成交明细'!$A$5:$A$804,A254,'成交明细'!$D$5:$D$804,IF(F254="空","买","卖"))/W254,"")</f>
        <v/>
      </c>
      <c r="Y254" s="40" t="str">
        <f>IF(A254="","",IF(Q254&lt;&gt;"已执行",IF(Q254="","未填执行情况",Q254),IF(N(U254)=0,"待录成交",IF(N(W254)&gt;N(U254),"平仓多于开仓",IF(N(W254)&lt;N(U254),"持仓中","已平仓")))))</f>
        <v/>
      </c>
      <c r="Z254" s="41" t="str">
        <f>IF(N(U254)=0,"",SUMIFS('成交明细'!$L$5:$L$804,'成交明细'!$A$5:$A$804,A254))</f>
        <v/>
      </c>
      <c r="AA254" s="42" t="str">
        <f>IF(Y254&lt;&gt;"已平仓","",(SUMIFS('成交明细'!$H$5:$H$804,'成交明细'!$A$5:$A$804,A254,'成交明细'!$D$5:$D$804,"卖")-SUMIFS('成交明细'!$H$5:$H$804,'成交明细'!$A$5:$A$804,A254,'成交明细'!$D$5:$D$804,"买"))*IF(N(G254)&gt;0,G254,1)-Z254)</f>
        <v/>
      </c>
      <c r="AB254" s="43" t="str">
        <f>IF(AND(Y254="已平仓",ISNUMBER(O254)),(SUMIFS('成交明细'!$H$5:$H$804,'成交明细'!$A$5:$A$804,A254,'成交明细'!$D$5:$D$804,"卖")-SUMIFS('成交明细'!$H$5:$H$804,'成交明细'!$A$5:$A$804,A254,'成交明细'!$D$5:$D$804,"买"))*IF(N(G254)&gt;0,G254,1)/O254,"")</f>
        <v/>
      </c>
      <c r="AC254" s="43" t="str">
        <f>IF(AND(Y254="已平仓",ISNUMBER(O254)),AA254/O254,"")</f>
        <v/>
      </c>
      <c r="AD254" s="44" t="str">
        <f>IF(AND(ISNUMBER(V254),ISNUMBER(I254)),IF(F254="空",I254-V254,V254-I254),"")</f>
        <v/>
      </c>
      <c r="AE254" s="44" t="str">
        <f>IF(OR(NOT(ISNUMBER(AA254)),NOT(ISNUMBER(X254))),"",IF(AA254&lt;0,IF(F254="空",X254-J254,J254-X254),IF(NOT(ISNUMBER(K254)),"",IF(F254="空",X254-K254,K254-X254))))</f>
        <v/>
      </c>
      <c r="AF254" s="32" t="n"/>
      <c r="AG254" s="32" t="n"/>
      <c r="AH254" s="31" t="n"/>
      <c r="AI254" s="43" t="str">
        <f>IF(A254="","",SUM(AC$5:AC254))</f>
        <v/>
      </c>
      <c r="AJ254" s="45" t="str">
        <f>IF(A254="","",MAX(0,MAX(AI$5:AI254))-AI254)</f>
        <v/>
      </c>
    </row>
    <row r="255">
      <c r="A255" s="29" t="n"/>
      <c r="B255" s="30" t="n"/>
      <c r="C255" s="31" t="n"/>
      <c r="D255" s="32" t="n"/>
      <c r="E255" s="32" t="n"/>
      <c r="F255" s="32" t="n"/>
      <c r="G255" s="32" t="n"/>
      <c r="H255" s="32" t="n"/>
      <c r="I255" s="33" t="n"/>
      <c r="J255" s="33" t="n"/>
      <c r="K255" s="33" t="n"/>
      <c r="L255" s="34" t="str">
        <f>IF(AND(ISNUMBER(I255),ISNUMBER(J255),ISNUMBER(K255)),IF(OR(AND(F255="多",I255&gt;J255),AND(F255="空",I255&lt;J255)),ABS(K255-I255)/ABS(I255-J255),"止损方向不对"),"")</f>
        <v/>
      </c>
      <c r="M255" s="35" t="str">
        <f>IF(AND(ISNUMBER(I255),ISNUMBER(J255)),IF(I255=J255,"",IF(INT(ROUND('参数'!$C$7/(ABS(I255-J255)*IF(N(G255)&gt;0,G255,1)+2*(I255*IF(N(G255)&gt;0,G255,1)*'参数'!$C$12+'参数'!$C$13+'参数'!$C$14*IF(N(G255)&gt;0,G255,1)))/IF(N(H255)&gt;0,H255,1),6))*IF(N(H255)&gt;0,H255,1)&gt;0,INT(ROUND('参数'!$C$7/(ABS(I255-J255)*IF(N(G255)&gt;0,G255,1)+2*(I255*IF(N(G255)&gt;0,G255,1)*'参数'!$C$12+'参数'!$C$13+'参数'!$C$14*IF(N(G255)&gt;0,G255,1)))/IF(N(H255)&gt;0,H255,1),6))*IF(N(H255)&gt;0,H255,1),"预算不足，这笔不做")),"")</f>
        <v/>
      </c>
      <c r="N255" s="36" t="n"/>
      <c r="O255" s="20" t="str">
        <f>IF(AND(ISNUMBER(I255),ISNUMBER(J255),ISNUMBER(N255)),IF(AND(I255&lt;&gt;J255,N255&gt;0),ABS(I255-J255)*N255*IF(N(G255)&gt;0,G255,1),""),"")</f>
        <v/>
      </c>
      <c r="P255" s="31" t="n"/>
      <c r="Q255" s="32" t="n"/>
      <c r="R255" s="37" t="str">
        <f>IF(N(U255)&gt;0,SUMPRODUCT(LARGE(('成交明细'!$A$5:$A$804=A255)*('成交明细'!$D$5:$D$804=IF(F255="空","卖","买"))*'成交明细'!$B$5:$B$804,COUNTIFS('成交明细'!$A$5:$A$804,A255,'成交明细'!$D$5:$D$804,IF(F255="空","卖","买")))),"")</f>
        <v/>
      </c>
      <c r="S255" s="37" t="str">
        <f>IF(AND(N(U255)&gt;0,N(W255)&gt;=N(U255)),SUMPRODUCT(MAX(('成交明细'!$A$5:$A$804=A255)*('成交明细'!$D$5:$D$804=IF(F255="空","买","卖"))*'成交明细'!$B$5:$B$804)),"")</f>
        <v/>
      </c>
      <c r="T255" s="38" t="str">
        <f>IF(N(U255)=0,"",IF(SUMPRODUCT(('成交明细'!$A$5:$A$804=A255)*('成交明细'!$D$5:$D$804=IF(F255="空","卖","买"))*ISNUMBER('成交明细'!$C$5:$C$804))=0,"没填时间",IFERROR(VLOOKUP(MOD(SUMPRODUCT(LARGE(('成交明细'!$A$5:$A$804=A255)*('成交明细'!$D$5:$D$804=IF(F255="空","卖","买"))*('成交明细'!$B$5:$B$804+'成交明细'!$C$5:$C$804),COUNTIFS('成交明细'!$A$5:$A$804,A255,'成交明细'!$D$5:$D$804,IF(F255="空","卖","买")))),1),'参数'!$B$39:$C$48,2,TRUE),"")))</f>
        <v/>
      </c>
      <c r="U255" s="35" t="str">
        <f>IF(A255="","",SUMIFS('成交明细'!$F$5:$F$804,'成交明细'!$A$5:$A$804,A255,'成交明细'!$D$5:$D$804,IF(F255="空","卖","买")))</f>
        <v/>
      </c>
      <c r="V255" s="39" t="str">
        <f>IF(N(U255)&gt;0,SUMIFS('成交明细'!$H$5:$H$804,'成交明细'!$A$5:$A$804,A255,'成交明细'!$D$5:$D$804,IF(F255="空","卖","买"))/U255,"")</f>
        <v/>
      </c>
      <c r="W255" s="35" t="str">
        <f>IF(A255="","",SUMIFS('成交明细'!$F$5:$F$804,'成交明细'!$A$5:$A$804,A255,'成交明细'!$D$5:$D$804,IF(F255="空","买","卖")))</f>
        <v/>
      </c>
      <c r="X255" s="39" t="str">
        <f>IF(N(W255)&gt;0,SUMIFS('成交明细'!$H$5:$H$804,'成交明细'!$A$5:$A$804,A255,'成交明细'!$D$5:$D$804,IF(F255="空","买","卖"))/W255,"")</f>
        <v/>
      </c>
      <c r="Y255" s="40" t="str">
        <f>IF(A255="","",IF(Q255&lt;&gt;"已执行",IF(Q255="","未填执行情况",Q255),IF(N(U255)=0,"待录成交",IF(N(W255)&gt;N(U255),"平仓多于开仓",IF(N(W255)&lt;N(U255),"持仓中","已平仓")))))</f>
        <v/>
      </c>
      <c r="Z255" s="41" t="str">
        <f>IF(N(U255)=0,"",SUMIFS('成交明细'!$L$5:$L$804,'成交明细'!$A$5:$A$804,A255))</f>
        <v/>
      </c>
      <c r="AA255" s="42" t="str">
        <f>IF(Y255&lt;&gt;"已平仓","",(SUMIFS('成交明细'!$H$5:$H$804,'成交明细'!$A$5:$A$804,A255,'成交明细'!$D$5:$D$804,"卖")-SUMIFS('成交明细'!$H$5:$H$804,'成交明细'!$A$5:$A$804,A255,'成交明细'!$D$5:$D$804,"买"))*IF(N(G255)&gt;0,G255,1)-Z255)</f>
        <v/>
      </c>
      <c r="AB255" s="43" t="str">
        <f>IF(AND(Y255="已平仓",ISNUMBER(O255)),(SUMIFS('成交明细'!$H$5:$H$804,'成交明细'!$A$5:$A$804,A255,'成交明细'!$D$5:$D$804,"卖")-SUMIFS('成交明细'!$H$5:$H$804,'成交明细'!$A$5:$A$804,A255,'成交明细'!$D$5:$D$804,"买"))*IF(N(G255)&gt;0,G255,1)/O255,"")</f>
        <v/>
      </c>
      <c r="AC255" s="43" t="str">
        <f>IF(AND(Y255="已平仓",ISNUMBER(O255)),AA255/O255,"")</f>
        <v/>
      </c>
      <c r="AD255" s="44" t="str">
        <f>IF(AND(ISNUMBER(V255),ISNUMBER(I255)),IF(F255="空",I255-V255,V255-I255),"")</f>
        <v/>
      </c>
      <c r="AE255" s="44" t="str">
        <f>IF(OR(NOT(ISNUMBER(AA255)),NOT(ISNUMBER(X255))),"",IF(AA255&lt;0,IF(F255="空",X255-J255,J255-X255),IF(NOT(ISNUMBER(K255)),"",IF(F255="空",X255-K255,K255-X255))))</f>
        <v/>
      </c>
      <c r="AF255" s="32" t="n"/>
      <c r="AG255" s="32" t="n"/>
      <c r="AH255" s="31" t="n"/>
      <c r="AI255" s="43" t="str">
        <f>IF(A255="","",SUM(AC$5:AC255))</f>
        <v/>
      </c>
      <c r="AJ255" s="45" t="str">
        <f>IF(A255="","",MAX(0,MAX(AI$5:AI255))-AI255)</f>
        <v/>
      </c>
    </row>
    <row r="256">
      <c r="A256" s="29" t="n"/>
      <c r="B256" s="30" t="n"/>
      <c r="C256" s="31" t="n"/>
      <c r="D256" s="32" t="n"/>
      <c r="E256" s="32" t="n"/>
      <c r="F256" s="32" t="n"/>
      <c r="G256" s="32" t="n"/>
      <c r="H256" s="32" t="n"/>
      <c r="I256" s="33" t="n"/>
      <c r="J256" s="33" t="n"/>
      <c r="K256" s="33" t="n"/>
      <c r="L256" s="34" t="str">
        <f>IF(AND(ISNUMBER(I256),ISNUMBER(J256),ISNUMBER(K256)),IF(OR(AND(F256="多",I256&gt;J256),AND(F256="空",I256&lt;J256)),ABS(K256-I256)/ABS(I256-J256),"止损方向不对"),"")</f>
        <v/>
      </c>
      <c r="M256" s="35" t="str">
        <f>IF(AND(ISNUMBER(I256),ISNUMBER(J256)),IF(I256=J256,"",IF(INT(ROUND('参数'!$C$7/(ABS(I256-J256)*IF(N(G256)&gt;0,G256,1)+2*(I256*IF(N(G256)&gt;0,G256,1)*'参数'!$C$12+'参数'!$C$13+'参数'!$C$14*IF(N(G256)&gt;0,G256,1)))/IF(N(H256)&gt;0,H256,1),6))*IF(N(H256)&gt;0,H256,1)&gt;0,INT(ROUND('参数'!$C$7/(ABS(I256-J256)*IF(N(G256)&gt;0,G256,1)+2*(I256*IF(N(G256)&gt;0,G256,1)*'参数'!$C$12+'参数'!$C$13+'参数'!$C$14*IF(N(G256)&gt;0,G256,1)))/IF(N(H256)&gt;0,H256,1),6))*IF(N(H256)&gt;0,H256,1),"预算不足，这笔不做")),"")</f>
        <v/>
      </c>
      <c r="N256" s="36" t="n"/>
      <c r="O256" s="20" t="str">
        <f>IF(AND(ISNUMBER(I256),ISNUMBER(J256),ISNUMBER(N256)),IF(AND(I256&lt;&gt;J256,N256&gt;0),ABS(I256-J256)*N256*IF(N(G256)&gt;0,G256,1),""),"")</f>
        <v/>
      </c>
      <c r="P256" s="31" t="n"/>
      <c r="Q256" s="32" t="n"/>
      <c r="R256" s="37" t="str">
        <f>IF(N(U256)&gt;0,SUMPRODUCT(LARGE(('成交明细'!$A$5:$A$804=A256)*('成交明细'!$D$5:$D$804=IF(F256="空","卖","买"))*'成交明细'!$B$5:$B$804,COUNTIFS('成交明细'!$A$5:$A$804,A256,'成交明细'!$D$5:$D$804,IF(F256="空","卖","买")))),"")</f>
        <v/>
      </c>
      <c r="S256" s="37" t="str">
        <f>IF(AND(N(U256)&gt;0,N(W256)&gt;=N(U256)),SUMPRODUCT(MAX(('成交明细'!$A$5:$A$804=A256)*('成交明细'!$D$5:$D$804=IF(F256="空","买","卖"))*'成交明细'!$B$5:$B$804)),"")</f>
        <v/>
      </c>
      <c r="T256" s="38" t="str">
        <f>IF(N(U256)=0,"",IF(SUMPRODUCT(('成交明细'!$A$5:$A$804=A256)*('成交明细'!$D$5:$D$804=IF(F256="空","卖","买"))*ISNUMBER('成交明细'!$C$5:$C$804))=0,"没填时间",IFERROR(VLOOKUP(MOD(SUMPRODUCT(LARGE(('成交明细'!$A$5:$A$804=A256)*('成交明细'!$D$5:$D$804=IF(F256="空","卖","买"))*('成交明细'!$B$5:$B$804+'成交明细'!$C$5:$C$804),COUNTIFS('成交明细'!$A$5:$A$804,A256,'成交明细'!$D$5:$D$804,IF(F256="空","卖","买")))),1),'参数'!$B$39:$C$48,2,TRUE),"")))</f>
        <v/>
      </c>
      <c r="U256" s="35" t="str">
        <f>IF(A256="","",SUMIFS('成交明细'!$F$5:$F$804,'成交明细'!$A$5:$A$804,A256,'成交明细'!$D$5:$D$804,IF(F256="空","卖","买")))</f>
        <v/>
      </c>
      <c r="V256" s="39" t="str">
        <f>IF(N(U256)&gt;0,SUMIFS('成交明细'!$H$5:$H$804,'成交明细'!$A$5:$A$804,A256,'成交明细'!$D$5:$D$804,IF(F256="空","卖","买"))/U256,"")</f>
        <v/>
      </c>
      <c r="W256" s="35" t="str">
        <f>IF(A256="","",SUMIFS('成交明细'!$F$5:$F$804,'成交明细'!$A$5:$A$804,A256,'成交明细'!$D$5:$D$804,IF(F256="空","买","卖")))</f>
        <v/>
      </c>
      <c r="X256" s="39" t="str">
        <f>IF(N(W256)&gt;0,SUMIFS('成交明细'!$H$5:$H$804,'成交明细'!$A$5:$A$804,A256,'成交明细'!$D$5:$D$804,IF(F256="空","买","卖"))/W256,"")</f>
        <v/>
      </c>
      <c r="Y256" s="40" t="str">
        <f>IF(A256="","",IF(Q256&lt;&gt;"已执行",IF(Q256="","未填执行情况",Q256),IF(N(U256)=0,"待录成交",IF(N(W256)&gt;N(U256),"平仓多于开仓",IF(N(W256)&lt;N(U256),"持仓中","已平仓")))))</f>
        <v/>
      </c>
      <c r="Z256" s="41" t="str">
        <f>IF(N(U256)=0,"",SUMIFS('成交明细'!$L$5:$L$804,'成交明细'!$A$5:$A$804,A256))</f>
        <v/>
      </c>
      <c r="AA256" s="42" t="str">
        <f>IF(Y256&lt;&gt;"已平仓","",(SUMIFS('成交明细'!$H$5:$H$804,'成交明细'!$A$5:$A$804,A256,'成交明细'!$D$5:$D$804,"卖")-SUMIFS('成交明细'!$H$5:$H$804,'成交明细'!$A$5:$A$804,A256,'成交明细'!$D$5:$D$804,"买"))*IF(N(G256)&gt;0,G256,1)-Z256)</f>
        <v/>
      </c>
      <c r="AB256" s="43" t="str">
        <f>IF(AND(Y256="已平仓",ISNUMBER(O256)),(SUMIFS('成交明细'!$H$5:$H$804,'成交明细'!$A$5:$A$804,A256,'成交明细'!$D$5:$D$804,"卖")-SUMIFS('成交明细'!$H$5:$H$804,'成交明细'!$A$5:$A$804,A256,'成交明细'!$D$5:$D$804,"买"))*IF(N(G256)&gt;0,G256,1)/O256,"")</f>
        <v/>
      </c>
      <c r="AC256" s="43" t="str">
        <f>IF(AND(Y256="已平仓",ISNUMBER(O256)),AA256/O256,"")</f>
        <v/>
      </c>
      <c r="AD256" s="44" t="str">
        <f>IF(AND(ISNUMBER(V256),ISNUMBER(I256)),IF(F256="空",I256-V256,V256-I256),"")</f>
        <v/>
      </c>
      <c r="AE256" s="44" t="str">
        <f>IF(OR(NOT(ISNUMBER(AA256)),NOT(ISNUMBER(X256))),"",IF(AA256&lt;0,IF(F256="空",X256-J256,J256-X256),IF(NOT(ISNUMBER(K256)),"",IF(F256="空",X256-K256,K256-X256))))</f>
        <v/>
      </c>
      <c r="AF256" s="32" t="n"/>
      <c r="AG256" s="32" t="n"/>
      <c r="AH256" s="31" t="n"/>
      <c r="AI256" s="43" t="str">
        <f>IF(A256="","",SUM(AC$5:AC256))</f>
        <v/>
      </c>
      <c r="AJ256" s="45" t="str">
        <f>IF(A256="","",MAX(0,MAX(AI$5:AI256))-AI256)</f>
        <v/>
      </c>
    </row>
    <row r="257">
      <c r="A257" s="29" t="n"/>
      <c r="B257" s="30" t="n"/>
      <c r="C257" s="31" t="n"/>
      <c r="D257" s="32" t="n"/>
      <c r="E257" s="32" t="n"/>
      <c r="F257" s="32" t="n"/>
      <c r="G257" s="32" t="n"/>
      <c r="H257" s="32" t="n"/>
      <c r="I257" s="33" t="n"/>
      <c r="J257" s="33" t="n"/>
      <c r="K257" s="33" t="n"/>
      <c r="L257" s="34" t="str">
        <f>IF(AND(ISNUMBER(I257),ISNUMBER(J257),ISNUMBER(K257)),IF(OR(AND(F257="多",I257&gt;J257),AND(F257="空",I257&lt;J257)),ABS(K257-I257)/ABS(I257-J257),"止损方向不对"),"")</f>
        <v/>
      </c>
      <c r="M257" s="35" t="str">
        <f>IF(AND(ISNUMBER(I257),ISNUMBER(J257)),IF(I257=J257,"",IF(INT(ROUND('参数'!$C$7/(ABS(I257-J257)*IF(N(G257)&gt;0,G257,1)+2*(I257*IF(N(G257)&gt;0,G257,1)*'参数'!$C$12+'参数'!$C$13+'参数'!$C$14*IF(N(G257)&gt;0,G257,1)))/IF(N(H257)&gt;0,H257,1),6))*IF(N(H257)&gt;0,H257,1)&gt;0,INT(ROUND('参数'!$C$7/(ABS(I257-J257)*IF(N(G257)&gt;0,G257,1)+2*(I257*IF(N(G257)&gt;0,G257,1)*'参数'!$C$12+'参数'!$C$13+'参数'!$C$14*IF(N(G257)&gt;0,G257,1)))/IF(N(H257)&gt;0,H257,1),6))*IF(N(H257)&gt;0,H257,1),"预算不足，这笔不做")),"")</f>
        <v/>
      </c>
      <c r="N257" s="36" t="n"/>
      <c r="O257" s="20" t="str">
        <f>IF(AND(ISNUMBER(I257),ISNUMBER(J257),ISNUMBER(N257)),IF(AND(I257&lt;&gt;J257,N257&gt;0),ABS(I257-J257)*N257*IF(N(G257)&gt;0,G257,1),""),"")</f>
        <v/>
      </c>
      <c r="P257" s="31" t="n"/>
      <c r="Q257" s="32" t="n"/>
      <c r="R257" s="37" t="str">
        <f>IF(N(U257)&gt;0,SUMPRODUCT(LARGE(('成交明细'!$A$5:$A$804=A257)*('成交明细'!$D$5:$D$804=IF(F257="空","卖","买"))*'成交明细'!$B$5:$B$804,COUNTIFS('成交明细'!$A$5:$A$804,A257,'成交明细'!$D$5:$D$804,IF(F257="空","卖","买")))),"")</f>
        <v/>
      </c>
      <c r="S257" s="37" t="str">
        <f>IF(AND(N(U257)&gt;0,N(W257)&gt;=N(U257)),SUMPRODUCT(MAX(('成交明细'!$A$5:$A$804=A257)*('成交明细'!$D$5:$D$804=IF(F257="空","买","卖"))*'成交明细'!$B$5:$B$804)),"")</f>
        <v/>
      </c>
      <c r="T257" s="38" t="str">
        <f>IF(N(U257)=0,"",IF(SUMPRODUCT(('成交明细'!$A$5:$A$804=A257)*('成交明细'!$D$5:$D$804=IF(F257="空","卖","买"))*ISNUMBER('成交明细'!$C$5:$C$804))=0,"没填时间",IFERROR(VLOOKUP(MOD(SUMPRODUCT(LARGE(('成交明细'!$A$5:$A$804=A257)*('成交明细'!$D$5:$D$804=IF(F257="空","卖","买"))*('成交明细'!$B$5:$B$804+'成交明细'!$C$5:$C$804),COUNTIFS('成交明细'!$A$5:$A$804,A257,'成交明细'!$D$5:$D$804,IF(F257="空","卖","买")))),1),'参数'!$B$39:$C$48,2,TRUE),"")))</f>
        <v/>
      </c>
      <c r="U257" s="35" t="str">
        <f>IF(A257="","",SUMIFS('成交明细'!$F$5:$F$804,'成交明细'!$A$5:$A$804,A257,'成交明细'!$D$5:$D$804,IF(F257="空","卖","买")))</f>
        <v/>
      </c>
      <c r="V257" s="39" t="str">
        <f>IF(N(U257)&gt;0,SUMIFS('成交明细'!$H$5:$H$804,'成交明细'!$A$5:$A$804,A257,'成交明细'!$D$5:$D$804,IF(F257="空","卖","买"))/U257,"")</f>
        <v/>
      </c>
      <c r="W257" s="35" t="str">
        <f>IF(A257="","",SUMIFS('成交明细'!$F$5:$F$804,'成交明细'!$A$5:$A$804,A257,'成交明细'!$D$5:$D$804,IF(F257="空","买","卖")))</f>
        <v/>
      </c>
      <c r="X257" s="39" t="str">
        <f>IF(N(W257)&gt;0,SUMIFS('成交明细'!$H$5:$H$804,'成交明细'!$A$5:$A$804,A257,'成交明细'!$D$5:$D$804,IF(F257="空","买","卖"))/W257,"")</f>
        <v/>
      </c>
      <c r="Y257" s="40" t="str">
        <f>IF(A257="","",IF(Q257&lt;&gt;"已执行",IF(Q257="","未填执行情况",Q257),IF(N(U257)=0,"待录成交",IF(N(W257)&gt;N(U257),"平仓多于开仓",IF(N(W257)&lt;N(U257),"持仓中","已平仓")))))</f>
        <v/>
      </c>
      <c r="Z257" s="41" t="str">
        <f>IF(N(U257)=0,"",SUMIFS('成交明细'!$L$5:$L$804,'成交明细'!$A$5:$A$804,A257))</f>
        <v/>
      </c>
      <c r="AA257" s="42" t="str">
        <f>IF(Y257&lt;&gt;"已平仓","",(SUMIFS('成交明细'!$H$5:$H$804,'成交明细'!$A$5:$A$804,A257,'成交明细'!$D$5:$D$804,"卖")-SUMIFS('成交明细'!$H$5:$H$804,'成交明细'!$A$5:$A$804,A257,'成交明细'!$D$5:$D$804,"买"))*IF(N(G257)&gt;0,G257,1)-Z257)</f>
        <v/>
      </c>
      <c r="AB257" s="43" t="str">
        <f>IF(AND(Y257="已平仓",ISNUMBER(O257)),(SUMIFS('成交明细'!$H$5:$H$804,'成交明细'!$A$5:$A$804,A257,'成交明细'!$D$5:$D$804,"卖")-SUMIFS('成交明细'!$H$5:$H$804,'成交明细'!$A$5:$A$804,A257,'成交明细'!$D$5:$D$804,"买"))*IF(N(G257)&gt;0,G257,1)/O257,"")</f>
        <v/>
      </c>
      <c r="AC257" s="43" t="str">
        <f>IF(AND(Y257="已平仓",ISNUMBER(O257)),AA257/O257,"")</f>
        <v/>
      </c>
      <c r="AD257" s="44" t="str">
        <f>IF(AND(ISNUMBER(V257),ISNUMBER(I257)),IF(F257="空",I257-V257,V257-I257),"")</f>
        <v/>
      </c>
      <c r="AE257" s="44" t="str">
        <f>IF(OR(NOT(ISNUMBER(AA257)),NOT(ISNUMBER(X257))),"",IF(AA257&lt;0,IF(F257="空",X257-J257,J257-X257),IF(NOT(ISNUMBER(K257)),"",IF(F257="空",X257-K257,K257-X257))))</f>
        <v/>
      </c>
      <c r="AF257" s="32" t="n"/>
      <c r="AG257" s="32" t="n"/>
      <c r="AH257" s="31" t="n"/>
      <c r="AI257" s="43" t="str">
        <f>IF(A257="","",SUM(AC$5:AC257))</f>
        <v/>
      </c>
      <c r="AJ257" s="45" t="str">
        <f>IF(A257="","",MAX(0,MAX(AI$5:AI257))-AI257)</f>
        <v/>
      </c>
    </row>
    <row r="258">
      <c r="A258" s="29" t="n"/>
      <c r="B258" s="30" t="n"/>
      <c r="C258" s="31" t="n"/>
      <c r="D258" s="32" t="n"/>
      <c r="E258" s="32" t="n"/>
      <c r="F258" s="32" t="n"/>
      <c r="G258" s="32" t="n"/>
      <c r="H258" s="32" t="n"/>
      <c r="I258" s="33" t="n"/>
      <c r="J258" s="33" t="n"/>
      <c r="K258" s="33" t="n"/>
      <c r="L258" s="34" t="str">
        <f>IF(AND(ISNUMBER(I258),ISNUMBER(J258),ISNUMBER(K258)),IF(OR(AND(F258="多",I258&gt;J258),AND(F258="空",I258&lt;J258)),ABS(K258-I258)/ABS(I258-J258),"止损方向不对"),"")</f>
        <v/>
      </c>
      <c r="M258" s="35" t="str">
        <f>IF(AND(ISNUMBER(I258),ISNUMBER(J258)),IF(I258=J258,"",IF(INT(ROUND('参数'!$C$7/(ABS(I258-J258)*IF(N(G258)&gt;0,G258,1)+2*(I258*IF(N(G258)&gt;0,G258,1)*'参数'!$C$12+'参数'!$C$13+'参数'!$C$14*IF(N(G258)&gt;0,G258,1)))/IF(N(H258)&gt;0,H258,1),6))*IF(N(H258)&gt;0,H258,1)&gt;0,INT(ROUND('参数'!$C$7/(ABS(I258-J258)*IF(N(G258)&gt;0,G258,1)+2*(I258*IF(N(G258)&gt;0,G258,1)*'参数'!$C$12+'参数'!$C$13+'参数'!$C$14*IF(N(G258)&gt;0,G258,1)))/IF(N(H258)&gt;0,H258,1),6))*IF(N(H258)&gt;0,H258,1),"预算不足，这笔不做")),"")</f>
        <v/>
      </c>
      <c r="N258" s="36" t="n"/>
      <c r="O258" s="20" t="str">
        <f>IF(AND(ISNUMBER(I258),ISNUMBER(J258),ISNUMBER(N258)),IF(AND(I258&lt;&gt;J258,N258&gt;0),ABS(I258-J258)*N258*IF(N(G258)&gt;0,G258,1),""),"")</f>
        <v/>
      </c>
      <c r="P258" s="31" t="n"/>
      <c r="Q258" s="32" t="n"/>
      <c r="R258" s="37" t="str">
        <f>IF(N(U258)&gt;0,SUMPRODUCT(LARGE(('成交明细'!$A$5:$A$804=A258)*('成交明细'!$D$5:$D$804=IF(F258="空","卖","买"))*'成交明细'!$B$5:$B$804,COUNTIFS('成交明细'!$A$5:$A$804,A258,'成交明细'!$D$5:$D$804,IF(F258="空","卖","买")))),"")</f>
        <v/>
      </c>
      <c r="S258" s="37" t="str">
        <f>IF(AND(N(U258)&gt;0,N(W258)&gt;=N(U258)),SUMPRODUCT(MAX(('成交明细'!$A$5:$A$804=A258)*('成交明细'!$D$5:$D$804=IF(F258="空","买","卖"))*'成交明细'!$B$5:$B$804)),"")</f>
        <v/>
      </c>
      <c r="T258" s="38" t="str">
        <f>IF(N(U258)=0,"",IF(SUMPRODUCT(('成交明细'!$A$5:$A$804=A258)*('成交明细'!$D$5:$D$804=IF(F258="空","卖","买"))*ISNUMBER('成交明细'!$C$5:$C$804))=0,"没填时间",IFERROR(VLOOKUP(MOD(SUMPRODUCT(LARGE(('成交明细'!$A$5:$A$804=A258)*('成交明细'!$D$5:$D$804=IF(F258="空","卖","买"))*('成交明细'!$B$5:$B$804+'成交明细'!$C$5:$C$804),COUNTIFS('成交明细'!$A$5:$A$804,A258,'成交明细'!$D$5:$D$804,IF(F258="空","卖","买")))),1),'参数'!$B$39:$C$48,2,TRUE),"")))</f>
        <v/>
      </c>
      <c r="U258" s="35" t="str">
        <f>IF(A258="","",SUMIFS('成交明细'!$F$5:$F$804,'成交明细'!$A$5:$A$804,A258,'成交明细'!$D$5:$D$804,IF(F258="空","卖","买")))</f>
        <v/>
      </c>
      <c r="V258" s="39" t="str">
        <f>IF(N(U258)&gt;0,SUMIFS('成交明细'!$H$5:$H$804,'成交明细'!$A$5:$A$804,A258,'成交明细'!$D$5:$D$804,IF(F258="空","卖","买"))/U258,"")</f>
        <v/>
      </c>
      <c r="W258" s="35" t="str">
        <f>IF(A258="","",SUMIFS('成交明细'!$F$5:$F$804,'成交明细'!$A$5:$A$804,A258,'成交明细'!$D$5:$D$804,IF(F258="空","买","卖")))</f>
        <v/>
      </c>
      <c r="X258" s="39" t="str">
        <f>IF(N(W258)&gt;0,SUMIFS('成交明细'!$H$5:$H$804,'成交明细'!$A$5:$A$804,A258,'成交明细'!$D$5:$D$804,IF(F258="空","买","卖"))/W258,"")</f>
        <v/>
      </c>
      <c r="Y258" s="40" t="str">
        <f>IF(A258="","",IF(Q258&lt;&gt;"已执行",IF(Q258="","未填执行情况",Q258),IF(N(U258)=0,"待录成交",IF(N(W258)&gt;N(U258),"平仓多于开仓",IF(N(W258)&lt;N(U258),"持仓中","已平仓")))))</f>
        <v/>
      </c>
      <c r="Z258" s="41" t="str">
        <f>IF(N(U258)=0,"",SUMIFS('成交明细'!$L$5:$L$804,'成交明细'!$A$5:$A$804,A258))</f>
        <v/>
      </c>
      <c r="AA258" s="42" t="str">
        <f>IF(Y258&lt;&gt;"已平仓","",(SUMIFS('成交明细'!$H$5:$H$804,'成交明细'!$A$5:$A$804,A258,'成交明细'!$D$5:$D$804,"卖")-SUMIFS('成交明细'!$H$5:$H$804,'成交明细'!$A$5:$A$804,A258,'成交明细'!$D$5:$D$804,"买"))*IF(N(G258)&gt;0,G258,1)-Z258)</f>
        <v/>
      </c>
      <c r="AB258" s="43" t="str">
        <f>IF(AND(Y258="已平仓",ISNUMBER(O258)),(SUMIFS('成交明细'!$H$5:$H$804,'成交明细'!$A$5:$A$804,A258,'成交明细'!$D$5:$D$804,"卖")-SUMIFS('成交明细'!$H$5:$H$804,'成交明细'!$A$5:$A$804,A258,'成交明细'!$D$5:$D$804,"买"))*IF(N(G258)&gt;0,G258,1)/O258,"")</f>
        <v/>
      </c>
      <c r="AC258" s="43" t="str">
        <f>IF(AND(Y258="已平仓",ISNUMBER(O258)),AA258/O258,"")</f>
        <v/>
      </c>
      <c r="AD258" s="44" t="str">
        <f>IF(AND(ISNUMBER(V258),ISNUMBER(I258)),IF(F258="空",I258-V258,V258-I258),"")</f>
        <v/>
      </c>
      <c r="AE258" s="44" t="str">
        <f>IF(OR(NOT(ISNUMBER(AA258)),NOT(ISNUMBER(X258))),"",IF(AA258&lt;0,IF(F258="空",X258-J258,J258-X258),IF(NOT(ISNUMBER(K258)),"",IF(F258="空",X258-K258,K258-X258))))</f>
        <v/>
      </c>
      <c r="AF258" s="32" t="n"/>
      <c r="AG258" s="32" t="n"/>
      <c r="AH258" s="31" t="n"/>
      <c r="AI258" s="43" t="str">
        <f>IF(A258="","",SUM(AC$5:AC258))</f>
        <v/>
      </c>
      <c r="AJ258" s="45" t="str">
        <f>IF(A258="","",MAX(0,MAX(AI$5:AI258))-AI258)</f>
        <v/>
      </c>
    </row>
    <row r="259">
      <c r="A259" s="29" t="n"/>
      <c r="B259" s="30" t="n"/>
      <c r="C259" s="31" t="n"/>
      <c r="D259" s="32" t="n"/>
      <c r="E259" s="32" t="n"/>
      <c r="F259" s="32" t="n"/>
      <c r="G259" s="32" t="n"/>
      <c r="H259" s="32" t="n"/>
      <c r="I259" s="33" t="n"/>
      <c r="J259" s="33" t="n"/>
      <c r="K259" s="33" t="n"/>
      <c r="L259" s="34" t="str">
        <f>IF(AND(ISNUMBER(I259),ISNUMBER(J259),ISNUMBER(K259)),IF(OR(AND(F259="多",I259&gt;J259),AND(F259="空",I259&lt;J259)),ABS(K259-I259)/ABS(I259-J259),"止损方向不对"),"")</f>
        <v/>
      </c>
      <c r="M259" s="35" t="str">
        <f>IF(AND(ISNUMBER(I259),ISNUMBER(J259)),IF(I259=J259,"",IF(INT(ROUND('参数'!$C$7/(ABS(I259-J259)*IF(N(G259)&gt;0,G259,1)+2*(I259*IF(N(G259)&gt;0,G259,1)*'参数'!$C$12+'参数'!$C$13+'参数'!$C$14*IF(N(G259)&gt;0,G259,1)))/IF(N(H259)&gt;0,H259,1),6))*IF(N(H259)&gt;0,H259,1)&gt;0,INT(ROUND('参数'!$C$7/(ABS(I259-J259)*IF(N(G259)&gt;0,G259,1)+2*(I259*IF(N(G259)&gt;0,G259,1)*'参数'!$C$12+'参数'!$C$13+'参数'!$C$14*IF(N(G259)&gt;0,G259,1)))/IF(N(H259)&gt;0,H259,1),6))*IF(N(H259)&gt;0,H259,1),"预算不足，这笔不做")),"")</f>
        <v/>
      </c>
      <c r="N259" s="36" t="n"/>
      <c r="O259" s="20" t="str">
        <f>IF(AND(ISNUMBER(I259),ISNUMBER(J259),ISNUMBER(N259)),IF(AND(I259&lt;&gt;J259,N259&gt;0),ABS(I259-J259)*N259*IF(N(G259)&gt;0,G259,1),""),"")</f>
        <v/>
      </c>
      <c r="P259" s="31" t="n"/>
      <c r="Q259" s="32" t="n"/>
      <c r="R259" s="37" t="str">
        <f>IF(N(U259)&gt;0,SUMPRODUCT(LARGE(('成交明细'!$A$5:$A$804=A259)*('成交明细'!$D$5:$D$804=IF(F259="空","卖","买"))*'成交明细'!$B$5:$B$804,COUNTIFS('成交明细'!$A$5:$A$804,A259,'成交明细'!$D$5:$D$804,IF(F259="空","卖","买")))),"")</f>
        <v/>
      </c>
      <c r="S259" s="37" t="str">
        <f>IF(AND(N(U259)&gt;0,N(W259)&gt;=N(U259)),SUMPRODUCT(MAX(('成交明细'!$A$5:$A$804=A259)*('成交明细'!$D$5:$D$804=IF(F259="空","买","卖"))*'成交明细'!$B$5:$B$804)),"")</f>
        <v/>
      </c>
      <c r="T259" s="38" t="str">
        <f>IF(N(U259)=0,"",IF(SUMPRODUCT(('成交明细'!$A$5:$A$804=A259)*('成交明细'!$D$5:$D$804=IF(F259="空","卖","买"))*ISNUMBER('成交明细'!$C$5:$C$804))=0,"没填时间",IFERROR(VLOOKUP(MOD(SUMPRODUCT(LARGE(('成交明细'!$A$5:$A$804=A259)*('成交明细'!$D$5:$D$804=IF(F259="空","卖","买"))*('成交明细'!$B$5:$B$804+'成交明细'!$C$5:$C$804),COUNTIFS('成交明细'!$A$5:$A$804,A259,'成交明细'!$D$5:$D$804,IF(F259="空","卖","买")))),1),'参数'!$B$39:$C$48,2,TRUE),"")))</f>
        <v/>
      </c>
      <c r="U259" s="35" t="str">
        <f>IF(A259="","",SUMIFS('成交明细'!$F$5:$F$804,'成交明细'!$A$5:$A$804,A259,'成交明细'!$D$5:$D$804,IF(F259="空","卖","买")))</f>
        <v/>
      </c>
      <c r="V259" s="39" t="str">
        <f>IF(N(U259)&gt;0,SUMIFS('成交明细'!$H$5:$H$804,'成交明细'!$A$5:$A$804,A259,'成交明细'!$D$5:$D$804,IF(F259="空","卖","买"))/U259,"")</f>
        <v/>
      </c>
      <c r="W259" s="35" t="str">
        <f>IF(A259="","",SUMIFS('成交明细'!$F$5:$F$804,'成交明细'!$A$5:$A$804,A259,'成交明细'!$D$5:$D$804,IF(F259="空","买","卖")))</f>
        <v/>
      </c>
      <c r="X259" s="39" t="str">
        <f>IF(N(W259)&gt;0,SUMIFS('成交明细'!$H$5:$H$804,'成交明细'!$A$5:$A$804,A259,'成交明细'!$D$5:$D$804,IF(F259="空","买","卖"))/W259,"")</f>
        <v/>
      </c>
      <c r="Y259" s="40" t="str">
        <f>IF(A259="","",IF(Q259&lt;&gt;"已执行",IF(Q259="","未填执行情况",Q259),IF(N(U259)=0,"待录成交",IF(N(W259)&gt;N(U259),"平仓多于开仓",IF(N(W259)&lt;N(U259),"持仓中","已平仓")))))</f>
        <v/>
      </c>
      <c r="Z259" s="41" t="str">
        <f>IF(N(U259)=0,"",SUMIFS('成交明细'!$L$5:$L$804,'成交明细'!$A$5:$A$804,A259))</f>
        <v/>
      </c>
      <c r="AA259" s="42" t="str">
        <f>IF(Y259&lt;&gt;"已平仓","",(SUMIFS('成交明细'!$H$5:$H$804,'成交明细'!$A$5:$A$804,A259,'成交明细'!$D$5:$D$804,"卖")-SUMIFS('成交明细'!$H$5:$H$804,'成交明细'!$A$5:$A$804,A259,'成交明细'!$D$5:$D$804,"买"))*IF(N(G259)&gt;0,G259,1)-Z259)</f>
        <v/>
      </c>
      <c r="AB259" s="43" t="str">
        <f>IF(AND(Y259="已平仓",ISNUMBER(O259)),(SUMIFS('成交明细'!$H$5:$H$804,'成交明细'!$A$5:$A$804,A259,'成交明细'!$D$5:$D$804,"卖")-SUMIFS('成交明细'!$H$5:$H$804,'成交明细'!$A$5:$A$804,A259,'成交明细'!$D$5:$D$804,"买"))*IF(N(G259)&gt;0,G259,1)/O259,"")</f>
        <v/>
      </c>
      <c r="AC259" s="43" t="str">
        <f>IF(AND(Y259="已平仓",ISNUMBER(O259)),AA259/O259,"")</f>
        <v/>
      </c>
      <c r="AD259" s="44" t="str">
        <f>IF(AND(ISNUMBER(V259),ISNUMBER(I259)),IF(F259="空",I259-V259,V259-I259),"")</f>
        <v/>
      </c>
      <c r="AE259" s="44" t="str">
        <f>IF(OR(NOT(ISNUMBER(AA259)),NOT(ISNUMBER(X259))),"",IF(AA259&lt;0,IF(F259="空",X259-J259,J259-X259),IF(NOT(ISNUMBER(K259)),"",IF(F259="空",X259-K259,K259-X259))))</f>
        <v/>
      </c>
      <c r="AF259" s="32" t="n"/>
      <c r="AG259" s="32" t="n"/>
      <c r="AH259" s="31" t="n"/>
      <c r="AI259" s="43" t="str">
        <f>IF(A259="","",SUM(AC$5:AC259))</f>
        <v/>
      </c>
      <c r="AJ259" s="45" t="str">
        <f>IF(A259="","",MAX(0,MAX(AI$5:AI259))-AI259)</f>
        <v/>
      </c>
    </row>
    <row r="260">
      <c r="A260" s="29" t="n"/>
      <c r="B260" s="30" t="n"/>
      <c r="C260" s="31" t="n"/>
      <c r="D260" s="32" t="n"/>
      <c r="E260" s="32" t="n"/>
      <c r="F260" s="32" t="n"/>
      <c r="G260" s="32" t="n"/>
      <c r="H260" s="32" t="n"/>
      <c r="I260" s="33" t="n"/>
      <c r="J260" s="33" t="n"/>
      <c r="K260" s="33" t="n"/>
      <c r="L260" s="34" t="str">
        <f>IF(AND(ISNUMBER(I260),ISNUMBER(J260),ISNUMBER(K260)),IF(OR(AND(F260="多",I260&gt;J260),AND(F260="空",I260&lt;J260)),ABS(K260-I260)/ABS(I260-J260),"止损方向不对"),"")</f>
        <v/>
      </c>
      <c r="M260" s="35" t="str">
        <f>IF(AND(ISNUMBER(I260),ISNUMBER(J260)),IF(I260=J260,"",IF(INT(ROUND('参数'!$C$7/(ABS(I260-J260)*IF(N(G260)&gt;0,G260,1)+2*(I260*IF(N(G260)&gt;0,G260,1)*'参数'!$C$12+'参数'!$C$13+'参数'!$C$14*IF(N(G260)&gt;0,G260,1)))/IF(N(H260)&gt;0,H260,1),6))*IF(N(H260)&gt;0,H260,1)&gt;0,INT(ROUND('参数'!$C$7/(ABS(I260-J260)*IF(N(G260)&gt;0,G260,1)+2*(I260*IF(N(G260)&gt;0,G260,1)*'参数'!$C$12+'参数'!$C$13+'参数'!$C$14*IF(N(G260)&gt;0,G260,1)))/IF(N(H260)&gt;0,H260,1),6))*IF(N(H260)&gt;0,H260,1),"预算不足，这笔不做")),"")</f>
        <v/>
      </c>
      <c r="N260" s="36" t="n"/>
      <c r="O260" s="20" t="str">
        <f>IF(AND(ISNUMBER(I260),ISNUMBER(J260),ISNUMBER(N260)),IF(AND(I260&lt;&gt;J260,N260&gt;0),ABS(I260-J260)*N260*IF(N(G260)&gt;0,G260,1),""),"")</f>
        <v/>
      </c>
      <c r="P260" s="31" t="n"/>
      <c r="Q260" s="32" t="n"/>
      <c r="R260" s="37" t="str">
        <f>IF(N(U260)&gt;0,SUMPRODUCT(LARGE(('成交明细'!$A$5:$A$804=A260)*('成交明细'!$D$5:$D$804=IF(F260="空","卖","买"))*'成交明细'!$B$5:$B$804,COUNTIFS('成交明细'!$A$5:$A$804,A260,'成交明细'!$D$5:$D$804,IF(F260="空","卖","买")))),"")</f>
        <v/>
      </c>
      <c r="S260" s="37" t="str">
        <f>IF(AND(N(U260)&gt;0,N(W260)&gt;=N(U260)),SUMPRODUCT(MAX(('成交明细'!$A$5:$A$804=A260)*('成交明细'!$D$5:$D$804=IF(F260="空","买","卖"))*'成交明细'!$B$5:$B$804)),"")</f>
        <v/>
      </c>
      <c r="T260" s="38" t="str">
        <f>IF(N(U260)=0,"",IF(SUMPRODUCT(('成交明细'!$A$5:$A$804=A260)*('成交明细'!$D$5:$D$804=IF(F260="空","卖","买"))*ISNUMBER('成交明细'!$C$5:$C$804))=0,"没填时间",IFERROR(VLOOKUP(MOD(SUMPRODUCT(LARGE(('成交明细'!$A$5:$A$804=A260)*('成交明细'!$D$5:$D$804=IF(F260="空","卖","买"))*('成交明细'!$B$5:$B$804+'成交明细'!$C$5:$C$804),COUNTIFS('成交明细'!$A$5:$A$804,A260,'成交明细'!$D$5:$D$804,IF(F260="空","卖","买")))),1),'参数'!$B$39:$C$48,2,TRUE),"")))</f>
        <v/>
      </c>
      <c r="U260" s="35" t="str">
        <f>IF(A260="","",SUMIFS('成交明细'!$F$5:$F$804,'成交明细'!$A$5:$A$804,A260,'成交明细'!$D$5:$D$804,IF(F260="空","卖","买")))</f>
        <v/>
      </c>
      <c r="V260" s="39" t="str">
        <f>IF(N(U260)&gt;0,SUMIFS('成交明细'!$H$5:$H$804,'成交明细'!$A$5:$A$804,A260,'成交明细'!$D$5:$D$804,IF(F260="空","卖","买"))/U260,"")</f>
        <v/>
      </c>
      <c r="W260" s="35" t="str">
        <f>IF(A260="","",SUMIFS('成交明细'!$F$5:$F$804,'成交明细'!$A$5:$A$804,A260,'成交明细'!$D$5:$D$804,IF(F260="空","买","卖")))</f>
        <v/>
      </c>
      <c r="X260" s="39" t="str">
        <f>IF(N(W260)&gt;0,SUMIFS('成交明细'!$H$5:$H$804,'成交明细'!$A$5:$A$804,A260,'成交明细'!$D$5:$D$804,IF(F260="空","买","卖"))/W260,"")</f>
        <v/>
      </c>
      <c r="Y260" s="40" t="str">
        <f>IF(A260="","",IF(Q260&lt;&gt;"已执行",IF(Q260="","未填执行情况",Q260),IF(N(U260)=0,"待录成交",IF(N(W260)&gt;N(U260),"平仓多于开仓",IF(N(W260)&lt;N(U260),"持仓中","已平仓")))))</f>
        <v/>
      </c>
      <c r="Z260" s="41" t="str">
        <f>IF(N(U260)=0,"",SUMIFS('成交明细'!$L$5:$L$804,'成交明细'!$A$5:$A$804,A260))</f>
        <v/>
      </c>
      <c r="AA260" s="42" t="str">
        <f>IF(Y260&lt;&gt;"已平仓","",(SUMIFS('成交明细'!$H$5:$H$804,'成交明细'!$A$5:$A$804,A260,'成交明细'!$D$5:$D$804,"卖")-SUMIFS('成交明细'!$H$5:$H$804,'成交明细'!$A$5:$A$804,A260,'成交明细'!$D$5:$D$804,"买"))*IF(N(G260)&gt;0,G260,1)-Z260)</f>
        <v/>
      </c>
      <c r="AB260" s="43" t="str">
        <f>IF(AND(Y260="已平仓",ISNUMBER(O260)),(SUMIFS('成交明细'!$H$5:$H$804,'成交明细'!$A$5:$A$804,A260,'成交明细'!$D$5:$D$804,"卖")-SUMIFS('成交明细'!$H$5:$H$804,'成交明细'!$A$5:$A$804,A260,'成交明细'!$D$5:$D$804,"买"))*IF(N(G260)&gt;0,G260,1)/O260,"")</f>
        <v/>
      </c>
      <c r="AC260" s="43" t="str">
        <f>IF(AND(Y260="已平仓",ISNUMBER(O260)),AA260/O260,"")</f>
        <v/>
      </c>
      <c r="AD260" s="44" t="str">
        <f>IF(AND(ISNUMBER(V260),ISNUMBER(I260)),IF(F260="空",I260-V260,V260-I260),"")</f>
        <v/>
      </c>
      <c r="AE260" s="44" t="str">
        <f>IF(OR(NOT(ISNUMBER(AA260)),NOT(ISNUMBER(X260))),"",IF(AA260&lt;0,IF(F260="空",X260-J260,J260-X260),IF(NOT(ISNUMBER(K260)),"",IF(F260="空",X260-K260,K260-X260))))</f>
        <v/>
      </c>
      <c r="AF260" s="32" t="n"/>
      <c r="AG260" s="32" t="n"/>
      <c r="AH260" s="31" t="n"/>
      <c r="AI260" s="43" t="str">
        <f>IF(A260="","",SUM(AC$5:AC260))</f>
        <v/>
      </c>
      <c r="AJ260" s="45" t="str">
        <f>IF(A260="","",MAX(0,MAX(AI$5:AI260))-AI260)</f>
        <v/>
      </c>
    </row>
    <row r="261">
      <c r="A261" s="29" t="n"/>
      <c r="B261" s="30" t="n"/>
      <c r="C261" s="31" t="n"/>
      <c r="D261" s="32" t="n"/>
      <c r="E261" s="32" t="n"/>
      <c r="F261" s="32" t="n"/>
      <c r="G261" s="32" t="n"/>
      <c r="H261" s="32" t="n"/>
      <c r="I261" s="33" t="n"/>
      <c r="J261" s="33" t="n"/>
      <c r="K261" s="33" t="n"/>
      <c r="L261" s="34" t="str">
        <f>IF(AND(ISNUMBER(I261),ISNUMBER(J261),ISNUMBER(K261)),IF(OR(AND(F261="多",I261&gt;J261),AND(F261="空",I261&lt;J261)),ABS(K261-I261)/ABS(I261-J261),"止损方向不对"),"")</f>
        <v/>
      </c>
      <c r="M261" s="35" t="str">
        <f>IF(AND(ISNUMBER(I261),ISNUMBER(J261)),IF(I261=J261,"",IF(INT(ROUND('参数'!$C$7/(ABS(I261-J261)*IF(N(G261)&gt;0,G261,1)+2*(I261*IF(N(G261)&gt;0,G261,1)*'参数'!$C$12+'参数'!$C$13+'参数'!$C$14*IF(N(G261)&gt;0,G261,1)))/IF(N(H261)&gt;0,H261,1),6))*IF(N(H261)&gt;0,H261,1)&gt;0,INT(ROUND('参数'!$C$7/(ABS(I261-J261)*IF(N(G261)&gt;0,G261,1)+2*(I261*IF(N(G261)&gt;0,G261,1)*'参数'!$C$12+'参数'!$C$13+'参数'!$C$14*IF(N(G261)&gt;0,G261,1)))/IF(N(H261)&gt;0,H261,1),6))*IF(N(H261)&gt;0,H261,1),"预算不足，这笔不做")),"")</f>
        <v/>
      </c>
      <c r="N261" s="36" t="n"/>
      <c r="O261" s="20" t="str">
        <f>IF(AND(ISNUMBER(I261),ISNUMBER(J261),ISNUMBER(N261)),IF(AND(I261&lt;&gt;J261,N261&gt;0),ABS(I261-J261)*N261*IF(N(G261)&gt;0,G261,1),""),"")</f>
        <v/>
      </c>
      <c r="P261" s="31" t="n"/>
      <c r="Q261" s="32" t="n"/>
      <c r="R261" s="37" t="str">
        <f>IF(N(U261)&gt;0,SUMPRODUCT(LARGE(('成交明细'!$A$5:$A$804=A261)*('成交明细'!$D$5:$D$804=IF(F261="空","卖","买"))*'成交明细'!$B$5:$B$804,COUNTIFS('成交明细'!$A$5:$A$804,A261,'成交明细'!$D$5:$D$804,IF(F261="空","卖","买")))),"")</f>
        <v/>
      </c>
      <c r="S261" s="37" t="str">
        <f>IF(AND(N(U261)&gt;0,N(W261)&gt;=N(U261)),SUMPRODUCT(MAX(('成交明细'!$A$5:$A$804=A261)*('成交明细'!$D$5:$D$804=IF(F261="空","买","卖"))*'成交明细'!$B$5:$B$804)),"")</f>
        <v/>
      </c>
      <c r="T261" s="38" t="str">
        <f>IF(N(U261)=0,"",IF(SUMPRODUCT(('成交明细'!$A$5:$A$804=A261)*('成交明细'!$D$5:$D$804=IF(F261="空","卖","买"))*ISNUMBER('成交明细'!$C$5:$C$804))=0,"没填时间",IFERROR(VLOOKUP(MOD(SUMPRODUCT(LARGE(('成交明细'!$A$5:$A$804=A261)*('成交明细'!$D$5:$D$804=IF(F261="空","卖","买"))*('成交明细'!$B$5:$B$804+'成交明细'!$C$5:$C$804),COUNTIFS('成交明细'!$A$5:$A$804,A261,'成交明细'!$D$5:$D$804,IF(F261="空","卖","买")))),1),'参数'!$B$39:$C$48,2,TRUE),"")))</f>
        <v/>
      </c>
      <c r="U261" s="35" t="str">
        <f>IF(A261="","",SUMIFS('成交明细'!$F$5:$F$804,'成交明细'!$A$5:$A$804,A261,'成交明细'!$D$5:$D$804,IF(F261="空","卖","买")))</f>
        <v/>
      </c>
      <c r="V261" s="39" t="str">
        <f>IF(N(U261)&gt;0,SUMIFS('成交明细'!$H$5:$H$804,'成交明细'!$A$5:$A$804,A261,'成交明细'!$D$5:$D$804,IF(F261="空","卖","买"))/U261,"")</f>
        <v/>
      </c>
      <c r="W261" s="35" t="str">
        <f>IF(A261="","",SUMIFS('成交明细'!$F$5:$F$804,'成交明细'!$A$5:$A$804,A261,'成交明细'!$D$5:$D$804,IF(F261="空","买","卖")))</f>
        <v/>
      </c>
      <c r="X261" s="39" t="str">
        <f>IF(N(W261)&gt;0,SUMIFS('成交明细'!$H$5:$H$804,'成交明细'!$A$5:$A$804,A261,'成交明细'!$D$5:$D$804,IF(F261="空","买","卖"))/W261,"")</f>
        <v/>
      </c>
      <c r="Y261" s="40" t="str">
        <f>IF(A261="","",IF(Q261&lt;&gt;"已执行",IF(Q261="","未填执行情况",Q261),IF(N(U261)=0,"待录成交",IF(N(W261)&gt;N(U261),"平仓多于开仓",IF(N(W261)&lt;N(U261),"持仓中","已平仓")))))</f>
        <v/>
      </c>
      <c r="Z261" s="41" t="str">
        <f>IF(N(U261)=0,"",SUMIFS('成交明细'!$L$5:$L$804,'成交明细'!$A$5:$A$804,A261))</f>
        <v/>
      </c>
      <c r="AA261" s="42" t="str">
        <f>IF(Y261&lt;&gt;"已平仓","",(SUMIFS('成交明细'!$H$5:$H$804,'成交明细'!$A$5:$A$804,A261,'成交明细'!$D$5:$D$804,"卖")-SUMIFS('成交明细'!$H$5:$H$804,'成交明细'!$A$5:$A$804,A261,'成交明细'!$D$5:$D$804,"买"))*IF(N(G261)&gt;0,G261,1)-Z261)</f>
        <v/>
      </c>
      <c r="AB261" s="43" t="str">
        <f>IF(AND(Y261="已平仓",ISNUMBER(O261)),(SUMIFS('成交明细'!$H$5:$H$804,'成交明细'!$A$5:$A$804,A261,'成交明细'!$D$5:$D$804,"卖")-SUMIFS('成交明细'!$H$5:$H$804,'成交明细'!$A$5:$A$804,A261,'成交明细'!$D$5:$D$804,"买"))*IF(N(G261)&gt;0,G261,1)/O261,"")</f>
        <v/>
      </c>
      <c r="AC261" s="43" t="str">
        <f>IF(AND(Y261="已平仓",ISNUMBER(O261)),AA261/O261,"")</f>
        <v/>
      </c>
      <c r="AD261" s="44" t="str">
        <f>IF(AND(ISNUMBER(V261),ISNUMBER(I261)),IF(F261="空",I261-V261,V261-I261),"")</f>
        <v/>
      </c>
      <c r="AE261" s="44" t="str">
        <f>IF(OR(NOT(ISNUMBER(AA261)),NOT(ISNUMBER(X261))),"",IF(AA261&lt;0,IF(F261="空",X261-J261,J261-X261),IF(NOT(ISNUMBER(K261)),"",IF(F261="空",X261-K261,K261-X261))))</f>
        <v/>
      </c>
      <c r="AF261" s="32" t="n"/>
      <c r="AG261" s="32" t="n"/>
      <c r="AH261" s="31" t="n"/>
      <c r="AI261" s="43" t="str">
        <f>IF(A261="","",SUM(AC$5:AC261))</f>
        <v/>
      </c>
      <c r="AJ261" s="45" t="str">
        <f>IF(A261="","",MAX(0,MAX(AI$5:AI261))-AI261)</f>
        <v/>
      </c>
    </row>
    <row r="262">
      <c r="A262" s="29" t="n"/>
      <c r="B262" s="30" t="n"/>
      <c r="C262" s="31" t="n"/>
      <c r="D262" s="32" t="n"/>
      <c r="E262" s="32" t="n"/>
      <c r="F262" s="32" t="n"/>
      <c r="G262" s="32" t="n"/>
      <c r="H262" s="32" t="n"/>
      <c r="I262" s="33" t="n"/>
      <c r="J262" s="33" t="n"/>
      <c r="K262" s="33" t="n"/>
      <c r="L262" s="34" t="str">
        <f>IF(AND(ISNUMBER(I262),ISNUMBER(J262),ISNUMBER(K262)),IF(OR(AND(F262="多",I262&gt;J262),AND(F262="空",I262&lt;J262)),ABS(K262-I262)/ABS(I262-J262),"止损方向不对"),"")</f>
        <v/>
      </c>
      <c r="M262" s="35" t="str">
        <f>IF(AND(ISNUMBER(I262),ISNUMBER(J262)),IF(I262=J262,"",IF(INT(ROUND('参数'!$C$7/(ABS(I262-J262)*IF(N(G262)&gt;0,G262,1)+2*(I262*IF(N(G262)&gt;0,G262,1)*'参数'!$C$12+'参数'!$C$13+'参数'!$C$14*IF(N(G262)&gt;0,G262,1)))/IF(N(H262)&gt;0,H262,1),6))*IF(N(H262)&gt;0,H262,1)&gt;0,INT(ROUND('参数'!$C$7/(ABS(I262-J262)*IF(N(G262)&gt;0,G262,1)+2*(I262*IF(N(G262)&gt;0,G262,1)*'参数'!$C$12+'参数'!$C$13+'参数'!$C$14*IF(N(G262)&gt;0,G262,1)))/IF(N(H262)&gt;0,H262,1),6))*IF(N(H262)&gt;0,H262,1),"预算不足，这笔不做")),"")</f>
        <v/>
      </c>
      <c r="N262" s="36" t="n"/>
      <c r="O262" s="20" t="str">
        <f>IF(AND(ISNUMBER(I262),ISNUMBER(J262),ISNUMBER(N262)),IF(AND(I262&lt;&gt;J262,N262&gt;0),ABS(I262-J262)*N262*IF(N(G262)&gt;0,G262,1),""),"")</f>
        <v/>
      </c>
      <c r="P262" s="31" t="n"/>
      <c r="Q262" s="32" t="n"/>
      <c r="R262" s="37" t="str">
        <f>IF(N(U262)&gt;0,SUMPRODUCT(LARGE(('成交明细'!$A$5:$A$804=A262)*('成交明细'!$D$5:$D$804=IF(F262="空","卖","买"))*'成交明细'!$B$5:$B$804,COUNTIFS('成交明细'!$A$5:$A$804,A262,'成交明细'!$D$5:$D$804,IF(F262="空","卖","买")))),"")</f>
        <v/>
      </c>
      <c r="S262" s="37" t="str">
        <f>IF(AND(N(U262)&gt;0,N(W262)&gt;=N(U262)),SUMPRODUCT(MAX(('成交明细'!$A$5:$A$804=A262)*('成交明细'!$D$5:$D$804=IF(F262="空","买","卖"))*'成交明细'!$B$5:$B$804)),"")</f>
        <v/>
      </c>
      <c r="T262" s="38" t="str">
        <f>IF(N(U262)=0,"",IF(SUMPRODUCT(('成交明细'!$A$5:$A$804=A262)*('成交明细'!$D$5:$D$804=IF(F262="空","卖","买"))*ISNUMBER('成交明细'!$C$5:$C$804))=0,"没填时间",IFERROR(VLOOKUP(MOD(SUMPRODUCT(LARGE(('成交明细'!$A$5:$A$804=A262)*('成交明细'!$D$5:$D$804=IF(F262="空","卖","买"))*('成交明细'!$B$5:$B$804+'成交明细'!$C$5:$C$804),COUNTIFS('成交明细'!$A$5:$A$804,A262,'成交明细'!$D$5:$D$804,IF(F262="空","卖","买")))),1),'参数'!$B$39:$C$48,2,TRUE),"")))</f>
        <v/>
      </c>
      <c r="U262" s="35" t="str">
        <f>IF(A262="","",SUMIFS('成交明细'!$F$5:$F$804,'成交明细'!$A$5:$A$804,A262,'成交明细'!$D$5:$D$804,IF(F262="空","卖","买")))</f>
        <v/>
      </c>
      <c r="V262" s="39" t="str">
        <f>IF(N(U262)&gt;0,SUMIFS('成交明细'!$H$5:$H$804,'成交明细'!$A$5:$A$804,A262,'成交明细'!$D$5:$D$804,IF(F262="空","卖","买"))/U262,"")</f>
        <v/>
      </c>
      <c r="W262" s="35" t="str">
        <f>IF(A262="","",SUMIFS('成交明细'!$F$5:$F$804,'成交明细'!$A$5:$A$804,A262,'成交明细'!$D$5:$D$804,IF(F262="空","买","卖")))</f>
        <v/>
      </c>
      <c r="X262" s="39" t="str">
        <f>IF(N(W262)&gt;0,SUMIFS('成交明细'!$H$5:$H$804,'成交明细'!$A$5:$A$804,A262,'成交明细'!$D$5:$D$804,IF(F262="空","买","卖"))/W262,"")</f>
        <v/>
      </c>
      <c r="Y262" s="40" t="str">
        <f>IF(A262="","",IF(Q262&lt;&gt;"已执行",IF(Q262="","未填执行情况",Q262),IF(N(U262)=0,"待录成交",IF(N(W262)&gt;N(U262),"平仓多于开仓",IF(N(W262)&lt;N(U262),"持仓中","已平仓")))))</f>
        <v/>
      </c>
      <c r="Z262" s="41" t="str">
        <f>IF(N(U262)=0,"",SUMIFS('成交明细'!$L$5:$L$804,'成交明细'!$A$5:$A$804,A262))</f>
        <v/>
      </c>
      <c r="AA262" s="42" t="str">
        <f>IF(Y262&lt;&gt;"已平仓","",(SUMIFS('成交明细'!$H$5:$H$804,'成交明细'!$A$5:$A$804,A262,'成交明细'!$D$5:$D$804,"卖")-SUMIFS('成交明细'!$H$5:$H$804,'成交明细'!$A$5:$A$804,A262,'成交明细'!$D$5:$D$804,"买"))*IF(N(G262)&gt;0,G262,1)-Z262)</f>
        <v/>
      </c>
      <c r="AB262" s="43" t="str">
        <f>IF(AND(Y262="已平仓",ISNUMBER(O262)),(SUMIFS('成交明细'!$H$5:$H$804,'成交明细'!$A$5:$A$804,A262,'成交明细'!$D$5:$D$804,"卖")-SUMIFS('成交明细'!$H$5:$H$804,'成交明细'!$A$5:$A$804,A262,'成交明细'!$D$5:$D$804,"买"))*IF(N(G262)&gt;0,G262,1)/O262,"")</f>
        <v/>
      </c>
      <c r="AC262" s="43" t="str">
        <f>IF(AND(Y262="已平仓",ISNUMBER(O262)),AA262/O262,"")</f>
        <v/>
      </c>
      <c r="AD262" s="44" t="str">
        <f>IF(AND(ISNUMBER(V262),ISNUMBER(I262)),IF(F262="空",I262-V262,V262-I262),"")</f>
        <v/>
      </c>
      <c r="AE262" s="44" t="str">
        <f>IF(OR(NOT(ISNUMBER(AA262)),NOT(ISNUMBER(X262))),"",IF(AA262&lt;0,IF(F262="空",X262-J262,J262-X262),IF(NOT(ISNUMBER(K262)),"",IF(F262="空",X262-K262,K262-X262))))</f>
        <v/>
      </c>
      <c r="AF262" s="32" t="n"/>
      <c r="AG262" s="32" t="n"/>
      <c r="AH262" s="31" t="n"/>
      <c r="AI262" s="43" t="str">
        <f>IF(A262="","",SUM(AC$5:AC262))</f>
        <v/>
      </c>
      <c r="AJ262" s="45" t="str">
        <f>IF(A262="","",MAX(0,MAX(AI$5:AI262))-AI262)</f>
        <v/>
      </c>
    </row>
    <row r="263">
      <c r="A263" s="29" t="n"/>
      <c r="B263" s="30" t="n"/>
      <c r="C263" s="31" t="n"/>
      <c r="D263" s="32" t="n"/>
      <c r="E263" s="32" t="n"/>
      <c r="F263" s="32" t="n"/>
      <c r="G263" s="32" t="n"/>
      <c r="H263" s="32" t="n"/>
      <c r="I263" s="33" t="n"/>
      <c r="J263" s="33" t="n"/>
      <c r="K263" s="33" t="n"/>
      <c r="L263" s="34" t="str">
        <f>IF(AND(ISNUMBER(I263),ISNUMBER(J263),ISNUMBER(K263)),IF(OR(AND(F263="多",I263&gt;J263),AND(F263="空",I263&lt;J263)),ABS(K263-I263)/ABS(I263-J263),"止损方向不对"),"")</f>
        <v/>
      </c>
      <c r="M263" s="35" t="str">
        <f>IF(AND(ISNUMBER(I263),ISNUMBER(J263)),IF(I263=J263,"",IF(INT(ROUND('参数'!$C$7/(ABS(I263-J263)*IF(N(G263)&gt;0,G263,1)+2*(I263*IF(N(G263)&gt;0,G263,1)*'参数'!$C$12+'参数'!$C$13+'参数'!$C$14*IF(N(G263)&gt;0,G263,1)))/IF(N(H263)&gt;0,H263,1),6))*IF(N(H263)&gt;0,H263,1)&gt;0,INT(ROUND('参数'!$C$7/(ABS(I263-J263)*IF(N(G263)&gt;0,G263,1)+2*(I263*IF(N(G263)&gt;0,G263,1)*'参数'!$C$12+'参数'!$C$13+'参数'!$C$14*IF(N(G263)&gt;0,G263,1)))/IF(N(H263)&gt;0,H263,1),6))*IF(N(H263)&gt;0,H263,1),"预算不足，这笔不做")),"")</f>
        <v/>
      </c>
      <c r="N263" s="36" t="n"/>
      <c r="O263" s="20" t="str">
        <f>IF(AND(ISNUMBER(I263),ISNUMBER(J263),ISNUMBER(N263)),IF(AND(I263&lt;&gt;J263,N263&gt;0),ABS(I263-J263)*N263*IF(N(G263)&gt;0,G263,1),""),"")</f>
        <v/>
      </c>
      <c r="P263" s="31" t="n"/>
      <c r="Q263" s="32" t="n"/>
      <c r="R263" s="37" t="str">
        <f>IF(N(U263)&gt;0,SUMPRODUCT(LARGE(('成交明细'!$A$5:$A$804=A263)*('成交明细'!$D$5:$D$804=IF(F263="空","卖","买"))*'成交明细'!$B$5:$B$804,COUNTIFS('成交明细'!$A$5:$A$804,A263,'成交明细'!$D$5:$D$804,IF(F263="空","卖","买")))),"")</f>
        <v/>
      </c>
      <c r="S263" s="37" t="str">
        <f>IF(AND(N(U263)&gt;0,N(W263)&gt;=N(U263)),SUMPRODUCT(MAX(('成交明细'!$A$5:$A$804=A263)*('成交明细'!$D$5:$D$804=IF(F263="空","买","卖"))*'成交明细'!$B$5:$B$804)),"")</f>
        <v/>
      </c>
      <c r="T263" s="38" t="str">
        <f>IF(N(U263)=0,"",IF(SUMPRODUCT(('成交明细'!$A$5:$A$804=A263)*('成交明细'!$D$5:$D$804=IF(F263="空","卖","买"))*ISNUMBER('成交明细'!$C$5:$C$804))=0,"没填时间",IFERROR(VLOOKUP(MOD(SUMPRODUCT(LARGE(('成交明细'!$A$5:$A$804=A263)*('成交明细'!$D$5:$D$804=IF(F263="空","卖","买"))*('成交明细'!$B$5:$B$804+'成交明细'!$C$5:$C$804),COUNTIFS('成交明细'!$A$5:$A$804,A263,'成交明细'!$D$5:$D$804,IF(F263="空","卖","买")))),1),'参数'!$B$39:$C$48,2,TRUE),"")))</f>
        <v/>
      </c>
      <c r="U263" s="35" t="str">
        <f>IF(A263="","",SUMIFS('成交明细'!$F$5:$F$804,'成交明细'!$A$5:$A$804,A263,'成交明细'!$D$5:$D$804,IF(F263="空","卖","买")))</f>
        <v/>
      </c>
      <c r="V263" s="39" t="str">
        <f>IF(N(U263)&gt;0,SUMIFS('成交明细'!$H$5:$H$804,'成交明细'!$A$5:$A$804,A263,'成交明细'!$D$5:$D$804,IF(F263="空","卖","买"))/U263,"")</f>
        <v/>
      </c>
      <c r="W263" s="35" t="str">
        <f>IF(A263="","",SUMIFS('成交明细'!$F$5:$F$804,'成交明细'!$A$5:$A$804,A263,'成交明细'!$D$5:$D$804,IF(F263="空","买","卖")))</f>
        <v/>
      </c>
      <c r="X263" s="39" t="str">
        <f>IF(N(W263)&gt;0,SUMIFS('成交明细'!$H$5:$H$804,'成交明细'!$A$5:$A$804,A263,'成交明细'!$D$5:$D$804,IF(F263="空","买","卖"))/W263,"")</f>
        <v/>
      </c>
      <c r="Y263" s="40" t="str">
        <f>IF(A263="","",IF(Q263&lt;&gt;"已执行",IF(Q263="","未填执行情况",Q263),IF(N(U263)=0,"待录成交",IF(N(W263)&gt;N(U263),"平仓多于开仓",IF(N(W263)&lt;N(U263),"持仓中","已平仓")))))</f>
        <v/>
      </c>
      <c r="Z263" s="41" t="str">
        <f>IF(N(U263)=0,"",SUMIFS('成交明细'!$L$5:$L$804,'成交明细'!$A$5:$A$804,A263))</f>
        <v/>
      </c>
      <c r="AA263" s="42" t="str">
        <f>IF(Y263&lt;&gt;"已平仓","",(SUMIFS('成交明细'!$H$5:$H$804,'成交明细'!$A$5:$A$804,A263,'成交明细'!$D$5:$D$804,"卖")-SUMIFS('成交明细'!$H$5:$H$804,'成交明细'!$A$5:$A$804,A263,'成交明细'!$D$5:$D$804,"买"))*IF(N(G263)&gt;0,G263,1)-Z263)</f>
        <v/>
      </c>
      <c r="AB263" s="43" t="str">
        <f>IF(AND(Y263="已平仓",ISNUMBER(O263)),(SUMIFS('成交明细'!$H$5:$H$804,'成交明细'!$A$5:$A$804,A263,'成交明细'!$D$5:$D$804,"卖")-SUMIFS('成交明细'!$H$5:$H$804,'成交明细'!$A$5:$A$804,A263,'成交明细'!$D$5:$D$804,"买"))*IF(N(G263)&gt;0,G263,1)/O263,"")</f>
        <v/>
      </c>
      <c r="AC263" s="43" t="str">
        <f>IF(AND(Y263="已平仓",ISNUMBER(O263)),AA263/O263,"")</f>
        <v/>
      </c>
      <c r="AD263" s="44" t="str">
        <f>IF(AND(ISNUMBER(V263),ISNUMBER(I263)),IF(F263="空",I263-V263,V263-I263),"")</f>
        <v/>
      </c>
      <c r="AE263" s="44" t="str">
        <f>IF(OR(NOT(ISNUMBER(AA263)),NOT(ISNUMBER(X263))),"",IF(AA263&lt;0,IF(F263="空",X263-J263,J263-X263),IF(NOT(ISNUMBER(K263)),"",IF(F263="空",X263-K263,K263-X263))))</f>
        <v/>
      </c>
      <c r="AF263" s="32" t="n"/>
      <c r="AG263" s="32" t="n"/>
      <c r="AH263" s="31" t="n"/>
      <c r="AI263" s="43" t="str">
        <f>IF(A263="","",SUM(AC$5:AC263))</f>
        <v/>
      </c>
      <c r="AJ263" s="45" t="str">
        <f>IF(A263="","",MAX(0,MAX(AI$5:AI263))-AI263)</f>
        <v/>
      </c>
    </row>
    <row r="264">
      <c r="A264" s="29" t="n"/>
      <c r="B264" s="30" t="n"/>
      <c r="C264" s="31" t="n"/>
      <c r="D264" s="32" t="n"/>
      <c r="E264" s="32" t="n"/>
      <c r="F264" s="32" t="n"/>
      <c r="G264" s="32" t="n"/>
      <c r="H264" s="32" t="n"/>
      <c r="I264" s="33" t="n"/>
      <c r="J264" s="33" t="n"/>
      <c r="K264" s="33" t="n"/>
      <c r="L264" s="34" t="str">
        <f>IF(AND(ISNUMBER(I264),ISNUMBER(J264),ISNUMBER(K264)),IF(OR(AND(F264="多",I264&gt;J264),AND(F264="空",I264&lt;J264)),ABS(K264-I264)/ABS(I264-J264),"止损方向不对"),"")</f>
        <v/>
      </c>
      <c r="M264" s="35" t="str">
        <f>IF(AND(ISNUMBER(I264),ISNUMBER(J264)),IF(I264=J264,"",IF(INT(ROUND('参数'!$C$7/(ABS(I264-J264)*IF(N(G264)&gt;0,G264,1)+2*(I264*IF(N(G264)&gt;0,G264,1)*'参数'!$C$12+'参数'!$C$13+'参数'!$C$14*IF(N(G264)&gt;0,G264,1)))/IF(N(H264)&gt;0,H264,1),6))*IF(N(H264)&gt;0,H264,1)&gt;0,INT(ROUND('参数'!$C$7/(ABS(I264-J264)*IF(N(G264)&gt;0,G264,1)+2*(I264*IF(N(G264)&gt;0,G264,1)*'参数'!$C$12+'参数'!$C$13+'参数'!$C$14*IF(N(G264)&gt;0,G264,1)))/IF(N(H264)&gt;0,H264,1),6))*IF(N(H264)&gt;0,H264,1),"预算不足，这笔不做")),"")</f>
        <v/>
      </c>
      <c r="N264" s="36" t="n"/>
      <c r="O264" s="20" t="str">
        <f>IF(AND(ISNUMBER(I264),ISNUMBER(J264),ISNUMBER(N264)),IF(AND(I264&lt;&gt;J264,N264&gt;0),ABS(I264-J264)*N264*IF(N(G264)&gt;0,G264,1),""),"")</f>
        <v/>
      </c>
      <c r="P264" s="31" t="n"/>
      <c r="Q264" s="32" t="n"/>
      <c r="R264" s="37" t="str">
        <f>IF(N(U264)&gt;0,SUMPRODUCT(LARGE(('成交明细'!$A$5:$A$804=A264)*('成交明细'!$D$5:$D$804=IF(F264="空","卖","买"))*'成交明细'!$B$5:$B$804,COUNTIFS('成交明细'!$A$5:$A$804,A264,'成交明细'!$D$5:$D$804,IF(F264="空","卖","买")))),"")</f>
        <v/>
      </c>
      <c r="S264" s="37" t="str">
        <f>IF(AND(N(U264)&gt;0,N(W264)&gt;=N(U264)),SUMPRODUCT(MAX(('成交明细'!$A$5:$A$804=A264)*('成交明细'!$D$5:$D$804=IF(F264="空","买","卖"))*'成交明细'!$B$5:$B$804)),"")</f>
        <v/>
      </c>
      <c r="T264" s="38" t="str">
        <f>IF(N(U264)=0,"",IF(SUMPRODUCT(('成交明细'!$A$5:$A$804=A264)*('成交明细'!$D$5:$D$804=IF(F264="空","卖","买"))*ISNUMBER('成交明细'!$C$5:$C$804))=0,"没填时间",IFERROR(VLOOKUP(MOD(SUMPRODUCT(LARGE(('成交明细'!$A$5:$A$804=A264)*('成交明细'!$D$5:$D$804=IF(F264="空","卖","买"))*('成交明细'!$B$5:$B$804+'成交明细'!$C$5:$C$804),COUNTIFS('成交明细'!$A$5:$A$804,A264,'成交明细'!$D$5:$D$804,IF(F264="空","卖","买")))),1),'参数'!$B$39:$C$48,2,TRUE),"")))</f>
        <v/>
      </c>
      <c r="U264" s="35" t="str">
        <f>IF(A264="","",SUMIFS('成交明细'!$F$5:$F$804,'成交明细'!$A$5:$A$804,A264,'成交明细'!$D$5:$D$804,IF(F264="空","卖","买")))</f>
        <v/>
      </c>
      <c r="V264" s="39" t="str">
        <f>IF(N(U264)&gt;0,SUMIFS('成交明细'!$H$5:$H$804,'成交明细'!$A$5:$A$804,A264,'成交明细'!$D$5:$D$804,IF(F264="空","卖","买"))/U264,"")</f>
        <v/>
      </c>
      <c r="W264" s="35" t="str">
        <f>IF(A264="","",SUMIFS('成交明细'!$F$5:$F$804,'成交明细'!$A$5:$A$804,A264,'成交明细'!$D$5:$D$804,IF(F264="空","买","卖")))</f>
        <v/>
      </c>
      <c r="X264" s="39" t="str">
        <f>IF(N(W264)&gt;0,SUMIFS('成交明细'!$H$5:$H$804,'成交明细'!$A$5:$A$804,A264,'成交明细'!$D$5:$D$804,IF(F264="空","买","卖"))/W264,"")</f>
        <v/>
      </c>
      <c r="Y264" s="40" t="str">
        <f>IF(A264="","",IF(Q264&lt;&gt;"已执行",IF(Q264="","未填执行情况",Q264),IF(N(U264)=0,"待录成交",IF(N(W264)&gt;N(U264),"平仓多于开仓",IF(N(W264)&lt;N(U264),"持仓中","已平仓")))))</f>
        <v/>
      </c>
      <c r="Z264" s="41" t="str">
        <f>IF(N(U264)=0,"",SUMIFS('成交明细'!$L$5:$L$804,'成交明细'!$A$5:$A$804,A264))</f>
        <v/>
      </c>
      <c r="AA264" s="42" t="str">
        <f>IF(Y264&lt;&gt;"已平仓","",(SUMIFS('成交明细'!$H$5:$H$804,'成交明细'!$A$5:$A$804,A264,'成交明细'!$D$5:$D$804,"卖")-SUMIFS('成交明细'!$H$5:$H$804,'成交明细'!$A$5:$A$804,A264,'成交明细'!$D$5:$D$804,"买"))*IF(N(G264)&gt;0,G264,1)-Z264)</f>
        <v/>
      </c>
      <c r="AB264" s="43" t="str">
        <f>IF(AND(Y264="已平仓",ISNUMBER(O264)),(SUMIFS('成交明细'!$H$5:$H$804,'成交明细'!$A$5:$A$804,A264,'成交明细'!$D$5:$D$804,"卖")-SUMIFS('成交明细'!$H$5:$H$804,'成交明细'!$A$5:$A$804,A264,'成交明细'!$D$5:$D$804,"买"))*IF(N(G264)&gt;0,G264,1)/O264,"")</f>
        <v/>
      </c>
      <c r="AC264" s="43" t="str">
        <f>IF(AND(Y264="已平仓",ISNUMBER(O264)),AA264/O264,"")</f>
        <v/>
      </c>
      <c r="AD264" s="44" t="str">
        <f>IF(AND(ISNUMBER(V264),ISNUMBER(I264)),IF(F264="空",I264-V264,V264-I264),"")</f>
        <v/>
      </c>
      <c r="AE264" s="44" t="str">
        <f>IF(OR(NOT(ISNUMBER(AA264)),NOT(ISNUMBER(X264))),"",IF(AA264&lt;0,IF(F264="空",X264-J264,J264-X264),IF(NOT(ISNUMBER(K264)),"",IF(F264="空",X264-K264,K264-X264))))</f>
        <v/>
      </c>
      <c r="AF264" s="32" t="n"/>
      <c r="AG264" s="32" t="n"/>
      <c r="AH264" s="31" t="n"/>
      <c r="AI264" s="43" t="str">
        <f>IF(A264="","",SUM(AC$5:AC264))</f>
        <v/>
      </c>
      <c r="AJ264" s="45" t="str">
        <f>IF(A264="","",MAX(0,MAX(AI$5:AI264))-AI264)</f>
        <v/>
      </c>
    </row>
    <row r="265">
      <c r="A265" s="29" t="n"/>
      <c r="B265" s="30" t="n"/>
      <c r="C265" s="31" t="n"/>
      <c r="D265" s="32" t="n"/>
      <c r="E265" s="32" t="n"/>
      <c r="F265" s="32" t="n"/>
      <c r="G265" s="32" t="n"/>
      <c r="H265" s="32" t="n"/>
      <c r="I265" s="33" t="n"/>
      <c r="J265" s="33" t="n"/>
      <c r="K265" s="33" t="n"/>
      <c r="L265" s="34" t="str">
        <f>IF(AND(ISNUMBER(I265),ISNUMBER(J265),ISNUMBER(K265)),IF(OR(AND(F265="多",I265&gt;J265),AND(F265="空",I265&lt;J265)),ABS(K265-I265)/ABS(I265-J265),"止损方向不对"),"")</f>
        <v/>
      </c>
      <c r="M265" s="35" t="str">
        <f>IF(AND(ISNUMBER(I265),ISNUMBER(J265)),IF(I265=J265,"",IF(INT(ROUND('参数'!$C$7/(ABS(I265-J265)*IF(N(G265)&gt;0,G265,1)+2*(I265*IF(N(G265)&gt;0,G265,1)*'参数'!$C$12+'参数'!$C$13+'参数'!$C$14*IF(N(G265)&gt;0,G265,1)))/IF(N(H265)&gt;0,H265,1),6))*IF(N(H265)&gt;0,H265,1)&gt;0,INT(ROUND('参数'!$C$7/(ABS(I265-J265)*IF(N(G265)&gt;0,G265,1)+2*(I265*IF(N(G265)&gt;0,G265,1)*'参数'!$C$12+'参数'!$C$13+'参数'!$C$14*IF(N(G265)&gt;0,G265,1)))/IF(N(H265)&gt;0,H265,1),6))*IF(N(H265)&gt;0,H265,1),"预算不足，这笔不做")),"")</f>
        <v/>
      </c>
      <c r="N265" s="36" t="n"/>
      <c r="O265" s="20" t="str">
        <f>IF(AND(ISNUMBER(I265),ISNUMBER(J265),ISNUMBER(N265)),IF(AND(I265&lt;&gt;J265,N265&gt;0),ABS(I265-J265)*N265*IF(N(G265)&gt;0,G265,1),""),"")</f>
        <v/>
      </c>
      <c r="P265" s="31" t="n"/>
      <c r="Q265" s="32" t="n"/>
      <c r="R265" s="37" t="str">
        <f>IF(N(U265)&gt;0,SUMPRODUCT(LARGE(('成交明细'!$A$5:$A$804=A265)*('成交明细'!$D$5:$D$804=IF(F265="空","卖","买"))*'成交明细'!$B$5:$B$804,COUNTIFS('成交明细'!$A$5:$A$804,A265,'成交明细'!$D$5:$D$804,IF(F265="空","卖","买")))),"")</f>
        <v/>
      </c>
      <c r="S265" s="37" t="str">
        <f>IF(AND(N(U265)&gt;0,N(W265)&gt;=N(U265)),SUMPRODUCT(MAX(('成交明细'!$A$5:$A$804=A265)*('成交明细'!$D$5:$D$804=IF(F265="空","买","卖"))*'成交明细'!$B$5:$B$804)),"")</f>
        <v/>
      </c>
      <c r="T265" s="38" t="str">
        <f>IF(N(U265)=0,"",IF(SUMPRODUCT(('成交明细'!$A$5:$A$804=A265)*('成交明细'!$D$5:$D$804=IF(F265="空","卖","买"))*ISNUMBER('成交明细'!$C$5:$C$804))=0,"没填时间",IFERROR(VLOOKUP(MOD(SUMPRODUCT(LARGE(('成交明细'!$A$5:$A$804=A265)*('成交明细'!$D$5:$D$804=IF(F265="空","卖","买"))*('成交明细'!$B$5:$B$804+'成交明细'!$C$5:$C$804),COUNTIFS('成交明细'!$A$5:$A$804,A265,'成交明细'!$D$5:$D$804,IF(F265="空","卖","买")))),1),'参数'!$B$39:$C$48,2,TRUE),"")))</f>
        <v/>
      </c>
      <c r="U265" s="35" t="str">
        <f>IF(A265="","",SUMIFS('成交明细'!$F$5:$F$804,'成交明细'!$A$5:$A$804,A265,'成交明细'!$D$5:$D$804,IF(F265="空","卖","买")))</f>
        <v/>
      </c>
      <c r="V265" s="39" t="str">
        <f>IF(N(U265)&gt;0,SUMIFS('成交明细'!$H$5:$H$804,'成交明细'!$A$5:$A$804,A265,'成交明细'!$D$5:$D$804,IF(F265="空","卖","买"))/U265,"")</f>
        <v/>
      </c>
      <c r="W265" s="35" t="str">
        <f>IF(A265="","",SUMIFS('成交明细'!$F$5:$F$804,'成交明细'!$A$5:$A$804,A265,'成交明细'!$D$5:$D$804,IF(F265="空","买","卖")))</f>
        <v/>
      </c>
      <c r="X265" s="39" t="str">
        <f>IF(N(W265)&gt;0,SUMIFS('成交明细'!$H$5:$H$804,'成交明细'!$A$5:$A$804,A265,'成交明细'!$D$5:$D$804,IF(F265="空","买","卖"))/W265,"")</f>
        <v/>
      </c>
      <c r="Y265" s="40" t="str">
        <f>IF(A265="","",IF(Q265&lt;&gt;"已执行",IF(Q265="","未填执行情况",Q265),IF(N(U265)=0,"待录成交",IF(N(W265)&gt;N(U265),"平仓多于开仓",IF(N(W265)&lt;N(U265),"持仓中","已平仓")))))</f>
        <v/>
      </c>
      <c r="Z265" s="41" t="str">
        <f>IF(N(U265)=0,"",SUMIFS('成交明细'!$L$5:$L$804,'成交明细'!$A$5:$A$804,A265))</f>
        <v/>
      </c>
      <c r="AA265" s="42" t="str">
        <f>IF(Y265&lt;&gt;"已平仓","",(SUMIFS('成交明细'!$H$5:$H$804,'成交明细'!$A$5:$A$804,A265,'成交明细'!$D$5:$D$804,"卖")-SUMIFS('成交明细'!$H$5:$H$804,'成交明细'!$A$5:$A$804,A265,'成交明细'!$D$5:$D$804,"买"))*IF(N(G265)&gt;0,G265,1)-Z265)</f>
        <v/>
      </c>
      <c r="AB265" s="43" t="str">
        <f>IF(AND(Y265="已平仓",ISNUMBER(O265)),(SUMIFS('成交明细'!$H$5:$H$804,'成交明细'!$A$5:$A$804,A265,'成交明细'!$D$5:$D$804,"卖")-SUMIFS('成交明细'!$H$5:$H$804,'成交明细'!$A$5:$A$804,A265,'成交明细'!$D$5:$D$804,"买"))*IF(N(G265)&gt;0,G265,1)/O265,"")</f>
        <v/>
      </c>
      <c r="AC265" s="43" t="str">
        <f>IF(AND(Y265="已平仓",ISNUMBER(O265)),AA265/O265,"")</f>
        <v/>
      </c>
      <c r="AD265" s="44" t="str">
        <f>IF(AND(ISNUMBER(V265),ISNUMBER(I265)),IF(F265="空",I265-V265,V265-I265),"")</f>
        <v/>
      </c>
      <c r="AE265" s="44" t="str">
        <f>IF(OR(NOT(ISNUMBER(AA265)),NOT(ISNUMBER(X265))),"",IF(AA265&lt;0,IF(F265="空",X265-J265,J265-X265),IF(NOT(ISNUMBER(K265)),"",IF(F265="空",X265-K265,K265-X265))))</f>
        <v/>
      </c>
      <c r="AF265" s="32" t="n"/>
      <c r="AG265" s="32" t="n"/>
      <c r="AH265" s="31" t="n"/>
      <c r="AI265" s="43" t="str">
        <f>IF(A265="","",SUM(AC$5:AC265))</f>
        <v/>
      </c>
      <c r="AJ265" s="45" t="str">
        <f>IF(A265="","",MAX(0,MAX(AI$5:AI265))-AI265)</f>
        <v/>
      </c>
    </row>
    <row r="266">
      <c r="A266" s="29" t="n"/>
      <c r="B266" s="30" t="n"/>
      <c r="C266" s="31" t="n"/>
      <c r="D266" s="32" t="n"/>
      <c r="E266" s="32" t="n"/>
      <c r="F266" s="32" t="n"/>
      <c r="G266" s="32" t="n"/>
      <c r="H266" s="32" t="n"/>
      <c r="I266" s="33" t="n"/>
      <c r="J266" s="33" t="n"/>
      <c r="K266" s="33" t="n"/>
      <c r="L266" s="34" t="str">
        <f>IF(AND(ISNUMBER(I266),ISNUMBER(J266),ISNUMBER(K266)),IF(OR(AND(F266="多",I266&gt;J266),AND(F266="空",I266&lt;J266)),ABS(K266-I266)/ABS(I266-J266),"止损方向不对"),"")</f>
        <v/>
      </c>
      <c r="M266" s="35" t="str">
        <f>IF(AND(ISNUMBER(I266),ISNUMBER(J266)),IF(I266=J266,"",IF(INT(ROUND('参数'!$C$7/(ABS(I266-J266)*IF(N(G266)&gt;0,G266,1)+2*(I266*IF(N(G266)&gt;0,G266,1)*'参数'!$C$12+'参数'!$C$13+'参数'!$C$14*IF(N(G266)&gt;0,G266,1)))/IF(N(H266)&gt;0,H266,1),6))*IF(N(H266)&gt;0,H266,1)&gt;0,INT(ROUND('参数'!$C$7/(ABS(I266-J266)*IF(N(G266)&gt;0,G266,1)+2*(I266*IF(N(G266)&gt;0,G266,1)*'参数'!$C$12+'参数'!$C$13+'参数'!$C$14*IF(N(G266)&gt;0,G266,1)))/IF(N(H266)&gt;0,H266,1),6))*IF(N(H266)&gt;0,H266,1),"预算不足，这笔不做")),"")</f>
        <v/>
      </c>
      <c r="N266" s="36" t="n"/>
      <c r="O266" s="20" t="str">
        <f>IF(AND(ISNUMBER(I266),ISNUMBER(J266),ISNUMBER(N266)),IF(AND(I266&lt;&gt;J266,N266&gt;0),ABS(I266-J266)*N266*IF(N(G266)&gt;0,G266,1),""),"")</f>
        <v/>
      </c>
      <c r="P266" s="31" t="n"/>
      <c r="Q266" s="32" t="n"/>
      <c r="R266" s="37" t="str">
        <f>IF(N(U266)&gt;0,SUMPRODUCT(LARGE(('成交明细'!$A$5:$A$804=A266)*('成交明细'!$D$5:$D$804=IF(F266="空","卖","买"))*'成交明细'!$B$5:$B$804,COUNTIFS('成交明细'!$A$5:$A$804,A266,'成交明细'!$D$5:$D$804,IF(F266="空","卖","买")))),"")</f>
        <v/>
      </c>
      <c r="S266" s="37" t="str">
        <f>IF(AND(N(U266)&gt;0,N(W266)&gt;=N(U266)),SUMPRODUCT(MAX(('成交明细'!$A$5:$A$804=A266)*('成交明细'!$D$5:$D$804=IF(F266="空","买","卖"))*'成交明细'!$B$5:$B$804)),"")</f>
        <v/>
      </c>
      <c r="T266" s="38" t="str">
        <f>IF(N(U266)=0,"",IF(SUMPRODUCT(('成交明细'!$A$5:$A$804=A266)*('成交明细'!$D$5:$D$804=IF(F266="空","卖","买"))*ISNUMBER('成交明细'!$C$5:$C$804))=0,"没填时间",IFERROR(VLOOKUP(MOD(SUMPRODUCT(LARGE(('成交明细'!$A$5:$A$804=A266)*('成交明细'!$D$5:$D$804=IF(F266="空","卖","买"))*('成交明细'!$B$5:$B$804+'成交明细'!$C$5:$C$804),COUNTIFS('成交明细'!$A$5:$A$804,A266,'成交明细'!$D$5:$D$804,IF(F266="空","卖","买")))),1),'参数'!$B$39:$C$48,2,TRUE),"")))</f>
        <v/>
      </c>
      <c r="U266" s="35" t="str">
        <f>IF(A266="","",SUMIFS('成交明细'!$F$5:$F$804,'成交明细'!$A$5:$A$804,A266,'成交明细'!$D$5:$D$804,IF(F266="空","卖","买")))</f>
        <v/>
      </c>
      <c r="V266" s="39" t="str">
        <f>IF(N(U266)&gt;0,SUMIFS('成交明细'!$H$5:$H$804,'成交明细'!$A$5:$A$804,A266,'成交明细'!$D$5:$D$804,IF(F266="空","卖","买"))/U266,"")</f>
        <v/>
      </c>
      <c r="W266" s="35" t="str">
        <f>IF(A266="","",SUMIFS('成交明细'!$F$5:$F$804,'成交明细'!$A$5:$A$804,A266,'成交明细'!$D$5:$D$804,IF(F266="空","买","卖")))</f>
        <v/>
      </c>
      <c r="X266" s="39" t="str">
        <f>IF(N(W266)&gt;0,SUMIFS('成交明细'!$H$5:$H$804,'成交明细'!$A$5:$A$804,A266,'成交明细'!$D$5:$D$804,IF(F266="空","买","卖"))/W266,"")</f>
        <v/>
      </c>
      <c r="Y266" s="40" t="str">
        <f>IF(A266="","",IF(Q266&lt;&gt;"已执行",IF(Q266="","未填执行情况",Q266),IF(N(U266)=0,"待录成交",IF(N(W266)&gt;N(U266),"平仓多于开仓",IF(N(W266)&lt;N(U266),"持仓中","已平仓")))))</f>
        <v/>
      </c>
      <c r="Z266" s="41" t="str">
        <f>IF(N(U266)=0,"",SUMIFS('成交明细'!$L$5:$L$804,'成交明细'!$A$5:$A$804,A266))</f>
        <v/>
      </c>
      <c r="AA266" s="42" t="str">
        <f>IF(Y266&lt;&gt;"已平仓","",(SUMIFS('成交明细'!$H$5:$H$804,'成交明细'!$A$5:$A$804,A266,'成交明细'!$D$5:$D$804,"卖")-SUMIFS('成交明细'!$H$5:$H$804,'成交明细'!$A$5:$A$804,A266,'成交明细'!$D$5:$D$804,"买"))*IF(N(G266)&gt;0,G266,1)-Z266)</f>
        <v/>
      </c>
      <c r="AB266" s="43" t="str">
        <f>IF(AND(Y266="已平仓",ISNUMBER(O266)),(SUMIFS('成交明细'!$H$5:$H$804,'成交明细'!$A$5:$A$804,A266,'成交明细'!$D$5:$D$804,"卖")-SUMIFS('成交明细'!$H$5:$H$804,'成交明细'!$A$5:$A$804,A266,'成交明细'!$D$5:$D$804,"买"))*IF(N(G266)&gt;0,G266,1)/O266,"")</f>
        <v/>
      </c>
      <c r="AC266" s="43" t="str">
        <f>IF(AND(Y266="已平仓",ISNUMBER(O266)),AA266/O266,"")</f>
        <v/>
      </c>
      <c r="AD266" s="44" t="str">
        <f>IF(AND(ISNUMBER(V266),ISNUMBER(I266)),IF(F266="空",I266-V266,V266-I266),"")</f>
        <v/>
      </c>
      <c r="AE266" s="44" t="str">
        <f>IF(OR(NOT(ISNUMBER(AA266)),NOT(ISNUMBER(X266))),"",IF(AA266&lt;0,IF(F266="空",X266-J266,J266-X266),IF(NOT(ISNUMBER(K266)),"",IF(F266="空",X266-K266,K266-X266))))</f>
        <v/>
      </c>
      <c r="AF266" s="32" t="n"/>
      <c r="AG266" s="32" t="n"/>
      <c r="AH266" s="31" t="n"/>
      <c r="AI266" s="43" t="str">
        <f>IF(A266="","",SUM(AC$5:AC266))</f>
        <v/>
      </c>
      <c r="AJ266" s="45" t="str">
        <f>IF(A266="","",MAX(0,MAX(AI$5:AI266))-AI266)</f>
        <v/>
      </c>
    </row>
    <row r="267">
      <c r="A267" s="29" t="n"/>
      <c r="B267" s="30" t="n"/>
      <c r="C267" s="31" t="n"/>
      <c r="D267" s="32" t="n"/>
      <c r="E267" s="32" t="n"/>
      <c r="F267" s="32" t="n"/>
      <c r="G267" s="32" t="n"/>
      <c r="H267" s="32" t="n"/>
      <c r="I267" s="33" t="n"/>
      <c r="J267" s="33" t="n"/>
      <c r="K267" s="33" t="n"/>
      <c r="L267" s="34" t="str">
        <f>IF(AND(ISNUMBER(I267),ISNUMBER(J267),ISNUMBER(K267)),IF(OR(AND(F267="多",I267&gt;J267),AND(F267="空",I267&lt;J267)),ABS(K267-I267)/ABS(I267-J267),"止损方向不对"),"")</f>
        <v/>
      </c>
      <c r="M267" s="35" t="str">
        <f>IF(AND(ISNUMBER(I267),ISNUMBER(J267)),IF(I267=J267,"",IF(INT(ROUND('参数'!$C$7/(ABS(I267-J267)*IF(N(G267)&gt;0,G267,1)+2*(I267*IF(N(G267)&gt;0,G267,1)*'参数'!$C$12+'参数'!$C$13+'参数'!$C$14*IF(N(G267)&gt;0,G267,1)))/IF(N(H267)&gt;0,H267,1),6))*IF(N(H267)&gt;0,H267,1)&gt;0,INT(ROUND('参数'!$C$7/(ABS(I267-J267)*IF(N(G267)&gt;0,G267,1)+2*(I267*IF(N(G267)&gt;0,G267,1)*'参数'!$C$12+'参数'!$C$13+'参数'!$C$14*IF(N(G267)&gt;0,G267,1)))/IF(N(H267)&gt;0,H267,1),6))*IF(N(H267)&gt;0,H267,1),"预算不足，这笔不做")),"")</f>
        <v/>
      </c>
      <c r="N267" s="36" t="n"/>
      <c r="O267" s="20" t="str">
        <f>IF(AND(ISNUMBER(I267),ISNUMBER(J267),ISNUMBER(N267)),IF(AND(I267&lt;&gt;J267,N267&gt;0),ABS(I267-J267)*N267*IF(N(G267)&gt;0,G267,1),""),"")</f>
        <v/>
      </c>
      <c r="P267" s="31" t="n"/>
      <c r="Q267" s="32" t="n"/>
      <c r="R267" s="37" t="str">
        <f>IF(N(U267)&gt;0,SUMPRODUCT(LARGE(('成交明细'!$A$5:$A$804=A267)*('成交明细'!$D$5:$D$804=IF(F267="空","卖","买"))*'成交明细'!$B$5:$B$804,COUNTIFS('成交明细'!$A$5:$A$804,A267,'成交明细'!$D$5:$D$804,IF(F267="空","卖","买")))),"")</f>
        <v/>
      </c>
      <c r="S267" s="37" t="str">
        <f>IF(AND(N(U267)&gt;0,N(W267)&gt;=N(U267)),SUMPRODUCT(MAX(('成交明细'!$A$5:$A$804=A267)*('成交明细'!$D$5:$D$804=IF(F267="空","买","卖"))*'成交明细'!$B$5:$B$804)),"")</f>
        <v/>
      </c>
      <c r="T267" s="38" t="str">
        <f>IF(N(U267)=0,"",IF(SUMPRODUCT(('成交明细'!$A$5:$A$804=A267)*('成交明细'!$D$5:$D$804=IF(F267="空","卖","买"))*ISNUMBER('成交明细'!$C$5:$C$804))=0,"没填时间",IFERROR(VLOOKUP(MOD(SUMPRODUCT(LARGE(('成交明细'!$A$5:$A$804=A267)*('成交明细'!$D$5:$D$804=IF(F267="空","卖","买"))*('成交明细'!$B$5:$B$804+'成交明细'!$C$5:$C$804),COUNTIFS('成交明细'!$A$5:$A$804,A267,'成交明细'!$D$5:$D$804,IF(F267="空","卖","买")))),1),'参数'!$B$39:$C$48,2,TRUE),"")))</f>
        <v/>
      </c>
      <c r="U267" s="35" t="str">
        <f>IF(A267="","",SUMIFS('成交明细'!$F$5:$F$804,'成交明细'!$A$5:$A$804,A267,'成交明细'!$D$5:$D$804,IF(F267="空","卖","买")))</f>
        <v/>
      </c>
      <c r="V267" s="39" t="str">
        <f>IF(N(U267)&gt;0,SUMIFS('成交明细'!$H$5:$H$804,'成交明细'!$A$5:$A$804,A267,'成交明细'!$D$5:$D$804,IF(F267="空","卖","买"))/U267,"")</f>
        <v/>
      </c>
      <c r="W267" s="35" t="str">
        <f>IF(A267="","",SUMIFS('成交明细'!$F$5:$F$804,'成交明细'!$A$5:$A$804,A267,'成交明细'!$D$5:$D$804,IF(F267="空","买","卖")))</f>
        <v/>
      </c>
      <c r="X267" s="39" t="str">
        <f>IF(N(W267)&gt;0,SUMIFS('成交明细'!$H$5:$H$804,'成交明细'!$A$5:$A$804,A267,'成交明细'!$D$5:$D$804,IF(F267="空","买","卖"))/W267,"")</f>
        <v/>
      </c>
      <c r="Y267" s="40" t="str">
        <f>IF(A267="","",IF(Q267&lt;&gt;"已执行",IF(Q267="","未填执行情况",Q267),IF(N(U267)=0,"待录成交",IF(N(W267)&gt;N(U267),"平仓多于开仓",IF(N(W267)&lt;N(U267),"持仓中","已平仓")))))</f>
        <v/>
      </c>
      <c r="Z267" s="41" t="str">
        <f>IF(N(U267)=0,"",SUMIFS('成交明细'!$L$5:$L$804,'成交明细'!$A$5:$A$804,A267))</f>
        <v/>
      </c>
      <c r="AA267" s="42" t="str">
        <f>IF(Y267&lt;&gt;"已平仓","",(SUMIFS('成交明细'!$H$5:$H$804,'成交明细'!$A$5:$A$804,A267,'成交明细'!$D$5:$D$804,"卖")-SUMIFS('成交明细'!$H$5:$H$804,'成交明细'!$A$5:$A$804,A267,'成交明细'!$D$5:$D$804,"买"))*IF(N(G267)&gt;0,G267,1)-Z267)</f>
        <v/>
      </c>
      <c r="AB267" s="43" t="str">
        <f>IF(AND(Y267="已平仓",ISNUMBER(O267)),(SUMIFS('成交明细'!$H$5:$H$804,'成交明细'!$A$5:$A$804,A267,'成交明细'!$D$5:$D$804,"卖")-SUMIFS('成交明细'!$H$5:$H$804,'成交明细'!$A$5:$A$804,A267,'成交明细'!$D$5:$D$804,"买"))*IF(N(G267)&gt;0,G267,1)/O267,"")</f>
        <v/>
      </c>
      <c r="AC267" s="43" t="str">
        <f>IF(AND(Y267="已平仓",ISNUMBER(O267)),AA267/O267,"")</f>
        <v/>
      </c>
      <c r="AD267" s="44" t="str">
        <f>IF(AND(ISNUMBER(V267),ISNUMBER(I267)),IF(F267="空",I267-V267,V267-I267),"")</f>
        <v/>
      </c>
      <c r="AE267" s="44" t="str">
        <f>IF(OR(NOT(ISNUMBER(AA267)),NOT(ISNUMBER(X267))),"",IF(AA267&lt;0,IF(F267="空",X267-J267,J267-X267),IF(NOT(ISNUMBER(K267)),"",IF(F267="空",X267-K267,K267-X267))))</f>
        <v/>
      </c>
      <c r="AF267" s="32" t="n"/>
      <c r="AG267" s="32" t="n"/>
      <c r="AH267" s="31" t="n"/>
      <c r="AI267" s="43" t="str">
        <f>IF(A267="","",SUM(AC$5:AC267))</f>
        <v/>
      </c>
      <c r="AJ267" s="45" t="str">
        <f>IF(A267="","",MAX(0,MAX(AI$5:AI267))-AI267)</f>
        <v/>
      </c>
    </row>
    <row r="268">
      <c r="A268" s="29" t="n"/>
      <c r="B268" s="30" t="n"/>
      <c r="C268" s="31" t="n"/>
      <c r="D268" s="32" t="n"/>
      <c r="E268" s="32" t="n"/>
      <c r="F268" s="32" t="n"/>
      <c r="G268" s="32" t="n"/>
      <c r="H268" s="32" t="n"/>
      <c r="I268" s="33" t="n"/>
      <c r="J268" s="33" t="n"/>
      <c r="K268" s="33" t="n"/>
      <c r="L268" s="34" t="str">
        <f>IF(AND(ISNUMBER(I268),ISNUMBER(J268),ISNUMBER(K268)),IF(OR(AND(F268="多",I268&gt;J268),AND(F268="空",I268&lt;J268)),ABS(K268-I268)/ABS(I268-J268),"止损方向不对"),"")</f>
        <v/>
      </c>
      <c r="M268" s="35" t="str">
        <f>IF(AND(ISNUMBER(I268),ISNUMBER(J268)),IF(I268=J268,"",IF(INT(ROUND('参数'!$C$7/(ABS(I268-J268)*IF(N(G268)&gt;0,G268,1)+2*(I268*IF(N(G268)&gt;0,G268,1)*'参数'!$C$12+'参数'!$C$13+'参数'!$C$14*IF(N(G268)&gt;0,G268,1)))/IF(N(H268)&gt;0,H268,1),6))*IF(N(H268)&gt;0,H268,1)&gt;0,INT(ROUND('参数'!$C$7/(ABS(I268-J268)*IF(N(G268)&gt;0,G268,1)+2*(I268*IF(N(G268)&gt;0,G268,1)*'参数'!$C$12+'参数'!$C$13+'参数'!$C$14*IF(N(G268)&gt;0,G268,1)))/IF(N(H268)&gt;0,H268,1),6))*IF(N(H268)&gt;0,H268,1),"预算不足，这笔不做")),"")</f>
        <v/>
      </c>
      <c r="N268" s="36" t="n"/>
      <c r="O268" s="20" t="str">
        <f>IF(AND(ISNUMBER(I268),ISNUMBER(J268),ISNUMBER(N268)),IF(AND(I268&lt;&gt;J268,N268&gt;0),ABS(I268-J268)*N268*IF(N(G268)&gt;0,G268,1),""),"")</f>
        <v/>
      </c>
      <c r="P268" s="31" t="n"/>
      <c r="Q268" s="32" t="n"/>
      <c r="R268" s="37" t="str">
        <f>IF(N(U268)&gt;0,SUMPRODUCT(LARGE(('成交明细'!$A$5:$A$804=A268)*('成交明细'!$D$5:$D$804=IF(F268="空","卖","买"))*'成交明细'!$B$5:$B$804,COUNTIFS('成交明细'!$A$5:$A$804,A268,'成交明细'!$D$5:$D$804,IF(F268="空","卖","买")))),"")</f>
        <v/>
      </c>
      <c r="S268" s="37" t="str">
        <f>IF(AND(N(U268)&gt;0,N(W268)&gt;=N(U268)),SUMPRODUCT(MAX(('成交明细'!$A$5:$A$804=A268)*('成交明细'!$D$5:$D$804=IF(F268="空","买","卖"))*'成交明细'!$B$5:$B$804)),"")</f>
        <v/>
      </c>
      <c r="T268" s="38" t="str">
        <f>IF(N(U268)=0,"",IF(SUMPRODUCT(('成交明细'!$A$5:$A$804=A268)*('成交明细'!$D$5:$D$804=IF(F268="空","卖","买"))*ISNUMBER('成交明细'!$C$5:$C$804))=0,"没填时间",IFERROR(VLOOKUP(MOD(SUMPRODUCT(LARGE(('成交明细'!$A$5:$A$804=A268)*('成交明细'!$D$5:$D$804=IF(F268="空","卖","买"))*('成交明细'!$B$5:$B$804+'成交明细'!$C$5:$C$804),COUNTIFS('成交明细'!$A$5:$A$804,A268,'成交明细'!$D$5:$D$804,IF(F268="空","卖","买")))),1),'参数'!$B$39:$C$48,2,TRUE),"")))</f>
        <v/>
      </c>
      <c r="U268" s="35" t="str">
        <f>IF(A268="","",SUMIFS('成交明细'!$F$5:$F$804,'成交明细'!$A$5:$A$804,A268,'成交明细'!$D$5:$D$804,IF(F268="空","卖","买")))</f>
        <v/>
      </c>
      <c r="V268" s="39" t="str">
        <f>IF(N(U268)&gt;0,SUMIFS('成交明细'!$H$5:$H$804,'成交明细'!$A$5:$A$804,A268,'成交明细'!$D$5:$D$804,IF(F268="空","卖","买"))/U268,"")</f>
        <v/>
      </c>
      <c r="W268" s="35" t="str">
        <f>IF(A268="","",SUMIFS('成交明细'!$F$5:$F$804,'成交明细'!$A$5:$A$804,A268,'成交明细'!$D$5:$D$804,IF(F268="空","买","卖")))</f>
        <v/>
      </c>
      <c r="X268" s="39" t="str">
        <f>IF(N(W268)&gt;0,SUMIFS('成交明细'!$H$5:$H$804,'成交明细'!$A$5:$A$804,A268,'成交明细'!$D$5:$D$804,IF(F268="空","买","卖"))/W268,"")</f>
        <v/>
      </c>
      <c r="Y268" s="40" t="str">
        <f>IF(A268="","",IF(Q268&lt;&gt;"已执行",IF(Q268="","未填执行情况",Q268),IF(N(U268)=0,"待录成交",IF(N(W268)&gt;N(U268),"平仓多于开仓",IF(N(W268)&lt;N(U268),"持仓中","已平仓")))))</f>
        <v/>
      </c>
      <c r="Z268" s="41" t="str">
        <f>IF(N(U268)=0,"",SUMIFS('成交明细'!$L$5:$L$804,'成交明细'!$A$5:$A$804,A268))</f>
        <v/>
      </c>
      <c r="AA268" s="42" t="str">
        <f>IF(Y268&lt;&gt;"已平仓","",(SUMIFS('成交明细'!$H$5:$H$804,'成交明细'!$A$5:$A$804,A268,'成交明细'!$D$5:$D$804,"卖")-SUMIFS('成交明细'!$H$5:$H$804,'成交明细'!$A$5:$A$804,A268,'成交明细'!$D$5:$D$804,"买"))*IF(N(G268)&gt;0,G268,1)-Z268)</f>
        <v/>
      </c>
      <c r="AB268" s="43" t="str">
        <f>IF(AND(Y268="已平仓",ISNUMBER(O268)),(SUMIFS('成交明细'!$H$5:$H$804,'成交明细'!$A$5:$A$804,A268,'成交明细'!$D$5:$D$804,"卖")-SUMIFS('成交明细'!$H$5:$H$804,'成交明细'!$A$5:$A$804,A268,'成交明细'!$D$5:$D$804,"买"))*IF(N(G268)&gt;0,G268,1)/O268,"")</f>
        <v/>
      </c>
      <c r="AC268" s="43" t="str">
        <f>IF(AND(Y268="已平仓",ISNUMBER(O268)),AA268/O268,"")</f>
        <v/>
      </c>
      <c r="AD268" s="44" t="str">
        <f>IF(AND(ISNUMBER(V268),ISNUMBER(I268)),IF(F268="空",I268-V268,V268-I268),"")</f>
        <v/>
      </c>
      <c r="AE268" s="44" t="str">
        <f>IF(OR(NOT(ISNUMBER(AA268)),NOT(ISNUMBER(X268))),"",IF(AA268&lt;0,IF(F268="空",X268-J268,J268-X268),IF(NOT(ISNUMBER(K268)),"",IF(F268="空",X268-K268,K268-X268))))</f>
        <v/>
      </c>
      <c r="AF268" s="32" t="n"/>
      <c r="AG268" s="32" t="n"/>
      <c r="AH268" s="31" t="n"/>
      <c r="AI268" s="43" t="str">
        <f>IF(A268="","",SUM(AC$5:AC268))</f>
        <v/>
      </c>
      <c r="AJ268" s="45" t="str">
        <f>IF(A268="","",MAX(0,MAX(AI$5:AI268))-AI268)</f>
        <v/>
      </c>
    </row>
    <row r="269">
      <c r="A269" s="29" t="n"/>
      <c r="B269" s="30" t="n"/>
      <c r="C269" s="31" t="n"/>
      <c r="D269" s="32" t="n"/>
      <c r="E269" s="32" t="n"/>
      <c r="F269" s="32" t="n"/>
      <c r="G269" s="32" t="n"/>
      <c r="H269" s="32" t="n"/>
      <c r="I269" s="33" t="n"/>
      <c r="J269" s="33" t="n"/>
      <c r="K269" s="33" t="n"/>
      <c r="L269" s="34" t="str">
        <f>IF(AND(ISNUMBER(I269),ISNUMBER(J269),ISNUMBER(K269)),IF(OR(AND(F269="多",I269&gt;J269),AND(F269="空",I269&lt;J269)),ABS(K269-I269)/ABS(I269-J269),"止损方向不对"),"")</f>
        <v/>
      </c>
      <c r="M269" s="35" t="str">
        <f>IF(AND(ISNUMBER(I269),ISNUMBER(J269)),IF(I269=J269,"",IF(INT(ROUND('参数'!$C$7/(ABS(I269-J269)*IF(N(G269)&gt;0,G269,1)+2*(I269*IF(N(G269)&gt;0,G269,1)*'参数'!$C$12+'参数'!$C$13+'参数'!$C$14*IF(N(G269)&gt;0,G269,1)))/IF(N(H269)&gt;0,H269,1),6))*IF(N(H269)&gt;0,H269,1)&gt;0,INT(ROUND('参数'!$C$7/(ABS(I269-J269)*IF(N(G269)&gt;0,G269,1)+2*(I269*IF(N(G269)&gt;0,G269,1)*'参数'!$C$12+'参数'!$C$13+'参数'!$C$14*IF(N(G269)&gt;0,G269,1)))/IF(N(H269)&gt;0,H269,1),6))*IF(N(H269)&gt;0,H269,1),"预算不足，这笔不做")),"")</f>
        <v/>
      </c>
      <c r="N269" s="36" t="n"/>
      <c r="O269" s="20" t="str">
        <f>IF(AND(ISNUMBER(I269),ISNUMBER(J269),ISNUMBER(N269)),IF(AND(I269&lt;&gt;J269,N269&gt;0),ABS(I269-J269)*N269*IF(N(G269)&gt;0,G269,1),""),"")</f>
        <v/>
      </c>
      <c r="P269" s="31" t="n"/>
      <c r="Q269" s="32" t="n"/>
      <c r="R269" s="37" t="str">
        <f>IF(N(U269)&gt;0,SUMPRODUCT(LARGE(('成交明细'!$A$5:$A$804=A269)*('成交明细'!$D$5:$D$804=IF(F269="空","卖","买"))*'成交明细'!$B$5:$B$804,COUNTIFS('成交明细'!$A$5:$A$804,A269,'成交明细'!$D$5:$D$804,IF(F269="空","卖","买")))),"")</f>
        <v/>
      </c>
      <c r="S269" s="37" t="str">
        <f>IF(AND(N(U269)&gt;0,N(W269)&gt;=N(U269)),SUMPRODUCT(MAX(('成交明细'!$A$5:$A$804=A269)*('成交明细'!$D$5:$D$804=IF(F269="空","买","卖"))*'成交明细'!$B$5:$B$804)),"")</f>
        <v/>
      </c>
      <c r="T269" s="38" t="str">
        <f>IF(N(U269)=0,"",IF(SUMPRODUCT(('成交明细'!$A$5:$A$804=A269)*('成交明细'!$D$5:$D$804=IF(F269="空","卖","买"))*ISNUMBER('成交明细'!$C$5:$C$804))=0,"没填时间",IFERROR(VLOOKUP(MOD(SUMPRODUCT(LARGE(('成交明细'!$A$5:$A$804=A269)*('成交明细'!$D$5:$D$804=IF(F269="空","卖","买"))*('成交明细'!$B$5:$B$804+'成交明细'!$C$5:$C$804),COUNTIFS('成交明细'!$A$5:$A$804,A269,'成交明细'!$D$5:$D$804,IF(F269="空","卖","买")))),1),'参数'!$B$39:$C$48,2,TRUE),"")))</f>
        <v/>
      </c>
      <c r="U269" s="35" t="str">
        <f>IF(A269="","",SUMIFS('成交明细'!$F$5:$F$804,'成交明细'!$A$5:$A$804,A269,'成交明细'!$D$5:$D$804,IF(F269="空","卖","买")))</f>
        <v/>
      </c>
      <c r="V269" s="39" t="str">
        <f>IF(N(U269)&gt;0,SUMIFS('成交明细'!$H$5:$H$804,'成交明细'!$A$5:$A$804,A269,'成交明细'!$D$5:$D$804,IF(F269="空","卖","买"))/U269,"")</f>
        <v/>
      </c>
      <c r="W269" s="35" t="str">
        <f>IF(A269="","",SUMIFS('成交明细'!$F$5:$F$804,'成交明细'!$A$5:$A$804,A269,'成交明细'!$D$5:$D$804,IF(F269="空","买","卖")))</f>
        <v/>
      </c>
      <c r="X269" s="39" t="str">
        <f>IF(N(W269)&gt;0,SUMIFS('成交明细'!$H$5:$H$804,'成交明细'!$A$5:$A$804,A269,'成交明细'!$D$5:$D$804,IF(F269="空","买","卖"))/W269,"")</f>
        <v/>
      </c>
      <c r="Y269" s="40" t="str">
        <f>IF(A269="","",IF(Q269&lt;&gt;"已执行",IF(Q269="","未填执行情况",Q269),IF(N(U269)=0,"待录成交",IF(N(W269)&gt;N(U269),"平仓多于开仓",IF(N(W269)&lt;N(U269),"持仓中","已平仓")))))</f>
        <v/>
      </c>
      <c r="Z269" s="41" t="str">
        <f>IF(N(U269)=0,"",SUMIFS('成交明细'!$L$5:$L$804,'成交明细'!$A$5:$A$804,A269))</f>
        <v/>
      </c>
      <c r="AA269" s="42" t="str">
        <f>IF(Y269&lt;&gt;"已平仓","",(SUMIFS('成交明细'!$H$5:$H$804,'成交明细'!$A$5:$A$804,A269,'成交明细'!$D$5:$D$804,"卖")-SUMIFS('成交明细'!$H$5:$H$804,'成交明细'!$A$5:$A$804,A269,'成交明细'!$D$5:$D$804,"买"))*IF(N(G269)&gt;0,G269,1)-Z269)</f>
        <v/>
      </c>
      <c r="AB269" s="43" t="str">
        <f>IF(AND(Y269="已平仓",ISNUMBER(O269)),(SUMIFS('成交明细'!$H$5:$H$804,'成交明细'!$A$5:$A$804,A269,'成交明细'!$D$5:$D$804,"卖")-SUMIFS('成交明细'!$H$5:$H$804,'成交明细'!$A$5:$A$804,A269,'成交明细'!$D$5:$D$804,"买"))*IF(N(G269)&gt;0,G269,1)/O269,"")</f>
        <v/>
      </c>
      <c r="AC269" s="43" t="str">
        <f>IF(AND(Y269="已平仓",ISNUMBER(O269)),AA269/O269,"")</f>
        <v/>
      </c>
      <c r="AD269" s="44" t="str">
        <f>IF(AND(ISNUMBER(V269),ISNUMBER(I269)),IF(F269="空",I269-V269,V269-I269),"")</f>
        <v/>
      </c>
      <c r="AE269" s="44" t="str">
        <f>IF(OR(NOT(ISNUMBER(AA269)),NOT(ISNUMBER(X269))),"",IF(AA269&lt;0,IF(F269="空",X269-J269,J269-X269),IF(NOT(ISNUMBER(K269)),"",IF(F269="空",X269-K269,K269-X269))))</f>
        <v/>
      </c>
      <c r="AF269" s="32" t="n"/>
      <c r="AG269" s="32" t="n"/>
      <c r="AH269" s="31" t="n"/>
      <c r="AI269" s="43" t="str">
        <f>IF(A269="","",SUM(AC$5:AC269))</f>
        <v/>
      </c>
      <c r="AJ269" s="45" t="str">
        <f>IF(A269="","",MAX(0,MAX(AI$5:AI269))-AI269)</f>
        <v/>
      </c>
    </row>
    <row r="270">
      <c r="A270" s="29" t="n"/>
      <c r="B270" s="30" t="n"/>
      <c r="C270" s="31" t="n"/>
      <c r="D270" s="32" t="n"/>
      <c r="E270" s="32" t="n"/>
      <c r="F270" s="32" t="n"/>
      <c r="G270" s="32" t="n"/>
      <c r="H270" s="32" t="n"/>
      <c r="I270" s="33" t="n"/>
      <c r="J270" s="33" t="n"/>
      <c r="K270" s="33" t="n"/>
      <c r="L270" s="34" t="str">
        <f>IF(AND(ISNUMBER(I270),ISNUMBER(J270),ISNUMBER(K270)),IF(OR(AND(F270="多",I270&gt;J270),AND(F270="空",I270&lt;J270)),ABS(K270-I270)/ABS(I270-J270),"止损方向不对"),"")</f>
        <v/>
      </c>
      <c r="M270" s="35" t="str">
        <f>IF(AND(ISNUMBER(I270),ISNUMBER(J270)),IF(I270=J270,"",IF(INT(ROUND('参数'!$C$7/(ABS(I270-J270)*IF(N(G270)&gt;0,G270,1)+2*(I270*IF(N(G270)&gt;0,G270,1)*'参数'!$C$12+'参数'!$C$13+'参数'!$C$14*IF(N(G270)&gt;0,G270,1)))/IF(N(H270)&gt;0,H270,1),6))*IF(N(H270)&gt;0,H270,1)&gt;0,INT(ROUND('参数'!$C$7/(ABS(I270-J270)*IF(N(G270)&gt;0,G270,1)+2*(I270*IF(N(G270)&gt;0,G270,1)*'参数'!$C$12+'参数'!$C$13+'参数'!$C$14*IF(N(G270)&gt;0,G270,1)))/IF(N(H270)&gt;0,H270,1),6))*IF(N(H270)&gt;0,H270,1),"预算不足，这笔不做")),"")</f>
        <v/>
      </c>
      <c r="N270" s="36" t="n"/>
      <c r="O270" s="20" t="str">
        <f>IF(AND(ISNUMBER(I270),ISNUMBER(J270),ISNUMBER(N270)),IF(AND(I270&lt;&gt;J270,N270&gt;0),ABS(I270-J270)*N270*IF(N(G270)&gt;0,G270,1),""),"")</f>
        <v/>
      </c>
      <c r="P270" s="31" t="n"/>
      <c r="Q270" s="32" t="n"/>
      <c r="R270" s="37" t="str">
        <f>IF(N(U270)&gt;0,SUMPRODUCT(LARGE(('成交明细'!$A$5:$A$804=A270)*('成交明细'!$D$5:$D$804=IF(F270="空","卖","买"))*'成交明细'!$B$5:$B$804,COUNTIFS('成交明细'!$A$5:$A$804,A270,'成交明细'!$D$5:$D$804,IF(F270="空","卖","买")))),"")</f>
        <v/>
      </c>
      <c r="S270" s="37" t="str">
        <f>IF(AND(N(U270)&gt;0,N(W270)&gt;=N(U270)),SUMPRODUCT(MAX(('成交明细'!$A$5:$A$804=A270)*('成交明细'!$D$5:$D$804=IF(F270="空","买","卖"))*'成交明细'!$B$5:$B$804)),"")</f>
        <v/>
      </c>
      <c r="T270" s="38" t="str">
        <f>IF(N(U270)=0,"",IF(SUMPRODUCT(('成交明细'!$A$5:$A$804=A270)*('成交明细'!$D$5:$D$804=IF(F270="空","卖","买"))*ISNUMBER('成交明细'!$C$5:$C$804))=0,"没填时间",IFERROR(VLOOKUP(MOD(SUMPRODUCT(LARGE(('成交明细'!$A$5:$A$804=A270)*('成交明细'!$D$5:$D$804=IF(F270="空","卖","买"))*('成交明细'!$B$5:$B$804+'成交明细'!$C$5:$C$804),COUNTIFS('成交明细'!$A$5:$A$804,A270,'成交明细'!$D$5:$D$804,IF(F270="空","卖","买")))),1),'参数'!$B$39:$C$48,2,TRUE),"")))</f>
        <v/>
      </c>
      <c r="U270" s="35" t="str">
        <f>IF(A270="","",SUMIFS('成交明细'!$F$5:$F$804,'成交明细'!$A$5:$A$804,A270,'成交明细'!$D$5:$D$804,IF(F270="空","卖","买")))</f>
        <v/>
      </c>
      <c r="V270" s="39" t="str">
        <f>IF(N(U270)&gt;0,SUMIFS('成交明细'!$H$5:$H$804,'成交明细'!$A$5:$A$804,A270,'成交明细'!$D$5:$D$804,IF(F270="空","卖","买"))/U270,"")</f>
        <v/>
      </c>
      <c r="W270" s="35" t="str">
        <f>IF(A270="","",SUMIFS('成交明细'!$F$5:$F$804,'成交明细'!$A$5:$A$804,A270,'成交明细'!$D$5:$D$804,IF(F270="空","买","卖")))</f>
        <v/>
      </c>
      <c r="X270" s="39" t="str">
        <f>IF(N(W270)&gt;0,SUMIFS('成交明细'!$H$5:$H$804,'成交明细'!$A$5:$A$804,A270,'成交明细'!$D$5:$D$804,IF(F270="空","买","卖"))/W270,"")</f>
        <v/>
      </c>
      <c r="Y270" s="40" t="str">
        <f>IF(A270="","",IF(Q270&lt;&gt;"已执行",IF(Q270="","未填执行情况",Q270),IF(N(U270)=0,"待录成交",IF(N(W270)&gt;N(U270),"平仓多于开仓",IF(N(W270)&lt;N(U270),"持仓中","已平仓")))))</f>
        <v/>
      </c>
      <c r="Z270" s="41" t="str">
        <f>IF(N(U270)=0,"",SUMIFS('成交明细'!$L$5:$L$804,'成交明细'!$A$5:$A$804,A270))</f>
        <v/>
      </c>
      <c r="AA270" s="42" t="str">
        <f>IF(Y270&lt;&gt;"已平仓","",(SUMIFS('成交明细'!$H$5:$H$804,'成交明细'!$A$5:$A$804,A270,'成交明细'!$D$5:$D$804,"卖")-SUMIFS('成交明细'!$H$5:$H$804,'成交明细'!$A$5:$A$804,A270,'成交明细'!$D$5:$D$804,"买"))*IF(N(G270)&gt;0,G270,1)-Z270)</f>
        <v/>
      </c>
      <c r="AB270" s="43" t="str">
        <f>IF(AND(Y270="已平仓",ISNUMBER(O270)),(SUMIFS('成交明细'!$H$5:$H$804,'成交明细'!$A$5:$A$804,A270,'成交明细'!$D$5:$D$804,"卖")-SUMIFS('成交明细'!$H$5:$H$804,'成交明细'!$A$5:$A$804,A270,'成交明细'!$D$5:$D$804,"买"))*IF(N(G270)&gt;0,G270,1)/O270,"")</f>
        <v/>
      </c>
      <c r="AC270" s="43" t="str">
        <f>IF(AND(Y270="已平仓",ISNUMBER(O270)),AA270/O270,"")</f>
        <v/>
      </c>
      <c r="AD270" s="44" t="str">
        <f>IF(AND(ISNUMBER(V270),ISNUMBER(I270)),IF(F270="空",I270-V270,V270-I270),"")</f>
        <v/>
      </c>
      <c r="AE270" s="44" t="str">
        <f>IF(OR(NOT(ISNUMBER(AA270)),NOT(ISNUMBER(X270))),"",IF(AA270&lt;0,IF(F270="空",X270-J270,J270-X270),IF(NOT(ISNUMBER(K270)),"",IF(F270="空",X270-K270,K270-X270))))</f>
        <v/>
      </c>
      <c r="AF270" s="32" t="n"/>
      <c r="AG270" s="32" t="n"/>
      <c r="AH270" s="31" t="n"/>
      <c r="AI270" s="43" t="str">
        <f>IF(A270="","",SUM(AC$5:AC270))</f>
        <v/>
      </c>
      <c r="AJ270" s="45" t="str">
        <f>IF(A270="","",MAX(0,MAX(AI$5:AI270))-AI270)</f>
        <v/>
      </c>
    </row>
    <row r="271">
      <c r="A271" s="29" t="n"/>
      <c r="B271" s="30" t="n"/>
      <c r="C271" s="31" t="n"/>
      <c r="D271" s="32" t="n"/>
      <c r="E271" s="32" t="n"/>
      <c r="F271" s="32" t="n"/>
      <c r="G271" s="32" t="n"/>
      <c r="H271" s="32" t="n"/>
      <c r="I271" s="33" t="n"/>
      <c r="J271" s="33" t="n"/>
      <c r="K271" s="33" t="n"/>
      <c r="L271" s="34" t="str">
        <f>IF(AND(ISNUMBER(I271),ISNUMBER(J271),ISNUMBER(K271)),IF(OR(AND(F271="多",I271&gt;J271),AND(F271="空",I271&lt;J271)),ABS(K271-I271)/ABS(I271-J271),"止损方向不对"),"")</f>
        <v/>
      </c>
      <c r="M271" s="35" t="str">
        <f>IF(AND(ISNUMBER(I271),ISNUMBER(J271)),IF(I271=J271,"",IF(INT(ROUND('参数'!$C$7/(ABS(I271-J271)*IF(N(G271)&gt;0,G271,1)+2*(I271*IF(N(G271)&gt;0,G271,1)*'参数'!$C$12+'参数'!$C$13+'参数'!$C$14*IF(N(G271)&gt;0,G271,1)))/IF(N(H271)&gt;0,H271,1),6))*IF(N(H271)&gt;0,H271,1)&gt;0,INT(ROUND('参数'!$C$7/(ABS(I271-J271)*IF(N(G271)&gt;0,G271,1)+2*(I271*IF(N(G271)&gt;0,G271,1)*'参数'!$C$12+'参数'!$C$13+'参数'!$C$14*IF(N(G271)&gt;0,G271,1)))/IF(N(H271)&gt;0,H271,1),6))*IF(N(H271)&gt;0,H271,1),"预算不足，这笔不做")),"")</f>
        <v/>
      </c>
      <c r="N271" s="36" t="n"/>
      <c r="O271" s="20" t="str">
        <f>IF(AND(ISNUMBER(I271),ISNUMBER(J271),ISNUMBER(N271)),IF(AND(I271&lt;&gt;J271,N271&gt;0),ABS(I271-J271)*N271*IF(N(G271)&gt;0,G271,1),""),"")</f>
        <v/>
      </c>
      <c r="P271" s="31" t="n"/>
      <c r="Q271" s="32" t="n"/>
      <c r="R271" s="37" t="str">
        <f>IF(N(U271)&gt;0,SUMPRODUCT(LARGE(('成交明细'!$A$5:$A$804=A271)*('成交明细'!$D$5:$D$804=IF(F271="空","卖","买"))*'成交明细'!$B$5:$B$804,COUNTIFS('成交明细'!$A$5:$A$804,A271,'成交明细'!$D$5:$D$804,IF(F271="空","卖","买")))),"")</f>
        <v/>
      </c>
      <c r="S271" s="37" t="str">
        <f>IF(AND(N(U271)&gt;0,N(W271)&gt;=N(U271)),SUMPRODUCT(MAX(('成交明细'!$A$5:$A$804=A271)*('成交明细'!$D$5:$D$804=IF(F271="空","买","卖"))*'成交明细'!$B$5:$B$804)),"")</f>
        <v/>
      </c>
      <c r="T271" s="38" t="str">
        <f>IF(N(U271)=0,"",IF(SUMPRODUCT(('成交明细'!$A$5:$A$804=A271)*('成交明细'!$D$5:$D$804=IF(F271="空","卖","买"))*ISNUMBER('成交明细'!$C$5:$C$804))=0,"没填时间",IFERROR(VLOOKUP(MOD(SUMPRODUCT(LARGE(('成交明细'!$A$5:$A$804=A271)*('成交明细'!$D$5:$D$804=IF(F271="空","卖","买"))*('成交明细'!$B$5:$B$804+'成交明细'!$C$5:$C$804),COUNTIFS('成交明细'!$A$5:$A$804,A271,'成交明细'!$D$5:$D$804,IF(F271="空","卖","买")))),1),'参数'!$B$39:$C$48,2,TRUE),"")))</f>
        <v/>
      </c>
      <c r="U271" s="35" t="str">
        <f>IF(A271="","",SUMIFS('成交明细'!$F$5:$F$804,'成交明细'!$A$5:$A$804,A271,'成交明细'!$D$5:$D$804,IF(F271="空","卖","买")))</f>
        <v/>
      </c>
      <c r="V271" s="39" t="str">
        <f>IF(N(U271)&gt;0,SUMIFS('成交明细'!$H$5:$H$804,'成交明细'!$A$5:$A$804,A271,'成交明细'!$D$5:$D$804,IF(F271="空","卖","买"))/U271,"")</f>
        <v/>
      </c>
      <c r="W271" s="35" t="str">
        <f>IF(A271="","",SUMIFS('成交明细'!$F$5:$F$804,'成交明细'!$A$5:$A$804,A271,'成交明细'!$D$5:$D$804,IF(F271="空","买","卖")))</f>
        <v/>
      </c>
      <c r="X271" s="39" t="str">
        <f>IF(N(W271)&gt;0,SUMIFS('成交明细'!$H$5:$H$804,'成交明细'!$A$5:$A$804,A271,'成交明细'!$D$5:$D$804,IF(F271="空","买","卖"))/W271,"")</f>
        <v/>
      </c>
      <c r="Y271" s="40" t="str">
        <f>IF(A271="","",IF(Q271&lt;&gt;"已执行",IF(Q271="","未填执行情况",Q271),IF(N(U271)=0,"待录成交",IF(N(W271)&gt;N(U271),"平仓多于开仓",IF(N(W271)&lt;N(U271),"持仓中","已平仓")))))</f>
        <v/>
      </c>
      <c r="Z271" s="41" t="str">
        <f>IF(N(U271)=0,"",SUMIFS('成交明细'!$L$5:$L$804,'成交明细'!$A$5:$A$804,A271))</f>
        <v/>
      </c>
      <c r="AA271" s="42" t="str">
        <f>IF(Y271&lt;&gt;"已平仓","",(SUMIFS('成交明细'!$H$5:$H$804,'成交明细'!$A$5:$A$804,A271,'成交明细'!$D$5:$D$804,"卖")-SUMIFS('成交明细'!$H$5:$H$804,'成交明细'!$A$5:$A$804,A271,'成交明细'!$D$5:$D$804,"买"))*IF(N(G271)&gt;0,G271,1)-Z271)</f>
        <v/>
      </c>
      <c r="AB271" s="43" t="str">
        <f>IF(AND(Y271="已平仓",ISNUMBER(O271)),(SUMIFS('成交明细'!$H$5:$H$804,'成交明细'!$A$5:$A$804,A271,'成交明细'!$D$5:$D$804,"卖")-SUMIFS('成交明细'!$H$5:$H$804,'成交明细'!$A$5:$A$804,A271,'成交明细'!$D$5:$D$804,"买"))*IF(N(G271)&gt;0,G271,1)/O271,"")</f>
        <v/>
      </c>
      <c r="AC271" s="43" t="str">
        <f>IF(AND(Y271="已平仓",ISNUMBER(O271)),AA271/O271,"")</f>
        <v/>
      </c>
      <c r="AD271" s="44" t="str">
        <f>IF(AND(ISNUMBER(V271),ISNUMBER(I271)),IF(F271="空",I271-V271,V271-I271),"")</f>
        <v/>
      </c>
      <c r="AE271" s="44" t="str">
        <f>IF(OR(NOT(ISNUMBER(AA271)),NOT(ISNUMBER(X271))),"",IF(AA271&lt;0,IF(F271="空",X271-J271,J271-X271),IF(NOT(ISNUMBER(K271)),"",IF(F271="空",X271-K271,K271-X271))))</f>
        <v/>
      </c>
      <c r="AF271" s="32" t="n"/>
      <c r="AG271" s="32" t="n"/>
      <c r="AH271" s="31" t="n"/>
      <c r="AI271" s="43" t="str">
        <f>IF(A271="","",SUM(AC$5:AC271))</f>
        <v/>
      </c>
      <c r="AJ271" s="45" t="str">
        <f>IF(A271="","",MAX(0,MAX(AI$5:AI271))-AI271)</f>
        <v/>
      </c>
    </row>
    <row r="272">
      <c r="A272" s="29" t="n"/>
      <c r="B272" s="30" t="n"/>
      <c r="C272" s="31" t="n"/>
      <c r="D272" s="32" t="n"/>
      <c r="E272" s="32" t="n"/>
      <c r="F272" s="32" t="n"/>
      <c r="G272" s="32" t="n"/>
      <c r="H272" s="32" t="n"/>
      <c r="I272" s="33" t="n"/>
      <c r="J272" s="33" t="n"/>
      <c r="K272" s="33" t="n"/>
      <c r="L272" s="34" t="str">
        <f>IF(AND(ISNUMBER(I272),ISNUMBER(J272),ISNUMBER(K272)),IF(OR(AND(F272="多",I272&gt;J272),AND(F272="空",I272&lt;J272)),ABS(K272-I272)/ABS(I272-J272),"止损方向不对"),"")</f>
        <v/>
      </c>
      <c r="M272" s="35" t="str">
        <f>IF(AND(ISNUMBER(I272),ISNUMBER(J272)),IF(I272=J272,"",IF(INT(ROUND('参数'!$C$7/(ABS(I272-J272)*IF(N(G272)&gt;0,G272,1)+2*(I272*IF(N(G272)&gt;0,G272,1)*'参数'!$C$12+'参数'!$C$13+'参数'!$C$14*IF(N(G272)&gt;0,G272,1)))/IF(N(H272)&gt;0,H272,1),6))*IF(N(H272)&gt;0,H272,1)&gt;0,INT(ROUND('参数'!$C$7/(ABS(I272-J272)*IF(N(G272)&gt;0,G272,1)+2*(I272*IF(N(G272)&gt;0,G272,1)*'参数'!$C$12+'参数'!$C$13+'参数'!$C$14*IF(N(G272)&gt;0,G272,1)))/IF(N(H272)&gt;0,H272,1),6))*IF(N(H272)&gt;0,H272,1),"预算不足，这笔不做")),"")</f>
        <v/>
      </c>
      <c r="N272" s="36" t="n"/>
      <c r="O272" s="20" t="str">
        <f>IF(AND(ISNUMBER(I272),ISNUMBER(J272),ISNUMBER(N272)),IF(AND(I272&lt;&gt;J272,N272&gt;0),ABS(I272-J272)*N272*IF(N(G272)&gt;0,G272,1),""),"")</f>
        <v/>
      </c>
      <c r="P272" s="31" t="n"/>
      <c r="Q272" s="32" t="n"/>
      <c r="R272" s="37" t="str">
        <f>IF(N(U272)&gt;0,SUMPRODUCT(LARGE(('成交明细'!$A$5:$A$804=A272)*('成交明细'!$D$5:$D$804=IF(F272="空","卖","买"))*'成交明细'!$B$5:$B$804,COUNTIFS('成交明细'!$A$5:$A$804,A272,'成交明细'!$D$5:$D$804,IF(F272="空","卖","买")))),"")</f>
        <v/>
      </c>
      <c r="S272" s="37" t="str">
        <f>IF(AND(N(U272)&gt;0,N(W272)&gt;=N(U272)),SUMPRODUCT(MAX(('成交明细'!$A$5:$A$804=A272)*('成交明细'!$D$5:$D$804=IF(F272="空","买","卖"))*'成交明细'!$B$5:$B$804)),"")</f>
        <v/>
      </c>
      <c r="T272" s="38" t="str">
        <f>IF(N(U272)=0,"",IF(SUMPRODUCT(('成交明细'!$A$5:$A$804=A272)*('成交明细'!$D$5:$D$804=IF(F272="空","卖","买"))*ISNUMBER('成交明细'!$C$5:$C$804))=0,"没填时间",IFERROR(VLOOKUP(MOD(SUMPRODUCT(LARGE(('成交明细'!$A$5:$A$804=A272)*('成交明细'!$D$5:$D$804=IF(F272="空","卖","买"))*('成交明细'!$B$5:$B$804+'成交明细'!$C$5:$C$804),COUNTIFS('成交明细'!$A$5:$A$804,A272,'成交明细'!$D$5:$D$804,IF(F272="空","卖","买")))),1),'参数'!$B$39:$C$48,2,TRUE),"")))</f>
        <v/>
      </c>
      <c r="U272" s="35" t="str">
        <f>IF(A272="","",SUMIFS('成交明细'!$F$5:$F$804,'成交明细'!$A$5:$A$804,A272,'成交明细'!$D$5:$D$804,IF(F272="空","卖","买")))</f>
        <v/>
      </c>
      <c r="V272" s="39" t="str">
        <f>IF(N(U272)&gt;0,SUMIFS('成交明细'!$H$5:$H$804,'成交明细'!$A$5:$A$804,A272,'成交明细'!$D$5:$D$804,IF(F272="空","卖","买"))/U272,"")</f>
        <v/>
      </c>
      <c r="W272" s="35" t="str">
        <f>IF(A272="","",SUMIFS('成交明细'!$F$5:$F$804,'成交明细'!$A$5:$A$804,A272,'成交明细'!$D$5:$D$804,IF(F272="空","买","卖")))</f>
        <v/>
      </c>
      <c r="X272" s="39" t="str">
        <f>IF(N(W272)&gt;0,SUMIFS('成交明细'!$H$5:$H$804,'成交明细'!$A$5:$A$804,A272,'成交明细'!$D$5:$D$804,IF(F272="空","买","卖"))/W272,"")</f>
        <v/>
      </c>
      <c r="Y272" s="40" t="str">
        <f>IF(A272="","",IF(Q272&lt;&gt;"已执行",IF(Q272="","未填执行情况",Q272),IF(N(U272)=0,"待录成交",IF(N(W272)&gt;N(U272),"平仓多于开仓",IF(N(W272)&lt;N(U272),"持仓中","已平仓")))))</f>
        <v/>
      </c>
      <c r="Z272" s="41" t="str">
        <f>IF(N(U272)=0,"",SUMIFS('成交明细'!$L$5:$L$804,'成交明细'!$A$5:$A$804,A272))</f>
        <v/>
      </c>
      <c r="AA272" s="42" t="str">
        <f>IF(Y272&lt;&gt;"已平仓","",(SUMIFS('成交明细'!$H$5:$H$804,'成交明细'!$A$5:$A$804,A272,'成交明细'!$D$5:$D$804,"卖")-SUMIFS('成交明细'!$H$5:$H$804,'成交明细'!$A$5:$A$804,A272,'成交明细'!$D$5:$D$804,"买"))*IF(N(G272)&gt;0,G272,1)-Z272)</f>
        <v/>
      </c>
      <c r="AB272" s="43" t="str">
        <f>IF(AND(Y272="已平仓",ISNUMBER(O272)),(SUMIFS('成交明细'!$H$5:$H$804,'成交明细'!$A$5:$A$804,A272,'成交明细'!$D$5:$D$804,"卖")-SUMIFS('成交明细'!$H$5:$H$804,'成交明细'!$A$5:$A$804,A272,'成交明细'!$D$5:$D$804,"买"))*IF(N(G272)&gt;0,G272,1)/O272,"")</f>
        <v/>
      </c>
      <c r="AC272" s="43" t="str">
        <f>IF(AND(Y272="已平仓",ISNUMBER(O272)),AA272/O272,"")</f>
        <v/>
      </c>
      <c r="AD272" s="44" t="str">
        <f>IF(AND(ISNUMBER(V272),ISNUMBER(I272)),IF(F272="空",I272-V272,V272-I272),"")</f>
        <v/>
      </c>
      <c r="AE272" s="44" t="str">
        <f>IF(OR(NOT(ISNUMBER(AA272)),NOT(ISNUMBER(X272))),"",IF(AA272&lt;0,IF(F272="空",X272-J272,J272-X272),IF(NOT(ISNUMBER(K272)),"",IF(F272="空",X272-K272,K272-X272))))</f>
        <v/>
      </c>
      <c r="AF272" s="32" t="n"/>
      <c r="AG272" s="32" t="n"/>
      <c r="AH272" s="31" t="n"/>
      <c r="AI272" s="43" t="str">
        <f>IF(A272="","",SUM(AC$5:AC272))</f>
        <v/>
      </c>
      <c r="AJ272" s="45" t="str">
        <f>IF(A272="","",MAX(0,MAX(AI$5:AI272))-AI272)</f>
        <v/>
      </c>
    </row>
    <row r="273">
      <c r="A273" s="29" t="n"/>
      <c r="B273" s="30" t="n"/>
      <c r="C273" s="31" t="n"/>
      <c r="D273" s="32" t="n"/>
      <c r="E273" s="32" t="n"/>
      <c r="F273" s="32" t="n"/>
      <c r="G273" s="32" t="n"/>
      <c r="H273" s="32" t="n"/>
      <c r="I273" s="33" t="n"/>
      <c r="J273" s="33" t="n"/>
      <c r="K273" s="33" t="n"/>
      <c r="L273" s="34" t="str">
        <f>IF(AND(ISNUMBER(I273),ISNUMBER(J273),ISNUMBER(K273)),IF(OR(AND(F273="多",I273&gt;J273),AND(F273="空",I273&lt;J273)),ABS(K273-I273)/ABS(I273-J273),"止损方向不对"),"")</f>
        <v/>
      </c>
      <c r="M273" s="35" t="str">
        <f>IF(AND(ISNUMBER(I273),ISNUMBER(J273)),IF(I273=J273,"",IF(INT(ROUND('参数'!$C$7/(ABS(I273-J273)*IF(N(G273)&gt;0,G273,1)+2*(I273*IF(N(G273)&gt;0,G273,1)*'参数'!$C$12+'参数'!$C$13+'参数'!$C$14*IF(N(G273)&gt;0,G273,1)))/IF(N(H273)&gt;0,H273,1),6))*IF(N(H273)&gt;0,H273,1)&gt;0,INT(ROUND('参数'!$C$7/(ABS(I273-J273)*IF(N(G273)&gt;0,G273,1)+2*(I273*IF(N(G273)&gt;0,G273,1)*'参数'!$C$12+'参数'!$C$13+'参数'!$C$14*IF(N(G273)&gt;0,G273,1)))/IF(N(H273)&gt;0,H273,1),6))*IF(N(H273)&gt;0,H273,1),"预算不足，这笔不做")),"")</f>
        <v/>
      </c>
      <c r="N273" s="36" t="n"/>
      <c r="O273" s="20" t="str">
        <f>IF(AND(ISNUMBER(I273),ISNUMBER(J273),ISNUMBER(N273)),IF(AND(I273&lt;&gt;J273,N273&gt;0),ABS(I273-J273)*N273*IF(N(G273)&gt;0,G273,1),""),"")</f>
        <v/>
      </c>
      <c r="P273" s="31" t="n"/>
      <c r="Q273" s="32" t="n"/>
      <c r="R273" s="37" t="str">
        <f>IF(N(U273)&gt;0,SUMPRODUCT(LARGE(('成交明细'!$A$5:$A$804=A273)*('成交明细'!$D$5:$D$804=IF(F273="空","卖","买"))*'成交明细'!$B$5:$B$804,COUNTIFS('成交明细'!$A$5:$A$804,A273,'成交明细'!$D$5:$D$804,IF(F273="空","卖","买")))),"")</f>
        <v/>
      </c>
      <c r="S273" s="37" t="str">
        <f>IF(AND(N(U273)&gt;0,N(W273)&gt;=N(U273)),SUMPRODUCT(MAX(('成交明细'!$A$5:$A$804=A273)*('成交明细'!$D$5:$D$804=IF(F273="空","买","卖"))*'成交明细'!$B$5:$B$804)),"")</f>
        <v/>
      </c>
      <c r="T273" s="38" t="str">
        <f>IF(N(U273)=0,"",IF(SUMPRODUCT(('成交明细'!$A$5:$A$804=A273)*('成交明细'!$D$5:$D$804=IF(F273="空","卖","买"))*ISNUMBER('成交明细'!$C$5:$C$804))=0,"没填时间",IFERROR(VLOOKUP(MOD(SUMPRODUCT(LARGE(('成交明细'!$A$5:$A$804=A273)*('成交明细'!$D$5:$D$804=IF(F273="空","卖","买"))*('成交明细'!$B$5:$B$804+'成交明细'!$C$5:$C$804),COUNTIFS('成交明细'!$A$5:$A$804,A273,'成交明细'!$D$5:$D$804,IF(F273="空","卖","买")))),1),'参数'!$B$39:$C$48,2,TRUE),"")))</f>
        <v/>
      </c>
      <c r="U273" s="35" t="str">
        <f>IF(A273="","",SUMIFS('成交明细'!$F$5:$F$804,'成交明细'!$A$5:$A$804,A273,'成交明细'!$D$5:$D$804,IF(F273="空","卖","买")))</f>
        <v/>
      </c>
      <c r="V273" s="39" t="str">
        <f>IF(N(U273)&gt;0,SUMIFS('成交明细'!$H$5:$H$804,'成交明细'!$A$5:$A$804,A273,'成交明细'!$D$5:$D$804,IF(F273="空","卖","买"))/U273,"")</f>
        <v/>
      </c>
      <c r="W273" s="35" t="str">
        <f>IF(A273="","",SUMIFS('成交明细'!$F$5:$F$804,'成交明细'!$A$5:$A$804,A273,'成交明细'!$D$5:$D$804,IF(F273="空","买","卖")))</f>
        <v/>
      </c>
      <c r="X273" s="39" t="str">
        <f>IF(N(W273)&gt;0,SUMIFS('成交明细'!$H$5:$H$804,'成交明细'!$A$5:$A$804,A273,'成交明细'!$D$5:$D$804,IF(F273="空","买","卖"))/W273,"")</f>
        <v/>
      </c>
      <c r="Y273" s="40" t="str">
        <f>IF(A273="","",IF(Q273&lt;&gt;"已执行",IF(Q273="","未填执行情况",Q273),IF(N(U273)=0,"待录成交",IF(N(W273)&gt;N(U273),"平仓多于开仓",IF(N(W273)&lt;N(U273),"持仓中","已平仓")))))</f>
        <v/>
      </c>
      <c r="Z273" s="41" t="str">
        <f>IF(N(U273)=0,"",SUMIFS('成交明细'!$L$5:$L$804,'成交明细'!$A$5:$A$804,A273))</f>
        <v/>
      </c>
      <c r="AA273" s="42" t="str">
        <f>IF(Y273&lt;&gt;"已平仓","",(SUMIFS('成交明细'!$H$5:$H$804,'成交明细'!$A$5:$A$804,A273,'成交明细'!$D$5:$D$804,"卖")-SUMIFS('成交明细'!$H$5:$H$804,'成交明细'!$A$5:$A$804,A273,'成交明细'!$D$5:$D$804,"买"))*IF(N(G273)&gt;0,G273,1)-Z273)</f>
        <v/>
      </c>
      <c r="AB273" s="43" t="str">
        <f>IF(AND(Y273="已平仓",ISNUMBER(O273)),(SUMIFS('成交明细'!$H$5:$H$804,'成交明细'!$A$5:$A$804,A273,'成交明细'!$D$5:$D$804,"卖")-SUMIFS('成交明细'!$H$5:$H$804,'成交明细'!$A$5:$A$804,A273,'成交明细'!$D$5:$D$804,"买"))*IF(N(G273)&gt;0,G273,1)/O273,"")</f>
        <v/>
      </c>
      <c r="AC273" s="43" t="str">
        <f>IF(AND(Y273="已平仓",ISNUMBER(O273)),AA273/O273,"")</f>
        <v/>
      </c>
      <c r="AD273" s="44" t="str">
        <f>IF(AND(ISNUMBER(V273),ISNUMBER(I273)),IF(F273="空",I273-V273,V273-I273),"")</f>
        <v/>
      </c>
      <c r="AE273" s="44" t="str">
        <f>IF(OR(NOT(ISNUMBER(AA273)),NOT(ISNUMBER(X273))),"",IF(AA273&lt;0,IF(F273="空",X273-J273,J273-X273),IF(NOT(ISNUMBER(K273)),"",IF(F273="空",X273-K273,K273-X273))))</f>
        <v/>
      </c>
      <c r="AF273" s="32" t="n"/>
      <c r="AG273" s="32" t="n"/>
      <c r="AH273" s="31" t="n"/>
      <c r="AI273" s="43" t="str">
        <f>IF(A273="","",SUM(AC$5:AC273))</f>
        <v/>
      </c>
      <c r="AJ273" s="45" t="str">
        <f>IF(A273="","",MAX(0,MAX(AI$5:AI273))-AI273)</f>
        <v/>
      </c>
    </row>
    <row r="274">
      <c r="A274" s="29" t="n"/>
      <c r="B274" s="30" t="n"/>
      <c r="C274" s="31" t="n"/>
      <c r="D274" s="32" t="n"/>
      <c r="E274" s="32" t="n"/>
      <c r="F274" s="32" t="n"/>
      <c r="G274" s="32" t="n"/>
      <c r="H274" s="32" t="n"/>
      <c r="I274" s="33" t="n"/>
      <c r="J274" s="33" t="n"/>
      <c r="K274" s="33" t="n"/>
      <c r="L274" s="34" t="str">
        <f>IF(AND(ISNUMBER(I274),ISNUMBER(J274),ISNUMBER(K274)),IF(OR(AND(F274="多",I274&gt;J274),AND(F274="空",I274&lt;J274)),ABS(K274-I274)/ABS(I274-J274),"止损方向不对"),"")</f>
        <v/>
      </c>
      <c r="M274" s="35" t="str">
        <f>IF(AND(ISNUMBER(I274),ISNUMBER(J274)),IF(I274=J274,"",IF(INT(ROUND('参数'!$C$7/(ABS(I274-J274)*IF(N(G274)&gt;0,G274,1)+2*(I274*IF(N(G274)&gt;0,G274,1)*'参数'!$C$12+'参数'!$C$13+'参数'!$C$14*IF(N(G274)&gt;0,G274,1)))/IF(N(H274)&gt;0,H274,1),6))*IF(N(H274)&gt;0,H274,1)&gt;0,INT(ROUND('参数'!$C$7/(ABS(I274-J274)*IF(N(G274)&gt;0,G274,1)+2*(I274*IF(N(G274)&gt;0,G274,1)*'参数'!$C$12+'参数'!$C$13+'参数'!$C$14*IF(N(G274)&gt;0,G274,1)))/IF(N(H274)&gt;0,H274,1),6))*IF(N(H274)&gt;0,H274,1),"预算不足，这笔不做")),"")</f>
        <v/>
      </c>
      <c r="N274" s="36" t="n"/>
      <c r="O274" s="20" t="str">
        <f>IF(AND(ISNUMBER(I274),ISNUMBER(J274),ISNUMBER(N274)),IF(AND(I274&lt;&gt;J274,N274&gt;0),ABS(I274-J274)*N274*IF(N(G274)&gt;0,G274,1),""),"")</f>
        <v/>
      </c>
      <c r="P274" s="31" t="n"/>
      <c r="Q274" s="32" t="n"/>
      <c r="R274" s="37" t="str">
        <f>IF(N(U274)&gt;0,SUMPRODUCT(LARGE(('成交明细'!$A$5:$A$804=A274)*('成交明细'!$D$5:$D$804=IF(F274="空","卖","买"))*'成交明细'!$B$5:$B$804,COUNTIFS('成交明细'!$A$5:$A$804,A274,'成交明细'!$D$5:$D$804,IF(F274="空","卖","买")))),"")</f>
        <v/>
      </c>
      <c r="S274" s="37" t="str">
        <f>IF(AND(N(U274)&gt;0,N(W274)&gt;=N(U274)),SUMPRODUCT(MAX(('成交明细'!$A$5:$A$804=A274)*('成交明细'!$D$5:$D$804=IF(F274="空","买","卖"))*'成交明细'!$B$5:$B$804)),"")</f>
        <v/>
      </c>
      <c r="T274" s="38" t="str">
        <f>IF(N(U274)=0,"",IF(SUMPRODUCT(('成交明细'!$A$5:$A$804=A274)*('成交明细'!$D$5:$D$804=IF(F274="空","卖","买"))*ISNUMBER('成交明细'!$C$5:$C$804))=0,"没填时间",IFERROR(VLOOKUP(MOD(SUMPRODUCT(LARGE(('成交明细'!$A$5:$A$804=A274)*('成交明细'!$D$5:$D$804=IF(F274="空","卖","买"))*('成交明细'!$B$5:$B$804+'成交明细'!$C$5:$C$804),COUNTIFS('成交明细'!$A$5:$A$804,A274,'成交明细'!$D$5:$D$804,IF(F274="空","卖","买")))),1),'参数'!$B$39:$C$48,2,TRUE),"")))</f>
        <v/>
      </c>
      <c r="U274" s="35" t="str">
        <f>IF(A274="","",SUMIFS('成交明细'!$F$5:$F$804,'成交明细'!$A$5:$A$804,A274,'成交明细'!$D$5:$D$804,IF(F274="空","卖","买")))</f>
        <v/>
      </c>
      <c r="V274" s="39" t="str">
        <f>IF(N(U274)&gt;0,SUMIFS('成交明细'!$H$5:$H$804,'成交明细'!$A$5:$A$804,A274,'成交明细'!$D$5:$D$804,IF(F274="空","卖","买"))/U274,"")</f>
        <v/>
      </c>
      <c r="W274" s="35" t="str">
        <f>IF(A274="","",SUMIFS('成交明细'!$F$5:$F$804,'成交明细'!$A$5:$A$804,A274,'成交明细'!$D$5:$D$804,IF(F274="空","买","卖")))</f>
        <v/>
      </c>
      <c r="X274" s="39" t="str">
        <f>IF(N(W274)&gt;0,SUMIFS('成交明细'!$H$5:$H$804,'成交明细'!$A$5:$A$804,A274,'成交明细'!$D$5:$D$804,IF(F274="空","买","卖"))/W274,"")</f>
        <v/>
      </c>
      <c r="Y274" s="40" t="str">
        <f>IF(A274="","",IF(Q274&lt;&gt;"已执行",IF(Q274="","未填执行情况",Q274),IF(N(U274)=0,"待录成交",IF(N(W274)&gt;N(U274),"平仓多于开仓",IF(N(W274)&lt;N(U274),"持仓中","已平仓")))))</f>
        <v/>
      </c>
      <c r="Z274" s="41" t="str">
        <f>IF(N(U274)=0,"",SUMIFS('成交明细'!$L$5:$L$804,'成交明细'!$A$5:$A$804,A274))</f>
        <v/>
      </c>
      <c r="AA274" s="42" t="str">
        <f>IF(Y274&lt;&gt;"已平仓","",(SUMIFS('成交明细'!$H$5:$H$804,'成交明细'!$A$5:$A$804,A274,'成交明细'!$D$5:$D$804,"卖")-SUMIFS('成交明细'!$H$5:$H$804,'成交明细'!$A$5:$A$804,A274,'成交明细'!$D$5:$D$804,"买"))*IF(N(G274)&gt;0,G274,1)-Z274)</f>
        <v/>
      </c>
      <c r="AB274" s="43" t="str">
        <f>IF(AND(Y274="已平仓",ISNUMBER(O274)),(SUMIFS('成交明细'!$H$5:$H$804,'成交明细'!$A$5:$A$804,A274,'成交明细'!$D$5:$D$804,"卖")-SUMIFS('成交明细'!$H$5:$H$804,'成交明细'!$A$5:$A$804,A274,'成交明细'!$D$5:$D$804,"买"))*IF(N(G274)&gt;0,G274,1)/O274,"")</f>
        <v/>
      </c>
      <c r="AC274" s="43" t="str">
        <f>IF(AND(Y274="已平仓",ISNUMBER(O274)),AA274/O274,"")</f>
        <v/>
      </c>
      <c r="AD274" s="44" t="str">
        <f>IF(AND(ISNUMBER(V274),ISNUMBER(I274)),IF(F274="空",I274-V274,V274-I274),"")</f>
        <v/>
      </c>
      <c r="AE274" s="44" t="str">
        <f>IF(OR(NOT(ISNUMBER(AA274)),NOT(ISNUMBER(X274))),"",IF(AA274&lt;0,IF(F274="空",X274-J274,J274-X274),IF(NOT(ISNUMBER(K274)),"",IF(F274="空",X274-K274,K274-X274))))</f>
        <v/>
      </c>
      <c r="AF274" s="32" t="n"/>
      <c r="AG274" s="32" t="n"/>
      <c r="AH274" s="31" t="n"/>
      <c r="AI274" s="43" t="str">
        <f>IF(A274="","",SUM(AC$5:AC274))</f>
        <v/>
      </c>
      <c r="AJ274" s="45" t="str">
        <f>IF(A274="","",MAX(0,MAX(AI$5:AI274))-AI274)</f>
        <v/>
      </c>
    </row>
    <row r="275">
      <c r="A275" s="29" t="n"/>
      <c r="B275" s="30" t="n"/>
      <c r="C275" s="31" t="n"/>
      <c r="D275" s="32" t="n"/>
      <c r="E275" s="32" t="n"/>
      <c r="F275" s="32" t="n"/>
      <c r="G275" s="32" t="n"/>
      <c r="H275" s="32" t="n"/>
      <c r="I275" s="33" t="n"/>
      <c r="J275" s="33" t="n"/>
      <c r="K275" s="33" t="n"/>
      <c r="L275" s="34" t="str">
        <f>IF(AND(ISNUMBER(I275),ISNUMBER(J275),ISNUMBER(K275)),IF(OR(AND(F275="多",I275&gt;J275),AND(F275="空",I275&lt;J275)),ABS(K275-I275)/ABS(I275-J275),"止损方向不对"),"")</f>
        <v/>
      </c>
      <c r="M275" s="35" t="str">
        <f>IF(AND(ISNUMBER(I275),ISNUMBER(J275)),IF(I275=J275,"",IF(INT(ROUND('参数'!$C$7/(ABS(I275-J275)*IF(N(G275)&gt;0,G275,1)+2*(I275*IF(N(G275)&gt;0,G275,1)*'参数'!$C$12+'参数'!$C$13+'参数'!$C$14*IF(N(G275)&gt;0,G275,1)))/IF(N(H275)&gt;0,H275,1),6))*IF(N(H275)&gt;0,H275,1)&gt;0,INT(ROUND('参数'!$C$7/(ABS(I275-J275)*IF(N(G275)&gt;0,G275,1)+2*(I275*IF(N(G275)&gt;0,G275,1)*'参数'!$C$12+'参数'!$C$13+'参数'!$C$14*IF(N(G275)&gt;0,G275,1)))/IF(N(H275)&gt;0,H275,1),6))*IF(N(H275)&gt;0,H275,1),"预算不足，这笔不做")),"")</f>
        <v/>
      </c>
      <c r="N275" s="36" t="n"/>
      <c r="O275" s="20" t="str">
        <f>IF(AND(ISNUMBER(I275),ISNUMBER(J275),ISNUMBER(N275)),IF(AND(I275&lt;&gt;J275,N275&gt;0),ABS(I275-J275)*N275*IF(N(G275)&gt;0,G275,1),""),"")</f>
        <v/>
      </c>
      <c r="P275" s="31" t="n"/>
      <c r="Q275" s="32" t="n"/>
      <c r="R275" s="37" t="str">
        <f>IF(N(U275)&gt;0,SUMPRODUCT(LARGE(('成交明细'!$A$5:$A$804=A275)*('成交明细'!$D$5:$D$804=IF(F275="空","卖","买"))*'成交明细'!$B$5:$B$804,COUNTIFS('成交明细'!$A$5:$A$804,A275,'成交明细'!$D$5:$D$804,IF(F275="空","卖","买")))),"")</f>
        <v/>
      </c>
      <c r="S275" s="37" t="str">
        <f>IF(AND(N(U275)&gt;0,N(W275)&gt;=N(U275)),SUMPRODUCT(MAX(('成交明细'!$A$5:$A$804=A275)*('成交明细'!$D$5:$D$804=IF(F275="空","买","卖"))*'成交明细'!$B$5:$B$804)),"")</f>
        <v/>
      </c>
      <c r="T275" s="38" t="str">
        <f>IF(N(U275)=0,"",IF(SUMPRODUCT(('成交明细'!$A$5:$A$804=A275)*('成交明细'!$D$5:$D$804=IF(F275="空","卖","买"))*ISNUMBER('成交明细'!$C$5:$C$804))=0,"没填时间",IFERROR(VLOOKUP(MOD(SUMPRODUCT(LARGE(('成交明细'!$A$5:$A$804=A275)*('成交明细'!$D$5:$D$804=IF(F275="空","卖","买"))*('成交明细'!$B$5:$B$804+'成交明细'!$C$5:$C$804),COUNTIFS('成交明细'!$A$5:$A$804,A275,'成交明细'!$D$5:$D$804,IF(F275="空","卖","买")))),1),'参数'!$B$39:$C$48,2,TRUE),"")))</f>
        <v/>
      </c>
      <c r="U275" s="35" t="str">
        <f>IF(A275="","",SUMIFS('成交明细'!$F$5:$F$804,'成交明细'!$A$5:$A$804,A275,'成交明细'!$D$5:$D$804,IF(F275="空","卖","买")))</f>
        <v/>
      </c>
      <c r="V275" s="39" t="str">
        <f>IF(N(U275)&gt;0,SUMIFS('成交明细'!$H$5:$H$804,'成交明细'!$A$5:$A$804,A275,'成交明细'!$D$5:$D$804,IF(F275="空","卖","买"))/U275,"")</f>
        <v/>
      </c>
      <c r="W275" s="35" t="str">
        <f>IF(A275="","",SUMIFS('成交明细'!$F$5:$F$804,'成交明细'!$A$5:$A$804,A275,'成交明细'!$D$5:$D$804,IF(F275="空","买","卖")))</f>
        <v/>
      </c>
      <c r="X275" s="39" t="str">
        <f>IF(N(W275)&gt;0,SUMIFS('成交明细'!$H$5:$H$804,'成交明细'!$A$5:$A$804,A275,'成交明细'!$D$5:$D$804,IF(F275="空","买","卖"))/W275,"")</f>
        <v/>
      </c>
      <c r="Y275" s="40" t="str">
        <f>IF(A275="","",IF(Q275&lt;&gt;"已执行",IF(Q275="","未填执行情况",Q275),IF(N(U275)=0,"待录成交",IF(N(W275)&gt;N(U275),"平仓多于开仓",IF(N(W275)&lt;N(U275),"持仓中","已平仓")))))</f>
        <v/>
      </c>
      <c r="Z275" s="41" t="str">
        <f>IF(N(U275)=0,"",SUMIFS('成交明细'!$L$5:$L$804,'成交明细'!$A$5:$A$804,A275))</f>
        <v/>
      </c>
      <c r="AA275" s="42" t="str">
        <f>IF(Y275&lt;&gt;"已平仓","",(SUMIFS('成交明细'!$H$5:$H$804,'成交明细'!$A$5:$A$804,A275,'成交明细'!$D$5:$D$804,"卖")-SUMIFS('成交明细'!$H$5:$H$804,'成交明细'!$A$5:$A$804,A275,'成交明细'!$D$5:$D$804,"买"))*IF(N(G275)&gt;0,G275,1)-Z275)</f>
        <v/>
      </c>
      <c r="AB275" s="43" t="str">
        <f>IF(AND(Y275="已平仓",ISNUMBER(O275)),(SUMIFS('成交明细'!$H$5:$H$804,'成交明细'!$A$5:$A$804,A275,'成交明细'!$D$5:$D$804,"卖")-SUMIFS('成交明细'!$H$5:$H$804,'成交明细'!$A$5:$A$804,A275,'成交明细'!$D$5:$D$804,"买"))*IF(N(G275)&gt;0,G275,1)/O275,"")</f>
        <v/>
      </c>
      <c r="AC275" s="43" t="str">
        <f>IF(AND(Y275="已平仓",ISNUMBER(O275)),AA275/O275,"")</f>
        <v/>
      </c>
      <c r="AD275" s="44" t="str">
        <f>IF(AND(ISNUMBER(V275),ISNUMBER(I275)),IF(F275="空",I275-V275,V275-I275),"")</f>
        <v/>
      </c>
      <c r="AE275" s="44" t="str">
        <f>IF(OR(NOT(ISNUMBER(AA275)),NOT(ISNUMBER(X275))),"",IF(AA275&lt;0,IF(F275="空",X275-J275,J275-X275),IF(NOT(ISNUMBER(K275)),"",IF(F275="空",X275-K275,K275-X275))))</f>
        <v/>
      </c>
      <c r="AF275" s="32" t="n"/>
      <c r="AG275" s="32" t="n"/>
      <c r="AH275" s="31" t="n"/>
      <c r="AI275" s="43" t="str">
        <f>IF(A275="","",SUM(AC$5:AC275))</f>
        <v/>
      </c>
      <c r="AJ275" s="45" t="str">
        <f>IF(A275="","",MAX(0,MAX(AI$5:AI275))-AI275)</f>
        <v/>
      </c>
    </row>
    <row r="276">
      <c r="A276" s="29" t="n"/>
      <c r="B276" s="30" t="n"/>
      <c r="C276" s="31" t="n"/>
      <c r="D276" s="32" t="n"/>
      <c r="E276" s="32" t="n"/>
      <c r="F276" s="32" t="n"/>
      <c r="G276" s="32" t="n"/>
      <c r="H276" s="32" t="n"/>
      <c r="I276" s="33" t="n"/>
      <c r="J276" s="33" t="n"/>
      <c r="K276" s="33" t="n"/>
      <c r="L276" s="34" t="str">
        <f>IF(AND(ISNUMBER(I276),ISNUMBER(J276),ISNUMBER(K276)),IF(OR(AND(F276="多",I276&gt;J276),AND(F276="空",I276&lt;J276)),ABS(K276-I276)/ABS(I276-J276),"止损方向不对"),"")</f>
        <v/>
      </c>
      <c r="M276" s="35" t="str">
        <f>IF(AND(ISNUMBER(I276),ISNUMBER(J276)),IF(I276=J276,"",IF(INT(ROUND('参数'!$C$7/(ABS(I276-J276)*IF(N(G276)&gt;0,G276,1)+2*(I276*IF(N(G276)&gt;0,G276,1)*'参数'!$C$12+'参数'!$C$13+'参数'!$C$14*IF(N(G276)&gt;0,G276,1)))/IF(N(H276)&gt;0,H276,1),6))*IF(N(H276)&gt;0,H276,1)&gt;0,INT(ROUND('参数'!$C$7/(ABS(I276-J276)*IF(N(G276)&gt;0,G276,1)+2*(I276*IF(N(G276)&gt;0,G276,1)*'参数'!$C$12+'参数'!$C$13+'参数'!$C$14*IF(N(G276)&gt;0,G276,1)))/IF(N(H276)&gt;0,H276,1),6))*IF(N(H276)&gt;0,H276,1),"预算不足，这笔不做")),"")</f>
        <v/>
      </c>
      <c r="N276" s="36" t="n"/>
      <c r="O276" s="20" t="str">
        <f>IF(AND(ISNUMBER(I276),ISNUMBER(J276),ISNUMBER(N276)),IF(AND(I276&lt;&gt;J276,N276&gt;0),ABS(I276-J276)*N276*IF(N(G276)&gt;0,G276,1),""),"")</f>
        <v/>
      </c>
      <c r="P276" s="31" t="n"/>
      <c r="Q276" s="32" t="n"/>
      <c r="R276" s="37" t="str">
        <f>IF(N(U276)&gt;0,SUMPRODUCT(LARGE(('成交明细'!$A$5:$A$804=A276)*('成交明细'!$D$5:$D$804=IF(F276="空","卖","买"))*'成交明细'!$B$5:$B$804,COUNTIFS('成交明细'!$A$5:$A$804,A276,'成交明细'!$D$5:$D$804,IF(F276="空","卖","买")))),"")</f>
        <v/>
      </c>
      <c r="S276" s="37" t="str">
        <f>IF(AND(N(U276)&gt;0,N(W276)&gt;=N(U276)),SUMPRODUCT(MAX(('成交明细'!$A$5:$A$804=A276)*('成交明细'!$D$5:$D$804=IF(F276="空","买","卖"))*'成交明细'!$B$5:$B$804)),"")</f>
        <v/>
      </c>
      <c r="T276" s="38" t="str">
        <f>IF(N(U276)=0,"",IF(SUMPRODUCT(('成交明细'!$A$5:$A$804=A276)*('成交明细'!$D$5:$D$804=IF(F276="空","卖","买"))*ISNUMBER('成交明细'!$C$5:$C$804))=0,"没填时间",IFERROR(VLOOKUP(MOD(SUMPRODUCT(LARGE(('成交明细'!$A$5:$A$804=A276)*('成交明细'!$D$5:$D$804=IF(F276="空","卖","买"))*('成交明细'!$B$5:$B$804+'成交明细'!$C$5:$C$804),COUNTIFS('成交明细'!$A$5:$A$804,A276,'成交明细'!$D$5:$D$804,IF(F276="空","卖","买")))),1),'参数'!$B$39:$C$48,2,TRUE),"")))</f>
        <v/>
      </c>
      <c r="U276" s="35" t="str">
        <f>IF(A276="","",SUMIFS('成交明细'!$F$5:$F$804,'成交明细'!$A$5:$A$804,A276,'成交明细'!$D$5:$D$804,IF(F276="空","卖","买")))</f>
        <v/>
      </c>
      <c r="V276" s="39" t="str">
        <f>IF(N(U276)&gt;0,SUMIFS('成交明细'!$H$5:$H$804,'成交明细'!$A$5:$A$804,A276,'成交明细'!$D$5:$D$804,IF(F276="空","卖","买"))/U276,"")</f>
        <v/>
      </c>
      <c r="W276" s="35" t="str">
        <f>IF(A276="","",SUMIFS('成交明细'!$F$5:$F$804,'成交明细'!$A$5:$A$804,A276,'成交明细'!$D$5:$D$804,IF(F276="空","买","卖")))</f>
        <v/>
      </c>
      <c r="X276" s="39" t="str">
        <f>IF(N(W276)&gt;0,SUMIFS('成交明细'!$H$5:$H$804,'成交明细'!$A$5:$A$804,A276,'成交明细'!$D$5:$D$804,IF(F276="空","买","卖"))/W276,"")</f>
        <v/>
      </c>
      <c r="Y276" s="40" t="str">
        <f>IF(A276="","",IF(Q276&lt;&gt;"已执行",IF(Q276="","未填执行情况",Q276),IF(N(U276)=0,"待录成交",IF(N(W276)&gt;N(U276),"平仓多于开仓",IF(N(W276)&lt;N(U276),"持仓中","已平仓")))))</f>
        <v/>
      </c>
      <c r="Z276" s="41" t="str">
        <f>IF(N(U276)=0,"",SUMIFS('成交明细'!$L$5:$L$804,'成交明细'!$A$5:$A$804,A276))</f>
        <v/>
      </c>
      <c r="AA276" s="42" t="str">
        <f>IF(Y276&lt;&gt;"已平仓","",(SUMIFS('成交明细'!$H$5:$H$804,'成交明细'!$A$5:$A$804,A276,'成交明细'!$D$5:$D$804,"卖")-SUMIFS('成交明细'!$H$5:$H$804,'成交明细'!$A$5:$A$804,A276,'成交明细'!$D$5:$D$804,"买"))*IF(N(G276)&gt;0,G276,1)-Z276)</f>
        <v/>
      </c>
      <c r="AB276" s="43" t="str">
        <f>IF(AND(Y276="已平仓",ISNUMBER(O276)),(SUMIFS('成交明细'!$H$5:$H$804,'成交明细'!$A$5:$A$804,A276,'成交明细'!$D$5:$D$804,"卖")-SUMIFS('成交明细'!$H$5:$H$804,'成交明细'!$A$5:$A$804,A276,'成交明细'!$D$5:$D$804,"买"))*IF(N(G276)&gt;0,G276,1)/O276,"")</f>
        <v/>
      </c>
      <c r="AC276" s="43" t="str">
        <f>IF(AND(Y276="已平仓",ISNUMBER(O276)),AA276/O276,"")</f>
        <v/>
      </c>
      <c r="AD276" s="44" t="str">
        <f>IF(AND(ISNUMBER(V276),ISNUMBER(I276)),IF(F276="空",I276-V276,V276-I276),"")</f>
        <v/>
      </c>
      <c r="AE276" s="44" t="str">
        <f>IF(OR(NOT(ISNUMBER(AA276)),NOT(ISNUMBER(X276))),"",IF(AA276&lt;0,IF(F276="空",X276-J276,J276-X276),IF(NOT(ISNUMBER(K276)),"",IF(F276="空",X276-K276,K276-X276))))</f>
        <v/>
      </c>
      <c r="AF276" s="32" t="n"/>
      <c r="AG276" s="32" t="n"/>
      <c r="AH276" s="31" t="n"/>
      <c r="AI276" s="43" t="str">
        <f>IF(A276="","",SUM(AC$5:AC276))</f>
        <v/>
      </c>
      <c r="AJ276" s="45" t="str">
        <f>IF(A276="","",MAX(0,MAX(AI$5:AI276))-AI276)</f>
        <v/>
      </c>
    </row>
    <row r="277">
      <c r="A277" s="29" t="n"/>
      <c r="B277" s="30" t="n"/>
      <c r="C277" s="31" t="n"/>
      <c r="D277" s="32" t="n"/>
      <c r="E277" s="32" t="n"/>
      <c r="F277" s="32" t="n"/>
      <c r="G277" s="32" t="n"/>
      <c r="H277" s="32" t="n"/>
      <c r="I277" s="33" t="n"/>
      <c r="J277" s="33" t="n"/>
      <c r="K277" s="33" t="n"/>
      <c r="L277" s="34" t="str">
        <f>IF(AND(ISNUMBER(I277),ISNUMBER(J277),ISNUMBER(K277)),IF(OR(AND(F277="多",I277&gt;J277),AND(F277="空",I277&lt;J277)),ABS(K277-I277)/ABS(I277-J277),"止损方向不对"),"")</f>
        <v/>
      </c>
      <c r="M277" s="35" t="str">
        <f>IF(AND(ISNUMBER(I277),ISNUMBER(J277)),IF(I277=J277,"",IF(INT(ROUND('参数'!$C$7/(ABS(I277-J277)*IF(N(G277)&gt;0,G277,1)+2*(I277*IF(N(G277)&gt;0,G277,1)*'参数'!$C$12+'参数'!$C$13+'参数'!$C$14*IF(N(G277)&gt;0,G277,1)))/IF(N(H277)&gt;0,H277,1),6))*IF(N(H277)&gt;0,H277,1)&gt;0,INT(ROUND('参数'!$C$7/(ABS(I277-J277)*IF(N(G277)&gt;0,G277,1)+2*(I277*IF(N(G277)&gt;0,G277,1)*'参数'!$C$12+'参数'!$C$13+'参数'!$C$14*IF(N(G277)&gt;0,G277,1)))/IF(N(H277)&gt;0,H277,1),6))*IF(N(H277)&gt;0,H277,1),"预算不足，这笔不做")),"")</f>
        <v/>
      </c>
      <c r="N277" s="36" t="n"/>
      <c r="O277" s="20" t="str">
        <f>IF(AND(ISNUMBER(I277),ISNUMBER(J277),ISNUMBER(N277)),IF(AND(I277&lt;&gt;J277,N277&gt;0),ABS(I277-J277)*N277*IF(N(G277)&gt;0,G277,1),""),"")</f>
        <v/>
      </c>
      <c r="P277" s="31" t="n"/>
      <c r="Q277" s="32" t="n"/>
      <c r="R277" s="37" t="str">
        <f>IF(N(U277)&gt;0,SUMPRODUCT(LARGE(('成交明细'!$A$5:$A$804=A277)*('成交明细'!$D$5:$D$804=IF(F277="空","卖","买"))*'成交明细'!$B$5:$B$804,COUNTIFS('成交明细'!$A$5:$A$804,A277,'成交明细'!$D$5:$D$804,IF(F277="空","卖","买")))),"")</f>
        <v/>
      </c>
      <c r="S277" s="37" t="str">
        <f>IF(AND(N(U277)&gt;0,N(W277)&gt;=N(U277)),SUMPRODUCT(MAX(('成交明细'!$A$5:$A$804=A277)*('成交明细'!$D$5:$D$804=IF(F277="空","买","卖"))*'成交明细'!$B$5:$B$804)),"")</f>
        <v/>
      </c>
      <c r="T277" s="38" t="str">
        <f>IF(N(U277)=0,"",IF(SUMPRODUCT(('成交明细'!$A$5:$A$804=A277)*('成交明细'!$D$5:$D$804=IF(F277="空","卖","买"))*ISNUMBER('成交明细'!$C$5:$C$804))=0,"没填时间",IFERROR(VLOOKUP(MOD(SUMPRODUCT(LARGE(('成交明细'!$A$5:$A$804=A277)*('成交明细'!$D$5:$D$804=IF(F277="空","卖","买"))*('成交明细'!$B$5:$B$804+'成交明细'!$C$5:$C$804),COUNTIFS('成交明细'!$A$5:$A$804,A277,'成交明细'!$D$5:$D$804,IF(F277="空","卖","买")))),1),'参数'!$B$39:$C$48,2,TRUE),"")))</f>
        <v/>
      </c>
      <c r="U277" s="35" t="str">
        <f>IF(A277="","",SUMIFS('成交明细'!$F$5:$F$804,'成交明细'!$A$5:$A$804,A277,'成交明细'!$D$5:$D$804,IF(F277="空","卖","买")))</f>
        <v/>
      </c>
      <c r="V277" s="39" t="str">
        <f>IF(N(U277)&gt;0,SUMIFS('成交明细'!$H$5:$H$804,'成交明细'!$A$5:$A$804,A277,'成交明细'!$D$5:$D$804,IF(F277="空","卖","买"))/U277,"")</f>
        <v/>
      </c>
      <c r="W277" s="35" t="str">
        <f>IF(A277="","",SUMIFS('成交明细'!$F$5:$F$804,'成交明细'!$A$5:$A$804,A277,'成交明细'!$D$5:$D$804,IF(F277="空","买","卖")))</f>
        <v/>
      </c>
      <c r="X277" s="39" t="str">
        <f>IF(N(W277)&gt;0,SUMIFS('成交明细'!$H$5:$H$804,'成交明细'!$A$5:$A$804,A277,'成交明细'!$D$5:$D$804,IF(F277="空","买","卖"))/W277,"")</f>
        <v/>
      </c>
      <c r="Y277" s="40" t="str">
        <f>IF(A277="","",IF(Q277&lt;&gt;"已执行",IF(Q277="","未填执行情况",Q277),IF(N(U277)=0,"待录成交",IF(N(W277)&gt;N(U277),"平仓多于开仓",IF(N(W277)&lt;N(U277),"持仓中","已平仓")))))</f>
        <v/>
      </c>
      <c r="Z277" s="41" t="str">
        <f>IF(N(U277)=0,"",SUMIFS('成交明细'!$L$5:$L$804,'成交明细'!$A$5:$A$804,A277))</f>
        <v/>
      </c>
      <c r="AA277" s="42" t="str">
        <f>IF(Y277&lt;&gt;"已平仓","",(SUMIFS('成交明细'!$H$5:$H$804,'成交明细'!$A$5:$A$804,A277,'成交明细'!$D$5:$D$804,"卖")-SUMIFS('成交明细'!$H$5:$H$804,'成交明细'!$A$5:$A$804,A277,'成交明细'!$D$5:$D$804,"买"))*IF(N(G277)&gt;0,G277,1)-Z277)</f>
        <v/>
      </c>
      <c r="AB277" s="43" t="str">
        <f>IF(AND(Y277="已平仓",ISNUMBER(O277)),(SUMIFS('成交明细'!$H$5:$H$804,'成交明细'!$A$5:$A$804,A277,'成交明细'!$D$5:$D$804,"卖")-SUMIFS('成交明细'!$H$5:$H$804,'成交明细'!$A$5:$A$804,A277,'成交明细'!$D$5:$D$804,"买"))*IF(N(G277)&gt;0,G277,1)/O277,"")</f>
        <v/>
      </c>
      <c r="AC277" s="43" t="str">
        <f>IF(AND(Y277="已平仓",ISNUMBER(O277)),AA277/O277,"")</f>
        <v/>
      </c>
      <c r="AD277" s="44" t="str">
        <f>IF(AND(ISNUMBER(V277),ISNUMBER(I277)),IF(F277="空",I277-V277,V277-I277),"")</f>
        <v/>
      </c>
      <c r="AE277" s="44" t="str">
        <f>IF(OR(NOT(ISNUMBER(AA277)),NOT(ISNUMBER(X277))),"",IF(AA277&lt;0,IF(F277="空",X277-J277,J277-X277),IF(NOT(ISNUMBER(K277)),"",IF(F277="空",X277-K277,K277-X277))))</f>
        <v/>
      </c>
      <c r="AF277" s="32" t="n"/>
      <c r="AG277" s="32" t="n"/>
      <c r="AH277" s="31" t="n"/>
      <c r="AI277" s="43" t="str">
        <f>IF(A277="","",SUM(AC$5:AC277))</f>
        <v/>
      </c>
      <c r="AJ277" s="45" t="str">
        <f>IF(A277="","",MAX(0,MAX(AI$5:AI277))-AI277)</f>
        <v/>
      </c>
    </row>
    <row r="278">
      <c r="A278" s="29" t="n"/>
      <c r="B278" s="30" t="n"/>
      <c r="C278" s="31" t="n"/>
      <c r="D278" s="32" t="n"/>
      <c r="E278" s="32" t="n"/>
      <c r="F278" s="32" t="n"/>
      <c r="G278" s="32" t="n"/>
      <c r="H278" s="32" t="n"/>
      <c r="I278" s="33" t="n"/>
      <c r="J278" s="33" t="n"/>
      <c r="K278" s="33" t="n"/>
      <c r="L278" s="34" t="str">
        <f>IF(AND(ISNUMBER(I278),ISNUMBER(J278),ISNUMBER(K278)),IF(OR(AND(F278="多",I278&gt;J278),AND(F278="空",I278&lt;J278)),ABS(K278-I278)/ABS(I278-J278),"止损方向不对"),"")</f>
        <v/>
      </c>
      <c r="M278" s="35" t="str">
        <f>IF(AND(ISNUMBER(I278),ISNUMBER(J278)),IF(I278=J278,"",IF(INT(ROUND('参数'!$C$7/(ABS(I278-J278)*IF(N(G278)&gt;0,G278,1)+2*(I278*IF(N(G278)&gt;0,G278,1)*'参数'!$C$12+'参数'!$C$13+'参数'!$C$14*IF(N(G278)&gt;0,G278,1)))/IF(N(H278)&gt;0,H278,1),6))*IF(N(H278)&gt;0,H278,1)&gt;0,INT(ROUND('参数'!$C$7/(ABS(I278-J278)*IF(N(G278)&gt;0,G278,1)+2*(I278*IF(N(G278)&gt;0,G278,1)*'参数'!$C$12+'参数'!$C$13+'参数'!$C$14*IF(N(G278)&gt;0,G278,1)))/IF(N(H278)&gt;0,H278,1),6))*IF(N(H278)&gt;0,H278,1),"预算不足，这笔不做")),"")</f>
        <v/>
      </c>
      <c r="N278" s="36" t="n"/>
      <c r="O278" s="20" t="str">
        <f>IF(AND(ISNUMBER(I278),ISNUMBER(J278),ISNUMBER(N278)),IF(AND(I278&lt;&gt;J278,N278&gt;0),ABS(I278-J278)*N278*IF(N(G278)&gt;0,G278,1),""),"")</f>
        <v/>
      </c>
      <c r="P278" s="31" t="n"/>
      <c r="Q278" s="32" t="n"/>
      <c r="R278" s="37" t="str">
        <f>IF(N(U278)&gt;0,SUMPRODUCT(LARGE(('成交明细'!$A$5:$A$804=A278)*('成交明细'!$D$5:$D$804=IF(F278="空","卖","买"))*'成交明细'!$B$5:$B$804,COUNTIFS('成交明细'!$A$5:$A$804,A278,'成交明细'!$D$5:$D$804,IF(F278="空","卖","买")))),"")</f>
        <v/>
      </c>
      <c r="S278" s="37" t="str">
        <f>IF(AND(N(U278)&gt;0,N(W278)&gt;=N(U278)),SUMPRODUCT(MAX(('成交明细'!$A$5:$A$804=A278)*('成交明细'!$D$5:$D$804=IF(F278="空","买","卖"))*'成交明细'!$B$5:$B$804)),"")</f>
        <v/>
      </c>
      <c r="T278" s="38" t="str">
        <f>IF(N(U278)=0,"",IF(SUMPRODUCT(('成交明细'!$A$5:$A$804=A278)*('成交明细'!$D$5:$D$804=IF(F278="空","卖","买"))*ISNUMBER('成交明细'!$C$5:$C$804))=0,"没填时间",IFERROR(VLOOKUP(MOD(SUMPRODUCT(LARGE(('成交明细'!$A$5:$A$804=A278)*('成交明细'!$D$5:$D$804=IF(F278="空","卖","买"))*('成交明细'!$B$5:$B$804+'成交明细'!$C$5:$C$804),COUNTIFS('成交明细'!$A$5:$A$804,A278,'成交明细'!$D$5:$D$804,IF(F278="空","卖","买")))),1),'参数'!$B$39:$C$48,2,TRUE),"")))</f>
        <v/>
      </c>
      <c r="U278" s="35" t="str">
        <f>IF(A278="","",SUMIFS('成交明细'!$F$5:$F$804,'成交明细'!$A$5:$A$804,A278,'成交明细'!$D$5:$D$804,IF(F278="空","卖","买")))</f>
        <v/>
      </c>
      <c r="V278" s="39" t="str">
        <f>IF(N(U278)&gt;0,SUMIFS('成交明细'!$H$5:$H$804,'成交明细'!$A$5:$A$804,A278,'成交明细'!$D$5:$D$804,IF(F278="空","卖","买"))/U278,"")</f>
        <v/>
      </c>
      <c r="W278" s="35" t="str">
        <f>IF(A278="","",SUMIFS('成交明细'!$F$5:$F$804,'成交明细'!$A$5:$A$804,A278,'成交明细'!$D$5:$D$804,IF(F278="空","买","卖")))</f>
        <v/>
      </c>
      <c r="X278" s="39" t="str">
        <f>IF(N(W278)&gt;0,SUMIFS('成交明细'!$H$5:$H$804,'成交明细'!$A$5:$A$804,A278,'成交明细'!$D$5:$D$804,IF(F278="空","买","卖"))/W278,"")</f>
        <v/>
      </c>
      <c r="Y278" s="40" t="str">
        <f>IF(A278="","",IF(Q278&lt;&gt;"已执行",IF(Q278="","未填执行情况",Q278),IF(N(U278)=0,"待录成交",IF(N(W278)&gt;N(U278),"平仓多于开仓",IF(N(W278)&lt;N(U278),"持仓中","已平仓")))))</f>
        <v/>
      </c>
      <c r="Z278" s="41" t="str">
        <f>IF(N(U278)=0,"",SUMIFS('成交明细'!$L$5:$L$804,'成交明细'!$A$5:$A$804,A278))</f>
        <v/>
      </c>
      <c r="AA278" s="42" t="str">
        <f>IF(Y278&lt;&gt;"已平仓","",(SUMIFS('成交明细'!$H$5:$H$804,'成交明细'!$A$5:$A$804,A278,'成交明细'!$D$5:$D$804,"卖")-SUMIFS('成交明细'!$H$5:$H$804,'成交明细'!$A$5:$A$804,A278,'成交明细'!$D$5:$D$804,"买"))*IF(N(G278)&gt;0,G278,1)-Z278)</f>
        <v/>
      </c>
      <c r="AB278" s="43" t="str">
        <f>IF(AND(Y278="已平仓",ISNUMBER(O278)),(SUMIFS('成交明细'!$H$5:$H$804,'成交明细'!$A$5:$A$804,A278,'成交明细'!$D$5:$D$804,"卖")-SUMIFS('成交明细'!$H$5:$H$804,'成交明细'!$A$5:$A$804,A278,'成交明细'!$D$5:$D$804,"买"))*IF(N(G278)&gt;0,G278,1)/O278,"")</f>
        <v/>
      </c>
      <c r="AC278" s="43" t="str">
        <f>IF(AND(Y278="已平仓",ISNUMBER(O278)),AA278/O278,"")</f>
        <v/>
      </c>
      <c r="AD278" s="44" t="str">
        <f>IF(AND(ISNUMBER(V278),ISNUMBER(I278)),IF(F278="空",I278-V278,V278-I278),"")</f>
        <v/>
      </c>
      <c r="AE278" s="44" t="str">
        <f>IF(OR(NOT(ISNUMBER(AA278)),NOT(ISNUMBER(X278))),"",IF(AA278&lt;0,IF(F278="空",X278-J278,J278-X278),IF(NOT(ISNUMBER(K278)),"",IF(F278="空",X278-K278,K278-X278))))</f>
        <v/>
      </c>
      <c r="AF278" s="32" t="n"/>
      <c r="AG278" s="32" t="n"/>
      <c r="AH278" s="31" t="n"/>
      <c r="AI278" s="43" t="str">
        <f>IF(A278="","",SUM(AC$5:AC278))</f>
        <v/>
      </c>
      <c r="AJ278" s="45" t="str">
        <f>IF(A278="","",MAX(0,MAX(AI$5:AI278))-AI278)</f>
        <v/>
      </c>
    </row>
    <row r="279">
      <c r="A279" s="29" t="n"/>
      <c r="B279" s="30" t="n"/>
      <c r="C279" s="31" t="n"/>
      <c r="D279" s="32" t="n"/>
      <c r="E279" s="32" t="n"/>
      <c r="F279" s="32" t="n"/>
      <c r="G279" s="32" t="n"/>
      <c r="H279" s="32" t="n"/>
      <c r="I279" s="33" t="n"/>
      <c r="J279" s="33" t="n"/>
      <c r="K279" s="33" t="n"/>
      <c r="L279" s="34" t="str">
        <f>IF(AND(ISNUMBER(I279),ISNUMBER(J279),ISNUMBER(K279)),IF(OR(AND(F279="多",I279&gt;J279),AND(F279="空",I279&lt;J279)),ABS(K279-I279)/ABS(I279-J279),"止损方向不对"),"")</f>
        <v/>
      </c>
      <c r="M279" s="35" t="str">
        <f>IF(AND(ISNUMBER(I279),ISNUMBER(J279)),IF(I279=J279,"",IF(INT(ROUND('参数'!$C$7/(ABS(I279-J279)*IF(N(G279)&gt;0,G279,1)+2*(I279*IF(N(G279)&gt;0,G279,1)*'参数'!$C$12+'参数'!$C$13+'参数'!$C$14*IF(N(G279)&gt;0,G279,1)))/IF(N(H279)&gt;0,H279,1),6))*IF(N(H279)&gt;0,H279,1)&gt;0,INT(ROUND('参数'!$C$7/(ABS(I279-J279)*IF(N(G279)&gt;0,G279,1)+2*(I279*IF(N(G279)&gt;0,G279,1)*'参数'!$C$12+'参数'!$C$13+'参数'!$C$14*IF(N(G279)&gt;0,G279,1)))/IF(N(H279)&gt;0,H279,1),6))*IF(N(H279)&gt;0,H279,1),"预算不足，这笔不做")),"")</f>
        <v/>
      </c>
      <c r="N279" s="36" t="n"/>
      <c r="O279" s="20" t="str">
        <f>IF(AND(ISNUMBER(I279),ISNUMBER(J279),ISNUMBER(N279)),IF(AND(I279&lt;&gt;J279,N279&gt;0),ABS(I279-J279)*N279*IF(N(G279)&gt;0,G279,1),""),"")</f>
        <v/>
      </c>
      <c r="P279" s="31" t="n"/>
      <c r="Q279" s="32" t="n"/>
      <c r="R279" s="37" t="str">
        <f>IF(N(U279)&gt;0,SUMPRODUCT(LARGE(('成交明细'!$A$5:$A$804=A279)*('成交明细'!$D$5:$D$804=IF(F279="空","卖","买"))*'成交明细'!$B$5:$B$804,COUNTIFS('成交明细'!$A$5:$A$804,A279,'成交明细'!$D$5:$D$804,IF(F279="空","卖","买")))),"")</f>
        <v/>
      </c>
      <c r="S279" s="37" t="str">
        <f>IF(AND(N(U279)&gt;0,N(W279)&gt;=N(U279)),SUMPRODUCT(MAX(('成交明细'!$A$5:$A$804=A279)*('成交明细'!$D$5:$D$804=IF(F279="空","买","卖"))*'成交明细'!$B$5:$B$804)),"")</f>
        <v/>
      </c>
      <c r="T279" s="38" t="str">
        <f>IF(N(U279)=0,"",IF(SUMPRODUCT(('成交明细'!$A$5:$A$804=A279)*('成交明细'!$D$5:$D$804=IF(F279="空","卖","买"))*ISNUMBER('成交明细'!$C$5:$C$804))=0,"没填时间",IFERROR(VLOOKUP(MOD(SUMPRODUCT(LARGE(('成交明细'!$A$5:$A$804=A279)*('成交明细'!$D$5:$D$804=IF(F279="空","卖","买"))*('成交明细'!$B$5:$B$804+'成交明细'!$C$5:$C$804),COUNTIFS('成交明细'!$A$5:$A$804,A279,'成交明细'!$D$5:$D$804,IF(F279="空","卖","买")))),1),'参数'!$B$39:$C$48,2,TRUE),"")))</f>
        <v/>
      </c>
      <c r="U279" s="35" t="str">
        <f>IF(A279="","",SUMIFS('成交明细'!$F$5:$F$804,'成交明细'!$A$5:$A$804,A279,'成交明细'!$D$5:$D$804,IF(F279="空","卖","买")))</f>
        <v/>
      </c>
      <c r="V279" s="39" t="str">
        <f>IF(N(U279)&gt;0,SUMIFS('成交明细'!$H$5:$H$804,'成交明细'!$A$5:$A$804,A279,'成交明细'!$D$5:$D$804,IF(F279="空","卖","买"))/U279,"")</f>
        <v/>
      </c>
      <c r="W279" s="35" t="str">
        <f>IF(A279="","",SUMIFS('成交明细'!$F$5:$F$804,'成交明细'!$A$5:$A$804,A279,'成交明细'!$D$5:$D$804,IF(F279="空","买","卖")))</f>
        <v/>
      </c>
      <c r="X279" s="39" t="str">
        <f>IF(N(W279)&gt;0,SUMIFS('成交明细'!$H$5:$H$804,'成交明细'!$A$5:$A$804,A279,'成交明细'!$D$5:$D$804,IF(F279="空","买","卖"))/W279,"")</f>
        <v/>
      </c>
      <c r="Y279" s="40" t="str">
        <f>IF(A279="","",IF(Q279&lt;&gt;"已执行",IF(Q279="","未填执行情况",Q279),IF(N(U279)=0,"待录成交",IF(N(W279)&gt;N(U279),"平仓多于开仓",IF(N(W279)&lt;N(U279),"持仓中","已平仓")))))</f>
        <v/>
      </c>
      <c r="Z279" s="41" t="str">
        <f>IF(N(U279)=0,"",SUMIFS('成交明细'!$L$5:$L$804,'成交明细'!$A$5:$A$804,A279))</f>
        <v/>
      </c>
      <c r="AA279" s="42" t="str">
        <f>IF(Y279&lt;&gt;"已平仓","",(SUMIFS('成交明细'!$H$5:$H$804,'成交明细'!$A$5:$A$804,A279,'成交明细'!$D$5:$D$804,"卖")-SUMIFS('成交明细'!$H$5:$H$804,'成交明细'!$A$5:$A$804,A279,'成交明细'!$D$5:$D$804,"买"))*IF(N(G279)&gt;0,G279,1)-Z279)</f>
        <v/>
      </c>
      <c r="AB279" s="43" t="str">
        <f>IF(AND(Y279="已平仓",ISNUMBER(O279)),(SUMIFS('成交明细'!$H$5:$H$804,'成交明细'!$A$5:$A$804,A279,'成交明细'!$D$5:$D$804,"卖")-SUMIFS('成交明细'!$H$5:$H$804,'成交明细'!$A$5:$A$804,A279,'成交明细'!$D$5:$D$804,"买"))*IF(N(G279)&gt;0,G279,1)/O279,"")</f>
        <v/>
      </c>
      <c r="AC279" s="43" t="str">
        <f>IF(AND(Y279="已平仓",ISNUMBER(O279)),AA279/O279,"")</f>
        <v/>
      </c>
      <c r="AD279" s="44" t="str">
        <f>IF(AND(ISNUMBER(V279),ISNUMBER(I279)),IF(F279="空",I279-V279,V279-I279),"")</f>
        <v/>
      </c>
      <c r="AE279" s="44" t="str">
        <f>IF(OR(NOT(ISNUMBER(AA279)),NOT(ISNUMBER(X279))),"",IF(AA279&lt;0,IF(F279="空",X279-J279,J279-X279),IF(NOT(ISNUMBER(K279)),"",IF(F279="空",X279-K279,K279-X279))))</f>
        <v/>
      </c>
      <c r="AF279" s="32" t="n"/>
      <c r="AG279" s="32" t="n"/>
      <c r="AH279" s="31" t="n"/>
      <c r="AI279" s="43" t="str">
        <f>IF(A279="","",SUM(AC$5:AC279))</f>
        <v/>
      </c>
      <c r="AJ279" s="45" t="str">
        <f>IF(A279="","",MAX(0,MAX(AI$5:AI279))-AI279)</f>
        <v/>
      </c>
    </row>
    <row r="280">
      <c r="A280" s="29" t="n"/>
      <c r="B280" s="30" t="n"/>
      <c r="C280" s="31" t="n"/>
      <c r="D280" s="32" t="n"/>
      <c r="E280" s="32" t="n"/>
      <c r="F280" s="32" t="n"/>
      <c r="G280" s="32" t="n"/>
      <c r="H280" s="32" t="n"/>
      <c r="I280" s="33" t="n"/>
      <c r="J280" s="33" t="n"/>
      <c r="K280" s="33" t="n"/>
      <c r="L280" s="34" t="str">
        <f>IF(AND(ISNUMBER(I280),ISNUMBER(J280),ISNUMBER(K280)),IF(OR(AND(F280="多",I280&gt;J280),AND(F280="空",I280&lt;J280)),ABS(K280-I280)/ABS(I280-J280),"止损方向不对"),"")</f>
        <v/>
      </c>
      <c r="M280" s="35" t="str">
        <f>IF(AND(ISNUMBER(I280),ISNUMBER(J280)),IF(I280=J280,"",IF(INT(ROUND('参数'!$C$7/(ABS(I280-J280)*IF(N(G280)&gt;0,G280,1)+2*(I280*IF(N(G280)&gt;0,G280,1)*'参数'!$C$12+'参数'!$C$13+'参数'!$C$14*IF(N(G280)&gt;0,G280,1)))/IF(N(H280)&gt;0,H280,1),6))*IF(N(H280)&gt;0,H280,1)&gt;0,INT(ROUND('参数'!$C$7/(ABS(I280-J280)*IF(N(G280)&gt;0,G280,1)+2*(I280*IF(N(G280)&gt;0,G280,1)*'参数'!$C$12+'参数'!$C$13+'参数'!$C$14*IF(N(G280)&gt;0,G280,1)))/IF(N(H280)&gt;0,H280,1),6))*IF(N(H280)&gt;0,H280,1),"预算不足，这笔不做")),"")</f>
        <v/>
      </c>
      <c r="N280" s="36" t="n"/>
      <c r="O280" s="20" t="str">
        <f>IF(AND(ISNUMBER(I280),ISNUMBER(J280),ISNUMBER(N280)),IF(AND(I280&lt;&gt;J280,N280&gt;0),ABS(I280-J280)*N280*IF(N(G280)&gt;0,G280,1),""),"")</f>
        <v/>
      </c>
      <c r="P280" s="31" t="n"/>
      <c r="Q280" s="32" t="n"/>
      <c r="R280" s="37" t="str">
        <f>IF(N(U280)&gt;0,SUMPRODUCT(LARGE(('成交明细'!$A$5:$A$804=A280)*('成交明细'!$D$5:$D$804=IF(F280="空","卖","买"))*'成交明细'!$B$5:$B$804,COUNTIFS('成交明细'!$A$5:$A$804,A280,'成交明细'!$D$5:$D$804,IF(F280="空","卖","买")))),"")</f>
        <v/>
      </c>
      <c r="S280" s="37" t="str">
        <f>IF(AND(N(U280)&gt;0,N(W280)&gt;=N(U280)),SUMPRODUCT(MAX(('成交明细'!$A$5:$A$804=A280)*('成交明细'!$D$5:$D$804=IF(F280="空","买","卖"))*'成交明细'!$B$5:$B$804)),"")</f>
        <v/>
      </c>
      <c r="T280" s="38" t="str">
        <f>IF(N(U280)=0,"",IF(SUMPRODUCT(('成交明细'!$A$5:$A$804=A280)*('成交明细'!$D$5:$D$804=IF(F280="空","卖","买"))*ISNUMBER('成交明细'!$C$5:$C$804))=0,"没填时间",IFERROR(VLOOKUP(MOD(SUMPRODUCT(LARGE(('成交明细'!$A$5:$A$804=A280)*('成交明细'!$D$5:$D$804=IF(F280="空","卖","买"))*('成交明细'!$B$5:$B$804+'成交明细'!$C$5:$C$804),COUNTIFS('成交明细'!$A$5:$A$804,A280,'成交明细'!$D$5:$D$804,IF(F280="空","卖","买")))),1),'参数'!$B$39:$C$48,2,TRUE),"")))</f>
        <v/>
      </c>
      <c r="U280" s="35" t="str">
        <f>IF(A280="","",SUMIFS('成交明细'!$F$5:$F$804,'成交明细'!$A$5:$A$804,A280,'成交明细'!$D$5:$D$804,IF(F280="空","卖","买")))</f>
        <v/>
      </c>
      <c r="V280" s="39" t="str">
        <f>IF(N(U280)&gt;0,SUMIFS('成交明细'!$H$5:$H$804,'成交明细'!$A$5:$A$804,A280,'成交明细'!$D$5:$D$804,IF(F280="空","卖","买"))/U280,"")</f>
        <v/>
      </c>
      <c r="W280" s="35" t="str">
        <f>IF(A280="","",SUMIFS('成交明细'!$F$5:$F$804,'成交明细'!$A$5:$A$804,A280,'成交明细'!$D$5:$D$804,IF(F280="空","买","卖")))</f>
        <v/>
      </c>
      <c r="X280" s="39" t="str">
        <f>IF(N(W280)&gt;0,SUMIFS('成交明细'!$H$5:$H$804,'成交明细'!$A$5:$A$804,A280,'成交明细'!$D$5:$D$804,IF(F280="空","买","卖"))/W280,"")</f>
        <v/>
      </c>
      <c r="Y280" s="40" t="str">
        <f>IF(A280="","",IF(Q280&lt;&gt;"已执行",IF(Q280="","未填执行情况",Q280),IF(N(U280)=0,"待录成交",IF(N(W280)&gt;N(U280),"平仓多于开仓",IF(N(W280)&lt;N(U280),"持仓中","已平仓")))))</f>
        <v/>
      </c>
      <c r="Z280" s="41" t="str">
        <f>IF(N(U280)=0,"",SUMIFS('成交明细'!$L$5:$L$804,'成交明细'!$A$5:$A$804,A280))</f>
        <v/>
      </c>
      <c r="AA280" s="42" t="str">
        <f>IF(Y280&lt;&gt;"已平仓","",(SUMIFS('成交明细'!$H$5:$H$804,'成交明细'!$A$5:$A$804,A280,'成交明细'!$D$5:$D$804,"卖")-SUMIFS('成交明细'!$H$5:$H$804,'成交明细'!$A$5:$A$804,A280,'成交明细'!$D$5:$D$804,"买"))*IF(N(G280)&gt;0,G280,1)-Z280)</f>
        <v/>
      </c>
      <c r="AB280" s="43" t="str">
        <f>IF(AND(Y280="已平仓",ISNUMBER(O280)),(SUMIFS('成交明细'!$H$5:$H$804,'成交明细'!$A$5:$A$804,A280,'成交明细'!$D$5:$D$804,"卖")-SUMIFS('成交明细'!$H$5:$H$804,'成交明细'!$A$5:$A$804,A280,'成交明细'!$D$5:$D$804,"买"))*IF(N(G280)&gt;0,G280,1)/O280,"")</f>
        <v/>
      </c>
      <c r="AC280" s="43" t="str">
        <f>IF(AND(Y280="已平仓",ISNUMBER(O280)),AA280/O280,"")</f>
        <v/>
      </c>
      <c r="AD280" s="44" t="str">
        <f>IF(AND(ISNUMBER(V280),ISNUMBER(I280)),IF(F280="空",I280-V280,V280-I280),"")</f>
        <v/>
      </c>
      <c r="AE280" s="44" t="str">
        <f>IF(OR(NOT(ISNUMBER(AA280)),NOT(ISNUMBER(X280))),"",IF(AA280&lt;0,IF(F280="空",X280-J280,J280-X280),IF(NOT(ISNUMBER(K280)),"",IF(F280="空",X280-K280,K280-X280))))</f>
        <v/>
      </c>
      <c r="AF280" s="32" t="n"/>
      <c r="AG280" s="32" t="n"/>
      <c r="AH280" s="31" t="n"/>
      <c r="AI280" s="43" t="str">
        <f>IF(A280="","",SUM(AC$5:AC280))</f>
        <v/>
      </c>
      <c r="AJ280" s="45" t="str">
        <f>IF(A280="","",MAX(0,MAX(AI$5:AI280))-AI280)</f>
        <v/>
      </c>
    </row>
    <row r="281">
      <c r="A281" s="29" t="n"/>
      <c r="B281" s="30" t="n"/>
      <c r="C281" s="31" t="n"/>
      <c r="D281" s="32" t="n"/>
      <c r="E281" s="32" t="n"/>
      <c r="F281" s="32" t="n"/>
      <c r="G281" s="32" t="n"/>
      <c r="H281" s="32" t="n"/>
      <c r="I281" s="33" t="n"/>
      <c r="J281" s="33" t="n"/>
      <c r="K281" s="33" t="n"/>
      <c r="L281" s="34" t="str">
        <f>IF(AND(ISNUMBER(I281),ISNUMBER(J281),ISNUMBER(K281)),IF(OR(AND(F281="多",I281&gt;J281),AND(F281="空",I281&lt;J281)),ABS(K281-I281)/ABS(I281-J281),"止损方向不对"),"")</f>
        <v/>
      </c>
      <c r="M281" s="35" t="str">
        <f>IF(AND(ISNUMBER(I281),ISNUMBER(J281)),IF(I281=J281,"",IF(INT(ROUND('参数'!$C$7/(ABS(I281-J281)*IF(N(G281)&gt;0,G281,1)+2*(I281*IF(N(G281)&gt;0,G281,1)*'参数'!$C$12+'参数'!$C$13+'参数'!$C$14*IF(N(G281)&gt;0,G281,1)))/IF(N(H281)&gt;0,H281,1),6))*IF(N(H281)&gt;0,H281,1)&gt;0,INT(ROUND('参数'!$C$7/(ABS(I281-J281)*IF(N(G281)&gt;0,G281,1)+2*(I281*IF(N(G281)&gt;0,G281,1)*'参数'!$C$12+'参数'!$C$13+'参数'!$C$14*IF(N(G281)&gt;0,G281,1)))/IF(N(H281)&gt;0,H281,1),6))*IF(N(H281)&gt;0,H281,1),"预算不足，这笔不做")),"")</f>
        <v/>
      </c>
      <c r="N281" s="36" t="n"/>
      <c r="O281" s="20" t="str">
        <f>IF(AND(ISNUMBER(I281),ISNUMBER(J281),ISNUMBER(N281)),IF(AND(I281&lt;&gt;J281,N281&gt;0),ABS(I281-J281)*N281*IF(N(G281)&gt;0,G281,1),""),"")</f>
        <v/>
      </c>
      <c r="P281" s="31" t="n"/>
      <c r="Q281" s="32" t="n"/>
      <c r="R281" s="37" t="str">
        <f>IF(N(U281)&gt;0,SUMPRODUCT(LARGE(('成交明细'!$A$5:$A$804=A281)*('成交明细'!$D$5:$D$804=IF(F281="空","卖","买"))*'成交明细'!$B$5:$B$804,COUNTIFS('成交明细'!$A$5:$A$804,A281,'成交明细'!$D$5:$D$804,IF(F281="空","卖","买")))),"")</f>
        <v/>
      </c>
      <c r="S281" s="37" t="str">
        <f>IF(AND(N(U281)&gt;0,N(W281)&gt;=N(U281)),SUMPRODUCT(MAX(('成交明细'!$A$5:$A$804=A281)*('成交明细'!$D$5:$D$804=IF(F281="空","买","卖"))*'成交明细'!$B$5:$B$804)),"")</f>
        <v/>
      </c>
      <c r="T281" s="38" t="str">
        <f>IF(N(U281)=0,"",IF(SUMPRODUCT(('成交明细'!$A$5:$A$804=A281)*('成交明细'!$D$5:$D$804=IF(F281="空","卖","买"))*ISNUMBER('成交明细'!$C$5:$C$804))=0,"没填时间",IFERROR(VLOOKUP(MOD(SUMPRODUCT(LARGE(('成交明细'!$A$5:$A$804=A281)*('成交明细'!$D$5:$D$804=IF(F281="空","卖","买"))*('成交明细'!$B$5:$B$804+'成交明细'!$C$5:$C$804),COUNTIFS('成交明细'!$A$5:$A$804,A281,'成交明细'!$D$5:$D$804,IF(F281="空","卖","买")))),1),'参数'!$B$39:$C$48,2,TRUE),"")))</f>
        <v/>
      </c>
      <c r="U281" s="35" t="str">
        <f>IF(A281="","",SUMIFS('成交明细'!$F$5:$F$804,'成交明细'!$A$5:$A$804,A281,'成交明细'!$D$5:$D$804,IF(F281="空","卖","买")))</f>
        <v/>
      </c>
      <c r="V281" s="39" t="str">
        <f>IF(N(U281)&gt;0,SUMIFS('成交明细'!$H$5:$H$804,'成交明细'!$A$5:$A$804,A281,'成交明细'!$D$5:$D$804,IF(F281="空","卖","买"))/U281,"")</f>
        <v/>
      </c>
      <c r="W281" s="35" t="str">
        <f>IF(A281="","",SUMIFS('成交明细'!$F$5:$F$804,'成交明细'!$A$5:$A$804,A281,'成交明细'!$D$5:$D$804,IF(F281="空","买","卖")))</f>
        <v/>
      </c>
      <c r="X281" s="39" t="str">
        <f>IF(N(W281)&gt;0,SUMIFS('成交明细'!$H$5:$H$804,'成交明细'!$A$5:$A$804,A281,'成交明细'!$D$5:$D$804,IF(F281="空","买","卖"))/W281,"")</f>
        <v/>
      </c>
      <c r="Y281" s="40" t="str">
        <f>IF(A281="","",IF(Q281&lt;&gt;"已执行",IF(Q281="","未填执行情况",Q281),IF(N(U281)=0,"待录成交",IF(N(W281)&gt;N(U281),"平仓多于开仓",IF(N(W281)&lt;N(U281),"持仓中","已平仓")))))</f>
        <v/>
      </c>
      <c r="Z281" s="41" t="str">
        <f>IF(N(U281)=0,"",SUMIFS('成交明细'!$L$5:$L$804,'成交明细'!$A$5:$A$804,A281))</f>
        <v/>
      </c>
      <c r="AA281" s="42" t="str">
        <f>IF(Y281&lt;&gt;"已平仓","",(SUMIFS('成交明细'!$H$5:$H$804,'成交明细'!$A$5:$A$804,A281,'成交明细'!$D$5:$D$804,"卖")-SUMIFS('成交明细'!$H$5:$H$804,'成交明细'!$A$5:$A$804,A281,'成交明细'!$D$5:$D$804,"买"))*IF(N(G281)&gt;0,G281,1)-Z281)</f>
        <v/>
      </c>
      <c r="AB281" s="43" t="str">
        <f>IF(AND(Y281="已平仓",ISNUMBER(O281)),(SUMIFS('成交明细'!$H$5:$H$804,'成交明细'!$A$5:$A$804,A281,'成交明细'!$D$5:$D$804,"卖")-SUMIFS('成交明细'!$H$5:$H$804,'成交明细'!$A$5:$A$804,A281,'成交明细'!$D$5:$D$804,"买"))*IF(N(G281)&gt;0,G281,1)/O281,"")</f>
        <v/>
      </c>
      <c r="AC281" s="43" t="str">
        <f>IF(AND(Y281="已平仓",ISNUMBER(O281)),AA281/O281,"")</f>
        <v/>
      </c>
      <c r="AD281" s="44" t="str">
        <f>IF(AND(ISNUMBER(V281),ISNUMBER(I281)),IF(F281="空",I281-V281,V281-I281),"")</f>
        <v/>
      </c>
      <c r="AE281" s="44" t="str">
        <f>IF(OR(NOT(ISNUMBER(AA281)),NOT(ISNUMBER(X281))),"",IF(AA281&lt;0,IF(F281="空",X281-J281,J281-X281),IF(NOT(ISNUMBER(K281)),"",IF(F281="空",X281-K281,K281-X281))))</f>
        <v/>
      </c>
      <c r="AF281" s="32" t="n"/>
      <c r="AG281" s="32" t="n"/>
      <c r="AH281" s="31" t="n"/>
      <c r="AI281" s="43" t="str">
        <f>IF(A281="","",SUM(AC$5:AC281))</f>
        <v/>
      </c>
      <c r="AJ281" s="45" t="str">
        <f>IF(A281="","",MAX(0,MAX(AI$5:AI281))-AI281)</f>
        <v/>
      </c>
    </row>
    <row r="282">
      <c r="A282" s="29" t="n"/>
      <c r="B282" s="30" t="n"/>
      <c r="C282" s="31" t="n"/>
      <c r="D282" s="32" t="n"/>
      <c r="E282" s="32" t="n"/>
      <c r="F282" s="32" t="n"/>
      <c r="G282" s="32" t="n"/>
      <c r="H282" s="32" t="n"/>
      <c r="I282" s="33" t="n"/>
      <c r="J282" s="33" t="n"/>
      <c r="K282" s="33" t="n"/>
      <c r="L282" s="34" t="str">
        <f>IF(AND(ISNUMBER(I282),ISNUMBER(J282),ISNUMBER(K282)),IF(OR(AND(F282="多",I282&gt;J282),AND(F282="空",I282&lt;J282)),ABS(K282-I282)/ABS(I282-J282),"止损方向不对"),"")</f>
        <v/>
      </c>
      <c r="M282" s="35" t="str">
        <f>IF(AND(ISNUMBER(I282),ISNUMBER(J282)),IF(I282=J282,"",IF(INT(ROUND('参数'!$C$7/(ABS(I282-J282)*IF(N(G282)&gt;0,G282,1)+2*(I282*IF(N(G282)&gt;0,G282,1)*'参数'!$C$12+'参数'!$C$13+'参数'!$C$14*IF(N(G282)&gt;0,G282,1)))/IF(N(H282)&gt;0,H282,1),6))*IF(N(H282)&gt;0,H282,1)&gt;0,INT(ROUND('参数'!$C$7/(ABS(I282-J282)*IF(N(G282)&gt;0,G282,1)+2*(I282*IF(N(G282)&gt;0,G282,1)*'参数'!$C$12+'参数'!$C$13+'参数'!$C$14*IF(N(G282)&gt;0,G282,1)))/IF(N(H282)&gt;0,H282,1),6))*IF(N(H282)&gt;0,H282,1),"预算不足，这笔不做")),"")</f>
        <v/>
      </c>
      <c r="N282" s="36" t="n"/>
      <c r="O282" s="20" t="str">
        <f>IF(AND(ISNUMBER(I282),ISNUMBER(J282),ISNUMBER(N282)),IF(AND(I282&lt;&gt;J282,N282&gt;0),ABS(I282-J282)*N282*IF(N(G282)&gt;0,G282,1),""),"")</f>
        <v/>
      </c>
      <c r="P282" s="31" t="n"/>
      <c r="Q282" s="32" t="n"/>
      <c r="R282" s="37" t="str">
        <f>IF(N(U282)&gt;0,SUMPRODUCT(LARGE(('成交明细'!$A$5:$A$804=A282)*('成交明细'!$D$5:$D$804=IF(F282="空","卖","买"))*'成交明细'!$B$5:$B$804,COUNTIFS('成交明细'!$A$5:$A$804,A282,'成交明细'!$D$5:$D$804,IF(F282="空","卖","买")))),"")</f>
        <v/>
      </c>
      <c r="S282" s="37" t="str">
        <f>IF(AND(N(U282)&gt;0,N(W282)&gt;=N(U282)),SUMPRODUCT(MAX(('成交明细'!$A$5:$A$804=A282)*('成交明细'!$D$5:$D$804=IF(F282="空","买","卖"))*'成交明细'!$B$5:$B$804)),"")</f>
        <v/>
      </c>
      <c r="T282" s="38" t="str">
        <f>IF(N(U282)=0,"",IF(SUMPRODUCT(('成交明细'!$A$5:$A$804=A282)*('成交明细'!$D$5:$D$804=IF(F282="空","卖","买"))*ISNUMBER('成交明细'!$C$5:$C$804))=0,"没填时间",IFERROR(VLOOKUP(MOD(SUMPRODUCT(LARGE(('成交明细'!$A$5:$A$804=A282)*('成交明细'!$D$5:$D$804=IF(F282="空","卖","买"))*('成交明细'!$B$5:$B$804+'成交明细'!$C$5:$C$804),COUNTIFS('成交明细'!$A$5:$A$804,A282,'成交明细'!$D$5:$D$804,IF(F282="空","卖","买")))),1),'参数'!$B$39:$C$48,2,TRUE),"")))</f>
        <v/>
      </c>
      <c r="U282" s="35" t="str">
        <f>IF(A282="","",SUMIFS('成交明细'!$F$5:$F$804,'成交明细'!$A$5:$A$804,A282,'成交明细'!$D$5:$D$804,IF(F282="空","卖","买")))</f>
        <v/>
      </c>
      <c r="V282" s="39" t="str">
        <f>IF(N(U282)&gt;0,SUMIFS('成交明细'!$H$5:$H$804,'成交明细'!$A$5:$A$804,A282,'成交明细'!$D$5:$D$804,IF(F282="空","卖","买"))/U282,"")</f>
        <v/>
      </c>
      <c r="W282" s="35" t="str">
        <f>IF(A282="","",SUMIFS('成交明细'!$F$5:$F$804,'成交明细'!$A$5:$A$804,A282,'成交明细'!$D$5:$D$804,IF(F282="空","买","卖")))</f>
        <v/>
      </c>
      <c r="X282" s="39" t="str">
        <f>IF(N(W282)&gt;0,SUMIFS('成交明细'!$H$5:$H$804,'成交明细'!$A$5:$A$804,A282,'成交明细'!$D$5:$D$804,IF(F282="空","买","卖"))/W282,"")</f>
        <v/>
      </c>
      <c r="Y282" s="40" t="str">
        <f>IF(A282="","",IF(Q282&lt;&gt;"已执行",IF(Q282="","未填执行情况",Q282),IF(N(U282)=0,"待录成交",IF(N(W282)&gt;N(U282),"平仓多于开仓",IF(N(W282)&lt;N(U282),"持仓中","已平仓")))))</f>
        <v/>
      </c>
      <c r="Z282" s="41" t="str">
        <f>IF(N(U282)=0,"",SUMIFS('成交明细'!$L$5:$L$804,'成交明细'!$A$5:$A$804,A282))</f>
        <v/>
      </c>
      <c r="AA282" s="42" t="str">
        <f>IF(Y282&lt;&gt;"已平仓","",(SUMIFS('成交明细'!$H$5:$H$804,'成交明细'!$A$5:$A$804,A282,'成交明细'!$D$5:$D$804,"卖")-SUMIFS('成交明细'!$H$5:$H$804,'成交明细'!$A$5:$A$804,A282,'成交明细'!$D$5:$D$804,"买"))*IF(N(G282)&gt;0,G282,1)-Z282)</f>
        <v/>
      </c>
      <c r="AB282" s="43" t="str">
        <f>IF(AND(Y282="已平仓",ISNUMBER(O282)),(SUMIFS('成交明细'!$H$5:$H$804,'成交明细'!$A$5:$A$804,A282,'成交明细'!$D$5:$D$804,"卖")-SUMIFS('成交明细'!$H$5:$H$804,'成交明细'!$A$5:$A$804,A282,'成交明细'!$D$5:$D$804,"买"))*IF(N(G282)&gt;0,G282,1)/O282,"")</f>
        <v/>
      </c>
      <c r="AC282" s="43" t="str">
        <f>IF(AND(Y282="已平仓",ISNUMBER(O282)),AA282/O282,"")</f>
        <v/>
      </c>
      <c r="AD282" s="44" t="str">
        <f>IF(AND(ISNUMBER(V282),ISNUMBER(I282)),IF(F282="空",I282-V282,V282-I282),"")</f>
        <v/>
      </c>
      <c r="AE282" s="44" t="str">
        <f>IF(OR(NOT(ISNUMBER(AA282)),NOT(ISNUMBER(X282))),"",IF(AA282&lt;0,IF(F282="空",X282-J282,J282-X282),IF(NOT(ISNUMBER(K282)),"",IF(F282="空",X282-K282,K282-X282))))</f>
        <v/>
      </c>
      <c r="AF282" s="32" t="n"/>
      <c r="AG282" s="32" t="n"/>
      <c r="AH282" s="31" t="n"/>
      <c r="AI282" s="43" t="str">
        <f>IF(A282="","",SUM(AC$5:AC282))</f>
        <v/>
      </c>
      <c r="AJ282" s="45" t="str">
        <f>IF(A282="","",MAX(0,MAX(AI$5:AI282))-AI282)</f>
        <v/>
      </c>
    </row>
    <row r="283">
      <c r="A283" s="29" t="n"/>
      <c r="B283" s="30" t="n"/>
      <c r="C283" s="31" t="n"/>
      <c r="D283" s="32" t="n"/>
      <c r="E283" s="32" t="n"/>
      <c r="F283" s="32" t="n"/>
      <c r="G283" s="32" t="n"/>
      <c r="H283" s="32" t="n"/>
      <c r="I283" s="33" t="n"/>
      <c r="J283" s="33" t="n"/>
      <c r="K283" s="33" t="n"/>
      <c r="L283" s="34" t="str">
        <f>IF(AND(ISNUMBER(I283),ISNUMBER(J283),ISNUMBER(K283)),IF(OR(AND(F283="多",I283&gt;J283),AND(F283="空",I283&lt;J283)),ABS(K283-I283)/ABS(I283-J283),"止损方向不对"),"")</f>
        <v/>
      </c>
      <c r="M283" s="35" t="str">
        <f>IF(AND(ISNUMBER(I283),ISNUMBER(J283)),IF(I283=J283,"",IF(INT(ROUND('参数'!$C$7/(ABS(I283-J283)*IF(N(G283)&gt;0,G283,1)+2*(I283*IF(N(G283)&gt;0,G283,1)*'参数'!$C$12+'参数'!$C$13+'参数'!$C$14*IF(N(G283)&gt;0,G283,1)))/IF(N(H283)&gt;0,H283,1),6))*IF(N(H283)&gt;0,H283,1)&gt;0,INT(ROUND('参数'!$C$7/(ABS(I283-J283)*IF(N(G283)&gt;0,G283,1)+2*(I283*IF(N(G283)&gt;0,G283,1)*'参数'!$C$12+'参数'!$C$13+'参数'!$C$14*IF(N(G283)&gt;0,G283,1)))/IF(N(H283)&gt;0,H283,1),6))*IF(N(H283)&gt;0,H283,1),"预算不足，这笔不做")),"")</f>
        <v/>
      </c>
      <c r="N283" s="36" t="n"/>
      <c r="O283" s="20" t="str">
        <f>IF(AND(ISNUMBER(I283),ISNUMBER(J283),ISNUMBER(N283)),IF(AND(I283&lt;&gt;J283,N283&gt;0),ABS(I283-J283)*N283*IF(N(G283)&gt;0,G283,1),""),"")</f>
        <v/>
      </c>
      <c r="P283" s="31" t="n"/>
      <c r="Q283" s="32" t="n"/>
      <c r="R283" s="37" t="str">
        <f>IF(N(U283)&gt;0,SUMPRODUCT(LARGE(('成交明细'!$A$5:$A$804=A283)*('成交明细'!$D$5:$D$804=IF(F283="空","卖","买"))*'成交明细'!$B$5:$B$804,COUNTIFS('成交明细'!$A$5:$A$804,A283,'成交明细'!$D$5:$D$804,IF(F283="空","卖","买")))),"")</f>
        <v/>
      </c>
      <c r="S283" s="37" t="str">
        <f>IF(AND(N(U283)&gt;0,N(W283)&gt;=N(U283)),SUMPRODUCT(MAX(('成交明细'!$A$5:$A$804=A283)*('成交明细'!$D$5:$D$804=IF(F283="空","买","卖"))*'成交明细'!$B$5:$B$804)),"")</f>
        <v/>
      </c>
      <c r="T283" s="38" t="str">
        <f>IF(N(U283)=0,"",IF(SUMPRODUCT(('成交明细'!$A$5:$A$804=A283)*('成交明细'!$D$5:$D$804=IF(F283="空","卖","买"))*ISNUMBER('成交明细'!$C$5:$C$804))=0,"没填时间",IFERROR(VLOOKUP(MOD(SUMPRODUCT(LARGE(('成交明细'!$A$5:$A$804=A283)*('成交明细'!$D$5:$D$804=IF(F283="空","卖","买"))*('成交明细'!$B$5:$B$804+'成交明细'!$C$5:$C$804),COUNTIFS('成交明细'!$A$5:$A$804,A283,'成交明细'!$D$5:$D$804,IF(F283="空","卖","买")))),1),'参数'!$B$39:$C$48,2,TRUE),"")))</f>
        <v/>
      </c>
      <c r="U283" s="35" t="str">
        <f>IF(A283="","",SUMIFS('成交明细'!$F$5:$F$804,'成交明细'!$A$5:$A$804,A283,'成交明细'!$D$5:$D$804,IF(F283="空","卖","买")))</f>
        <v/>
      </c>
      <c r="V283" s="39" t="str">
        <f>IF(N(U283)&gt;0,SUMIFS('成交明细'!$H$5:$H$804,'成交明细'!$A$5:$A$804,A283,'成交明细'!$D$5:$D$804,IF(F283="空","卖","买"))/U283,"")</f>
        <v/>
      </c>
      <c r="W283" s="35" t="str">
        <f>IF(A283="","",SUMIFS('成交明细'!$F$5:$F$804,'成交明细'!$A$5:$A$804,A283,'成交明细'!$D$5:$D$804,IF(F283="空","买","卖")))</f>
        <v/>
      </c>
      <c r="X283" s="39" t="str">
        <f>IF(N(W283)&gt;0,SUMIFS('成交明细'!$H$5:$H$804,'成交明细'!$A$5:$A$804,A283,'成交明细'!$D$5:$D$804,IF(F283="空","买","卖"))/W283,"")</f>
        <v/>
      </c>
      <c r="Y283" s="40" t="str">
        <f>IF(A283="","",IF(Q283&lt;&gt;"已执行",IF(Q283="","未填执行情况",Q283),IF(N(U283)=0,"待录成交",IF(N(W283)&gt;N(U283),"平仓多于开仓",IF(N(W283)&lt;N(U283),"持仓中","已平仓")))))</f>
        <v/>
      </c>
      <c r="Z283" s="41" t="str">
        <f>IF(N(U283)=0,"",SUMIFS('成交明细'!$L$5:$L$804,'成交明细'!$A$5:$A$804,A283))</f>
        <v/>
      </c>
      <c r="AA283" s="42" t="str">
        <f>IF(Y283&lt;&gt;"已平仓","",(SUMIFS('成交明细'!$H$5:$H$804,'成交明细'!$A$5:$A$804,A283,'成交明细'!$D$5:$D$804,"卖")-SUMIFS('成交明细'!$H$5:$H$804,'成交明细'!$A$5:$A$804,A283,'成交明细'!$D$5:$D$804,"买"))*IF(N(G283)&gt;0,G283,1)-Z283)</f>
        <v/>
      </c>
      <c r="AB283" s="43" t="str">
        <f>IF(AND(Y283="已平仓",ISNUMBER(O283)),(SUMIFS('成交明细'!$H$5:$H$804,'成交明细'!$A$5:$A$804,A283,'成交明细'!$D$5:$D$804,"卖")-SUMIFS('成交明细'!$H$5:$H$804,'成交明细'!$A$5:$A$804,A283,'成交明细'!$D$5:$D$804,"买"))*IF(N(G283)&gt;0,G283,1)/O283,"")</f>
        <v/>
      </c>
      <c r="AC283" s="43" t="str">
        <f>IF(AND(Y283="已平仓",ISNUMBER(O283)),AA283/O283,"")</f>
        <v/>
      </c>
      <c r="AD283" s="44" t="str">
        <f>IF(AND(ISNUMBER(V283),ISNUMBER(I283)),IF(F283="空",I283-V283,V283-I283),"")</f>
        <v/>
      </c>
      <c r="AE283" s="44" t="str">
        <f>IF(OR(NOT(ISNUMBER(AA283)),NOT(ISNUMBER(X283))),"",IF(AA283&lt;0,IF(F283="空",X283-J283,J283-X283),IF(NOT(ISNUMBER(K283)),"",IF(F283="空",X283-K283,K283-X283))))</f>
        <v/>
      </c>
      <c r="AF283" s="32" t="n"/>
      <c r="AG283" s="32" t="n"/>
      <c r="AH283" s="31" t="n"/>
      <c r="AI283" s="43" t="str">
        <f>IF(A283="","",SUM(AC$5:AC283))</f>
        <v/>
      </c>
      <c r="AJ283" s="45" t="str">
        <f>IF(A283="","",MAX(0,MAX(AI$5:AI283))-AI283)</f>
        <v/>
      </c>
    </row>
    <row r="284">
      <c r="A284" s="29" t="n"/>
      <c r="B284" s="30" t="n"/>
      <c r="C284" s="31" t="n"/>
      <c r="D284" s="32" t="n"/>
      <c r="E284" s="32" t="n"/>
      <c r="F284" s="32" t="n"/>
      <c r="G284" s="32" t="n"/>
      <c r="H284" s="32" t="n"/>
      <c r="I284" s="33" t="n"/>
      <c r="J284" s="33" t="n"/>
      <c r="K284" s="33" t="n"/>
      <c r="L284" s="34" t="str">
        <f>IF(AND(ISNUMBER(I284),ISNUMBER(J284),ISNUMBER(K284)),IF(OR(AND(F284="多",I284&gt;J284),AND(F284="空",I284&lt;J284)),ABS(K284-I284)/ABS(I284-J284),"止损方向不对"),"")</f>
        <v/>
      </c>
      <c r="M284" s="35" t="str">
        <f>IF(AND(ISNUMBER(I284),ISNUMBER(J284)),IF(I284=J284,"",IF(INT(ROUND('参数'!$C$7/(ABS(I284-J284)*IF(N(G284)&gt;0,G284,1)+2*(I284*IF(N(G284)&gt;0,G284,1)*'参数'!$C$12+'参数'!$C$13+'参数'!$C$14*IF(N(G284)&gt;0,G284,1)))/IF(N(H284)&gt;0,H284,1),6))*IF(N(H284)&gt;0,H284,1)&gt;0,INT(ROUND('参数'!$C$7/(ABS(I284-J284)*IF(N(G284)&gt;0,G284,1)+2*(I284*IF(N(G284)&gt;0,G284,1)*'参数'!$C$12+'参数'!$C$13+'参数'!$C$14*IF(N(G284)&gt;0,G284,1)))/IF(N(H284)&gt;0,H284,1),6))*IF(N(H284)&gt;0,H284,1),"预算不足，这笔不做")),"")</f>
        <v/>
      </c>
      <c r="N284" s="36" t="n"/>
      <c r="O284" s="20" t="str">
        <f>IF(AND(ISNUMBER(I284),ISNUMBER(J284),ISNUMBER(N284)),IF(AND(I284&lt;&gt;J284,N284&gt;0),ABS(I284-J284)*N284*IF(N(G284)&gt;0,G284,1),""),"")</f>
        <v/>
      </c>
      <c r="P284" s="31" t="n"/>
      <c r="Q284" s="32" t="n"/>
      <c r="R284" s="37" t="str">
        <f>IF(N(U284)&gt;0,SUMPRODUCT(LARGE(('成交明细'!$A$5:$A$804=A284)*('成交明细'!$D$5:$D$804=IF(F284="空","卖","买"))*'成交明细'!$B$5:$B$804,COUNTIFS('成交明细'!$A$5:$A$804,A284,'成交明细'!$D$5:$D$804,IF(F284="空","卖","买")))),"")</f>
        <v/>
      </c>
      <c r="S284" s="37" t="str">
        <f>IF(AND(N(U284)&gt;0,N(W284)&gt;=N(U284)),SUMPRODUCT(MAX(('成交明细'!$A$5:$A$804=A284)*('成交明细'!$D$5:$D$804=IF(F284="空","买","卖"))*'成交明细'!$B$5:$B$804)),"")</f>
        <v/>
      </c>
      <c r="T284" s="38" t="str">
        <f>IF(N(U284)=0,"",IF(SUMPRODUCT(('成交明细'!$A$5:$A$804=A284)*('成交明细'!$D$5:$D$804=IF(F284="空","卖","买"))*ISNUMBER('成交明细'!$C$5:$C$804))=0,"没填时间",IFERROR(VLOOKUP(MOD(SUMPRODUCT(LARGE(('成交明细'!$A$5:$A$804=A284)*('成交明细'!$D$5:$D$804=IF(F284="空","卖","买"))*('成交明细'!$B$5:$B$804+'成交明细'!$C$5:$C$804),COUNTIFS('成交明细'!$A$5:$A$804,A284,'成交明细'!$D$5:$D$804,IF(F284="空","卖","买")))),1),'参数'!$B$39:$C$48,2,TRUE),"")))</f>
        <v/>
      </c>
      <c r="U284" s="35" t="str">
        <f>IF(A284="","",SUMIFS('成交明细'!$F$5:$F$804,'成交明细'!$A$5:$A$804,A284,'成交明细'!$D$5:$D$804,IF(F284="空","卖","买")))</f>
        <v/>
      </c>
      <c r="V284" s="39" t="str">
        <f>IF(N(U284)&gt;0,SUMIFS('成交明细'!$H$5:$H$804,'成交明细'!$A$5:$A$804,A284,'成交明细'!$D$5:$D$804,IF(F284="空","卖","买"))/U284,"")</f>
        <v/>
      </c>
      <c r="W284" s="35" t="str">
        <f>IF(A284="","",SUMIFS('成交明细'!$F$5:$F$804,'成交明细'!$A$5:$A$804,A284,'成交明细'!$D$5:$D$804,IF(F284="空","买","卖")))</f>
        <v/>
      </c>
      <c r="X284" s="39" t="str">
        <f>IF(N(W284)&gt;0,SUMIFS('成交明细'!$H$5:$H$804,'成交明细'!$A$5:$A$804,A284,'成交明细'!$D$5:$D$804,IF(F284="空","买","卖"))/W284,"")</f>
        <v/>
      </c>
      <c r="Y284" s="40" t="str">
        <f>IF(A284="","",IF(Q284&lt;&gt;"已执行",IF(Q284="","未填执行情况",Q284),IF(N(U284)=0,"待录成交",IF(N(W284)&gt;N(U284),"平仓多于开仓",IF(N(W284)&lt;N(U284),"持仓中","已平仓")))))</f>
        <v/>
      </c>
      <c r="Z284" s="41" t="str">
        <f>IF(N(U284)=0,"",SUMIFS('成交明细'!$L$5:$L$804,'成交明细'!$A$5:$A$804,A284))</f>
        <v/>
      </c>
      <c r="AA284" s="42" t="str">
        <f>IF(Y284&lt;&gt;"已平仓","",(SUMIFS('成交明细'!$H$5:$H$804,'成交明细'!$A$5:$A$804,A284,'成交明细'!$D$5:$D$804,"卖")-SUMIFS('成交明细'!$H$5:$H$804,'成交明细'!$A$5:$A$804,A284,'成交明细'!$D$5:$D$804,"买"))*IF(N(G284)&gt;0,G284,1)-Z284)</f>
        <v/>
      </c>
      <c r="AB284" s="43" t="str">
        <f>IF(AND(Y284="已平仓",ISNUMBER(O284)),(SUMIFS('成交明细'!$H$5:$H$804,'成交明细'!$A$5:$A$804,A284,'成交明细'!$D$5:$D$804,"卖")-SUMIFS('成交明细'!$H$5:$H$804,'成交明细'!$A$5:$A$804,A284,'成交明细'!$D$5:$D$804,"买"))*IF(N(G284)&gt;0,G284,1)/O284,"")</f>
        <v/>
      </c>
      <c r="AC284" s="43" t="str">
        <f>IF(AND(Y284="已平仓",ISNUMBER(O284)),AA284/O284,"")</f>
        <v/>
      </c>
      <c r="AD284" s="44" t="str">
        <f>IF(AND(ISNUMBER(V284),ISNUMBER(I284)),IF(F284="空",I284-V284,V284-I284),"")</f>
        <v/>
      </c>
      <c r="AE284" s="44" t="str">
        <f>IF(OR(NOT(ISNUMBER(AA284)),NOT(ISNUMBER(X284))),"",IF(AA284&lt;0,IF(F284="空",X284-J284,J284-X284),IF(NOT(ISNUMBER(K284)),"",IF(F284="空",X284-K284,K284-X284))))</f>
        <v/>
      </c>
      <c r="AF284" s="32" t="n"/>
      <c r="AG284" s="32" t="n"/>
      <c r="AH284" s="31" t="n"/>
      <c r="AI284" s="43" t="str">
        <f>IF(A284="","",SUM(AC$5:AC284))</f>
        <v/>
      </c>
      <c r="AJ284" s="45" t="str">
        <f>IF(A284="","",MAX(0,MAX(AI$5:AI284))-AI284)</f>
        <v/>
      </c>
    </row>
    <row r="285">
      <c r="A285" s="29" t="n"/>
      <c r="B285" s="30" t="n"/>
      <c r="C285" s="31" t="n"/>
      <c r="D285" s="32" t="n"/>
      <c r="E285" s="32" t="n"/>
      <c r="F285" s="32" t="n"/>
      <c r="G285" s="32" t="n"/>
      <c r="H285" s="32" t="n"/>
      <c r="I285" s="33" t="n"/>
      <c r="J285" s="33" t="n"/>
      <c r="K285" s="33" t="n"/>
      <c r="L285" s="34" t="str">
        <f>IF(AND(ISNUMBER(I285),ISNUMBER(J285),ISNUMBER(K285)),IF(OR(AND(F285="多",I285&gt;J285),AND(F285="空",I285&lt;J285)),ABS(K285-I285)/ABS(I285-J285),"止损方向不对"),"")</f>
        <v/>
      </c>
      <c r="M285" s="35" t="str">
        <f>IF(AND(ISNUMBER(I285),ISNUMBER(J285)),IF(I285=J285,"",IF(INT(ROUND('参数'!$C$7/(ABS(I285-J285)*IF(N(G285)&gt;0,G285,1)+2*(I285*IF(N(G285)&gt;0,G285,1)*'参数'!$C$12+'参数'!$C$13+'参数'!$C$14*IF(N(G285)&gt;0,G285,1)))/IF(N(H285)&gt;0,H285,1),6))*IF(N(H285)&gt;0,H285,1)&gt;0,INT(ROUND('参数'!$C$7/(ABS(I285-J285)*IF(N(G285)&gt;0,G285,1)+2*(I285*IF(N(G285)&gt;0,G285,1)*'参数'!$C$12+'参数'!$C$13+'参数'!$C$14*IF(N(G285)&gt;0,G285,1)))/IF(N(H285)&gt;0,H285,1),6))*IF(N(H285)&gt;0,H285,1),"预算不足，这笔不做")),"")</f>
        <v/>
      </c>
      <c r="N285" s="36" t="n"/>
      <c r="O285" s="20" t="str">
        <f>IF(AND(ISNUMBER(I285),ISNUMBER(J285),ISNUMBER(N285)),IF(AND(I285&lt;&gt;J285,N285&gt;0),ABS(I285-J285)*N285*IF(N(G285)&gt;0,G285,1),""),"")</f>
        <v/>
      </c>
      <c r="P285" s="31" t="n"/>
      <c r="Q285" s="32" t="n"/>
      <c r="R285" s="37" t="str">
        <f>IF(N(U285)&gt;0,SUMPRODUCT(LARGE(('成交明细'!$A$5:$A$804=A285)*('成交明细'!$D$5:$D$804=IF(F285="空","卖","买"))*'成交明细'!$B$5:$B$804,COUNTIFS('成交明细'!$A$5:$A$804,A285,'成交明细'!$D$5:$D$804,IF(F285="空","卖","买")))),"")</f>
        <v/>
      </c>
      <c r="S285" s="37" t="str">
        <f>IF(AND(N(U285)&gt;0,N(W285)&gt;=N(U285)),SUMPRODUCT(MAX(('成交明细'!$A$5:$A$804=A285)*('成交明细'!$D$5:$D$804=IF(F285="空","买","卖"))*'成交明细'!$B$5:$B$804)),"")</f>
        <v/>
      </c>
      <c r="T285" s="38" t="str">
        <f>IF(N(U285)=0,"",IF(SUMPRODUCT(('成交明细'!$A$5:$A$804=A285)*('成交明细'!$D$5:$D$804=IF(F285="空","卖","买"))*ISNUMBER('成交明细'!$C$5:$C$804))=0,"没填时间",IFERROR(VLOOKUP(MOD(SUMPRODUCT(LARGE(('成交明细'!$A$5:$A$804=A285)*('成交明细'!$D$5:$D$804=IF(F285="空","卖","买"))*('成交明细'!$B$5:$B$804+'成交明细'!$C$5:$C$804),COUNTIFS('成交明细'!$A$5:$A$804,A285,'成交明细'!$D$5:$D$804,IF(F285="空","卖","买")))),1),'参数'!$B$39:$C$48,2,TRUE),"")))</f>
        <v/>
      </c>
      <c r="U285" s="35" t="str">
        <f>IF(A285="","",SUMIFS('成交明细'!$F$5:$F$804,'成交明细'!$A$5:$A$804,A285,'成交明细'!$D$5:$D$804,IF(F285="空","卖","买")))</f>
        <v/>
      </c>
      <c r="V285" s="39" t="str">
        <f>IF(N(U285)&gt;0,SUMIFS('成交明细'!$H$5:$H$804,'成交明细'!$A$5:$A$804,A285,'成交明细'!$D$5:$D$804,IF(F285="空","卖","买"))/U285,"")</f>
        <v/>
      </c>
      <c r="W285" s="35" t="str">
        <f>IF(A285="","",SUMIFS('成交明细'!$F$5:$F$804,'成交明细'!$A$5:$A$804,A285,'成交明细'!$D$5:$D$804,IF(F285="空","买","卖")))</f>
        <v/>
      </c>
      <c r="X285" s="39" t="str">
        <f>IF(N(W285)&gt;0,SUMIFS('成交明细'!$H$5:$H$804,'成交明细'!$A$5:$A$804,A285,'成交明细'!$D$5:$D$804,IF(F285="空","买","卖"))/W285,"")</f>
        <v/>
      </c>
      <c r="Y285" s="40" t="str">
        <f>IF(A285="","",IF(Q285&lt;&gt;"已执行",IF(Q285="","未填执行情况",Q285),IF(N(U285)=0,"待录成交",IF(N(W285)&gt;N(U285),"平仓多于开仓",IF(N(W285)&lt;N(U285),"持仓中","已平仓")))))</f>
        <v/>
      </c>
      <c r="Z285" s="41" t="str">
        <f>IF(N(U285)=0,"",SUMIFS('成交明细'!$L$5:$L$804,'成交明细'!$A$5:$A$804,A285))</f>
        <v/>
      </c>
      <c r="AA285" s="42" t="str">
        <f>IF(Y285&lt;&gt;"已平仓","",(SUMIFS('成交明细'!$H$5:$H$804,'成交明细'!$A$5:$A$804,A285,'成交明细'!$D$5:$D$804,"卖")-SUMIFS('成交明细'!$H$5:$H$804,'成交明细'!$A$5:$A$804,A285,'成交明细'!$D$5:$D$804,"买"))*IF(N(G285)&gt;0,G285,1)-Z285)</f>
        <v/>
      </c>
      <c r="AB285" s="43" t="str">
        <f>IF(AND(Y285="已平仓",ISNUMBER(O285)),(SUMIFS('成交明细'!$H$5:$H$804,'成交明细'!$A$5:$A$804,A285,'成交明细'!$D$5:$D$804,"卖")-SUMIFS('成交明细'!$H$5:$H$804,'成交明细'!$A$5:$A$804,A285,'成交明细'!$D$5:$D$804,"买"))*IF(N(G285)&gt;0,G285,1)/O285,"")</f>
        <v/>
      </c>
      <c r="AC285" s="43" t="str">
        <f>IF(AND(Y285="已平仓",ISNUMBER(O285)),AA285/O285,"")</f>
        <v/>
      </c>
      <c r="AD285" s="44" t="str">
        <f>IF(AND(ISNUMBER(V285),ISNUMBER(I285)),IF(F285="空",I285-V285,V285-I285),"")</f>
        <v/>
      </c>
      <c r="AE285" s="44" t="str">
        <f>IF(OR(NOT(ISNUMBER(AA285)),NOT(ISNUMBER(X285))),"",IF(AA285&lt;0,IF(F285="空",X285-J285,J285-X285),IF(NOT(ISNUMBER(K285)),"",IF(F285="空",X285-K285,K285-X285))))</f>
        <v/>
      </c>
      <c r="AF285" s="32" t="n"/>
      <c r="AG285" s="32" t="n"/>
      <c r="AH285" s="31" t="n"/>
      <c r="AI285" s="43" t="str">
        <f>IF(A285="","",SUM(AC$5:AC285))</f>
        <v/>
      </c>
      <c r="AJ285" s="45" t="str">
        <f>IF(A285="","",MAX(0,MAX(AI$5:AI285))-AI285)</f>
        <v/>
      </c>
    </row>
    <row r="286">
      <c r="A286" s="29" t="n"/>
      <c r="B286" s="30" t="n"/>
      <c r="C286" s="31" t="n"/>
      <c r="D286" s="32" t="n"/>
      <c r="E286" s="32" t="n"/>
      <c r="F286" s="32" t="n"/>
      <c r="G286" s="32" t="n"/>
      <c r="H286" s="32" t="n"/>
      <c r="I286" s="33" t="n"/>
      <c r="J286" s="33" t="n"/>
      <c r="K286" s="33" t="n"/>
      <c r="L286" s="34" t="str">
        <f>IF(AND(ISNUMBER(I286),ISNUMBER(J286),ISNUMBER(K286)),IF(OR(AND(F286="多",I286&gt;J286),AND(F286="空",I286&lt;J286)),ABS(K286-I286)/ABS(I286-J286),"止损方向不对"),"")</f>
        <v/>
      </c>
      <c r="M286" s="35" t="str">
        <f>IF(AND(ISNUMBER(I286),ISNUMBER(J286)),IF(I286=J286,"",IF(INT(ROUND('参数'!$C$7/(ABS(I286-J286)*IF(N(G286)&gt;0,G286,1)+2*(I286*IF(N(G286)&gt;0,G286,1)*'参数'!$C$12+'参数'!$C$13+'参数'!$C$14*IF(N(G286)&gt;0,G286,1)))/IF(N(H286)&gt;0,H286,1),6))*IF(N(H286)&gt;0,H286,1)&gt;0,INT(ROUND('参数'!$C$7/(ABS(I286-J286)*IF(N(G286)&gt;0,G286,1)+2*(I286*IF(N(G286)&gt;0,G286,1)*'参数'!$C$12+'参数'!$C$13+'参数'!$C$14*IF(N(G286)&gt;0,G286,1)))/IF(N(H286)&gt;0,H286,1),6))*IF(N(H286)&gt;0,H286,1),"预算不足，这笔不做")),"")</f>
        <v/>
      </c>
      <c r="N286" s="36" t="n"/>
      <c r="O286" s="20" t="str">
        <f>IF(AND(ISNUMBER(I286),ISNUMBER(J286),ISNUMBER(N286)),IF(AND(I286&lt;&gt;J286,N286&gt;0),ABS(I286-J286)*N286*IF(N(G286)&gt;0,G286,1),""),"")</f>
        <v/>
      </c>
      <c r="P286" s="31" t="n"/>
      <c r="Q286" s="32" t="n"/>
      <c r="R286" s="37" t="str">
        <f>IF(N(U286)&gt;0,SUMPRODUCT(LARGE(('成交明细'!$A$5:$A$804=A286)*('成交明细'!$D$5:$D$804=IF(F286="空","卖","买"))*'成交明细'!$B$5:$B$804,COUNTIFS('成交明细'!$A$5:$A$804,A286,'成交明细'!$D$5:$D$804,IF(F286="空","卖","买")))),"")</f>
        <v/>
      </c>
      <c r="S286" s="37" t="str">
        <f>IF(AND(N(U286)&gt;0,N(W286)&gt;=N(U286)),SUMPRODUCT(MAX(('成交明细'!$A$5:$A$804=A286)*('成交明细'!$D$5:$D$804=IF(F286="空","买","卖"))*'成交明细'!$B$5:$B$804)),"")</f>
        <v/>
      </c>
      <c r="T286" s="38" t="str">
        <f>IF(N(U286)=0,"",IF(SUMPRODUCT(('成交明细'!$A$5:$A$804=A286)*('成交明细'!$D$5:$D$804=IF(F286="空","卖","买"))*ISNUMBER('成交明细'!$C$5:$C$804))=0,"没填时间",IFERROR(VLOOKUP(MOD(SUMPRODUCT(LARGE(('成交明细'!$A$5:$A$804=A286)*('成交明细'!$D$5:$D$804=IF(F286="空","卖","买"))*('成交明细'!$B$5:$B$804+'成交明细'!$C$5:$C$804),COUNTIFS('成交明细'!$A$5:$A$804,A286,'成交明细'!$D$5:$D$804,IF(F286="空","卖","买")))),1),'参数'!$B$39:$C$48,2,TRUE),"")))</f>
        <v/>
      </c>
      <c r="U286" s="35" t="str">
        <f>IF(A286="","",SUMIFS('成交明细'!$F$5:$F$804,'成交明细'!$A$5:$A$804,A286,'成交明细'!$D$5:$D$804,IF(F286="空","卖","买")))</f>
        <v/>
      </c>
      <c r="V286" s="39" t="str">
        <f>IF(N(U286)&gt;0,SUMIFS('成交明细'!$H$5:$H$804,'成交明细'!$A$5:$A$804,A286,'成交明细'!$D$5:$D$804,IF(F286="空","卖","买"))/U286,"")</f>
        <v/>
      </c>
      <c r="W286" s="35" t="str">
        <f>IF(A286="","",SUMIFS('成交明细'!$F$5:$F$804,'成交明细'!$A$5:$A$804,A286,'成交明细'!$D$5:$D$804,IF(F286="空","买","卖")))</f>
        <v/>
      </c>
      <c r="X286" s="39" t="str">
        <f>IF(N(W286)&gt;0,SUMIFS('成交明细'!$H$5:$H$804,'成交明细'!$A$5:$A$804,A286,'成交明细'!$D$5:$D$804,IF(F286="空","买","卖"))/W286,"")</f>
        <v/>
      </c>
      <c r="Y286" s="40" t="str">
        <f>IF(A286="","",IF(Q286&lt;&gt;"已执行",IF(Q286="","未填执行情况",Q286),IF(N(U286)=0,"待录成交",IF(N(W286)&gt;N(U286),"平仓多于开仓",IF(N(W286)&lt;N(U286),"持仓中","已平仓")))))</f>
        <v/>
      </c>
      <c r="Z286" s="41" t="str">
        <f>IF(N(U286)=0,"",SUMIFS('成交明细'!$L$5:$L$804,'成交明细'!$A$5:$A$804,A286))</f>
        <v/>
      </c>
      <c r="AA286" s="42" t="str">
        <f>IF(Y286&lt;&gt;"已平仓","",(SUMIFS('成交明细'!$H$5:$H$804,'成交明细'!$A$5:$A$804,A286,'成交明细'!$D$5:$D$804,"卖")-SUMIFS('成交明细'!$H$5:$H$804,'成交明细'!$A$5:$A$804,A286,'成交明细'!$D$5:$D$804,"买"))*IF(N(G286)&gt;0,G286,1)-Z286)</f>
        <v/>
      </c>
      <c r="AB286" s="43" t="str">
        <f>IF(AND(Y286="已平仓",ISNUMBER(O286)),(SUMIFS('成交明细'!$H$5:$H$804,'成交明细'!$A$5:$A$804,A286,'成交明细'!$D$5:$D$804,"卖")-SUMIFS('成交明细'!$H$5:$H$804,'成交明细'!$A$5:$A$804,A286,'成交明细'!$D$5:$D$804,"买"))*IF(N(G286)&gt;0,G286,1)/O286,"")</f>
        <v/>
      </c>
      <c r="AC286" s="43" t="str">
        <f>IF(AND(Y286="已平仓",ISNUMBER(O286)),AA286/O286,"")</f>
        <v/>
      </c>
      <c r="AD286" s="44" t="str">
        <f>IF(AND(ISNUMBER(V286),ISNUMBER(I286)),IF(F286="空",I286-V286,V286-I286),"")</f>
        <v/>
      </c>
      <c r="AE286" s="44" t="str">
        <f>IF(OR(NOT(ISNUMBER(AA286)),NOT(ISNUMBER(X286))),"",IF(AA286&lt;0,IF(F286="空",X286-J286,J286-X286),IF(NOT(ISNUMBER(K286)),"",IF(F286="空",X286-K286,K286-X286))))</f>
        <v/>
      </c>
      <c r="AF286" s="32" t="n"/>
      <c r="AG286" s="32" t="n"/>
      <c r="AH286" s="31" t="n"/>
      <c r="AI286" s="43" t="str">
        <f>IF(A286="","",SUM(AC$5:AC286))</f>
        <v/>
      </c>
      <c r="AJ286" s="45" t="str">
        <f>IF(A286="","",MAX(0,MAX(AI$5:AI286))-AI286)</f>
        <v/>
      </c>
    </row>
    <row r="287">
      <c r="A287" s="29" t="n"/>
      <c r="B287" s="30" t="n"/>
      <c r="C287" s="31" t="n"/>
      <c r="D287" s="32" t="n"/>
      <c r="E287" s="32" t="n"/>
      <c r="F287" s="32" t="n"/>
      <c r="G287" s="32" t="n"/>
      <c r="H287" s="32" t="n"/>
      <c r="I287" s="33" t="n"/>
      <c r="J287" s="33" t="n"/>
      <c r="K287" s="33" t="n"/>
      <c r="L287" s="34" t="str">
        <f>IF(AND(ISNUMBER(I287),ISNUMBER(J287),ISNUMBER(K287)),IF(OR(AND(F287="多",I287&gt;J287),AND(F287="空",I287&lt;J287)),ABS(K287-I287)/ABS(I287-J287),"止损方向不对"),"")</f>
        <v/>
      </c>
      <c r="M287" s="35" t="str">
        <f>IF(AND(ISNUMBER(I287),ISNUMBER(J287)),IF(I287=J287,"",IF(INT(ROUND('参数'!$C$7/(ABS(I287-J287)*IF(N(G287)&gt;0,G287,1)+2*(I287*IF(N(G287)&gt;0,G287,1)*'参数'!$C$12+'参数'!$C$13+'参数'!$C$14*IF(N(G287)&gt;0,G287,1)))/IF(N(H287)&gt;0,H287,1),6))*IF(N(H287)&gt;0,H287,1)&gt;0,INT(ROUND('参数'!$C$7/(ABS(I287-J287)*IF(N(G287)&gt;0,G287,1)+2*(I287*IF(N(G287)&gt;0,G287,1)*'参数'!$C$12+'参数'!$C$13+'参数'!$C$14*IF(N(G287)&gt;0,G287,1)))/IF(N(H287)&gt;0,H287,1),6))*IF(N(H287)&gt;0,H287,1),"预算不足，这笔不做")),"")</f>
        <v/>
      </c>
      <c r="N287" s="36" t="n"/>
      <c r="O287" s="20" t="str">
        <f>IF(AND(ISNUMBER(I287),ISNUMBER(J287),ISNUMBER(N287)),IF(AND(I287&lt;&gt;J287,N287&gt;0),ABS(I287-J287)*N287*IF(N(G287)&gt;0,G287,1),""),"")</f>
        <v/>
      </c>
      <c r="P287" s="31" t="n"/>
      <c r="Q287" s="32" t="n"/>
      <c r="R287" s="37" t="str">
        <f>IF(N(U287)&gt;0,SUMPRODUCT(LARGE(('成交明细'!$A$5:$A$804=A287)*('成交明细'!$D$5:$D$804=IF(F287="空","卖","买"))*'成交明细'!$B$5:$B$804,COUNTIFS('成交明细'!$A$5:$A$804,A287,'成交明细'!$D$5:$D$804,IF(F287="空","卖","买")))),"")</f>
        <v/>
      </c>
      <c r="S287" s="37" t="str">
        <f>IF(AND(N(U287)&gt;0,N(W287)&gt;=N(U287)),SUMPRODUCT(MAX(('成交明细'!$A$5:$A$804=A287)*('成交明细'!$D$5:$D$804=IF(F287="空","买","卖"))*'成交明细'!$B$5:$B$804)),"")</f>
        <v/>
      </c>
      <c r="T287" s="38" t="str">
        <f>IF(N(U287)=0,"",IF(SUMPRODUCT(('成交明细'!$A$5:$A$804=A287)*('成交明细'!$D$5:$D$804=IF(F287="空","卖","买"))*ISNUMBER('成交明细'!$C$5:$C$804))=0,"没填时间",IFERROR(VLOOKUP(MOD(SUMPRODUCT(LARGE(('成交明细'!$A$5:$A$804=A287)*('成交明细'!$D$5:$D$804=IF(F287="空","卖","买"))*('成交明细'!$B$5:$B$804+'成交明细'!$C$5:$C$804),COUNTIFS('成交明细'!$A$5:$A$804,A287,'成交明细'!$D$5:$D$804,IF(F287="空","卖","买")))),1),'参数'!$B$39:$C$48,2,TRUE),"")))</f>
        <v/>
      </c>
      <c r="U287" s="35" t="str">
        <f>IF(A287="","",SUMIFS('成交明细'!$F$5:$F$804,'成交明细'!$A$5:$A$804,A287,'成交明细'!$D$5:$D$804,IF(F287="空","卖","买")))</f>
        <v/>
      </c>
      <c r="V287" s="39" t="str">
        <f>IF(N(U287)&gt;0,SUMIFS('成交明细'!$H$5:$H$804,'成交明细'!$A$5:$A$804,A287,'成交明细'!$D$5:$D$804,IF(F287="空","卖","买"))/U287,"")</f>
        <v/>
      </c>
      <c r="W287" s="35" t="str">
        <f>IF(A287="","",SUMIFS('成交明细'!$F$5:$F$804,'成交明细'!$A$5:$A$804,A287,'成交明细'!$D$5:$D$804,IF(F287="空","买","卖")))</f>
        <v/>
      </c>
      <c r="X287" s="39" t="str">
        <f>IF(N(W287)&gt;0,SUMIFS('成交明细'!$H$5:$H$804,'成交明细'!$A$5:$A$804,A287,'成交明细'!$D$5:$D$804,IF(F287="空","买","卖"))/W287,"")</f>
        <v/>
      </c>
      <c r="Y287" s="40" t="str">
        <f>IF(A287="","",IF(Q287&lt;&gt;"已执行",IF(Q287="","未填执行情况",Q287),IF(N(U287)=0,"待录成交",IF(N(W287)&gt;N(U287),"平仓多于开仓",IF(N(W287)&lt;N(U287),"持仓中","已平仓")))))</f>
        <v/>
      </c>
      <c r="Z287" s="41" t="str">
        <f>IF(N(U287)=0,"",SUMIFS('成交明细'!$L$5:$L$804,'成交明细'!$A$5:$A$804,A287))</f>
        <v/>
      </c>
      <c r="AA287" s="42" t="str">
        <f>IF(Y287&lt;&gt;"已平仓","",(SUMIFS('成交明细'!$H$5:$H$804,'成交明细'!$A$5:$A$804,A287,'成交明细'!$D$5:$D$804,"卖")-SUMIFS('成交明细'!$H$5:$H$804,'成交明细'!$A$5:$A$804,A287,'成交明细'!$D$5:$D$804,"买"))*IF(N(G287)&gt;0,G287,1)-Z287)</f>
        <v/>
      </c>
      <c r="AB287" s="43" t="str">
        <f>IF(AND(Y287="已平仓",ISNUMBER(O287)),(SUMIFS('成交明细'!$H$5:$H$804,'成交明细'!$A$5:$A$804,A287,'成交明细'!$D$5:$D$804,"卖")-SUMIFS('成交明细'!$H$5:$H$804,'成交明细'!$A$5:$A$804,A287,'成交明细'!$D$5:$D$804,"买"))*IF(N(G287)&gt;0,G287,1)/O287,"")</f>
        <v/>
      </c>
      <c r="AC287" s="43" t="str">
        <f>IF(AND(Y287="已平仓",ISNUMBER(O287)),AA287/O287,"")</f>
        <v/>
      </c>
      <c r="AD287" s="44" t="str">
        <f>IF(AND(ISNUMBER(V287),ISNUMBER(I287)),IF(F287="空",I287-V287,V287-I287),"")</f>
        <v/>
      </c>
      <c r="AE287" s="44" t="str">
        <f>IF(OR(NOT(ISNUMBER(AA287)),NOT(ISNUMBER(X287))),"",IF(AA287&lt;0,IF(F287="空",X287-J287,J287-X287),IF(NOT(ISNUMBER(K287)),"",IF(F287="空",X287-K287,K287-X287))))</f>
        <v/>
      </c>
      <c r="AF287" s="32" t="n"/>
      <c r="AG287" s="32" t="n"/>
      <c r="AH287" s="31" t="n"/>
      <c r="AI287" s="43" t="str">
        <f>IF(A287="","",SUM(AC$5:AC287))</f>
        <v/>
      </c>
      <c r="AJ287" s="45" t="str">
        <f>IF(A287="","",MAX(0,MAX(AI$5:AI287))-AI287)</f>
        <v/>
      </c>
    </row>
    <row r="288">
      <c r="A288" s="29" t="n"/>
      <c r="B288" s="30" t="n"/>
      <c r="C288" s="31" t="n"/>
      <c r="D288" s="32" t="n"/>
      <c r="E288" s="32" t="n"/>
      <c r="F288" s="32" t="n"/>
      <c r="G288" s="32" t="n"/>
      <c r="H288" s="32" t="n"/>
      <c r="I288" s="33" t="n"/>
      <c r="J288" s="33" t="n"/>
      <c r="K288" s="33" t="n"/>
      <c r="L288" s="34" t="str">
        <f>IF(AND(ISNUMBER(I288),ISNUMBER(J288),ISNUMBER(K288)),IF(OR(AND(F288="多",I288&gt;J288),AND(F288="空",I288&lt;J288)),ABS(K288-I288)/ABS(I288-J288),"止损方向不对"),"")</f>
        <v/>
      </c>
      <c r="M288" s="35" t="str">
        <f>IF(AND(ISNUMBER(I288),ISNUMBER(J288)),IF(I288=J288,"",IF(INT(ROUND('参数'!$C$7/(ABS(I288-J288)*IF(N(G288)&gt;0,G288,1)+2*(I288*IF(N(G288)&gt;0,G288,1)*'参数'!$C$12+'参数'!$C$13+'参数'!$C$14*IF(N(G288)&gt;0,G288,1)))/IF(N(H288)&gt;0,H288,1),6))*IF(N(H288)&gt;0,H288,1)&gt;0,INT(ROUND('参数'!$C$7/(ABS(I288-J288)*IF(N(G288)&gt;0,G288,1)+2*(I288*IF(N(G288)&gt;0,G288,1)*'参数'!$C$12+'参数'!$C$13+'参数'!$C$14*IF(N(G288)&gt;0,G288,1)))/IF(N(H288)&gt;0,H288,1),6))*IF(N(H288)&gt;0,H288,1),"预算不足，这笔不做")),"")</f>
        <v/>
      </c>
      <c r="N288" s="36" t="n"/>
      <c r="O288" s="20" t="str">
        <f>IF(AND(ISNUMBER(I288),ISNUMBER(J288),ISNUMBER(N288)),IF(AND(I288&lt;&gt;J288,N288&gt;0),ABS(I288-J288)*N288*IF(N(G288)&gt;0,G288,1),""),"")</f>
        <v/>
      </c>
      <c r="P288" s="31" t="n"/>
      <c r="Q288" s="32" t="n"/>
      <c r="R288" s="37" t="str">
        <f>IF(N(U288)&gt;0,SUMPRODUCT(LARGE(('成交明细'!$A$5:$A$804=A288)*('成交明细'!$D$5:$D$804=IF(F288="空","卖","买"))*'成交明细'!$B$5:$B$804,COUNTIFS('成交明细'!$A$5:$A$804,A288,'成交明细'!$D$5:$D$804,IF(F288="空","卖","买")))),"")</f>
        <v/>
      </c>
      <c r="S288" s="37" t="str">
        <f>IF(AND(N(U288)&gt;0,N(W288)&gt;=N(U288)),SUMPRODUCT(MAX(('成交明细'!$A$5:$A$804=A288)*('成交明细'!$D$5:$D$804=IF(F288="空","买","卖"))*'成交明细'!$B$5:$B$804)),"")</f>
        <v/>
      </c>
      <c r="T288" s="38" t="str">
        <f>IF(N(U288)=0,"",IF(SUMPRODUCT(('成交明细'!$A$5:$A$804=A288)*('成交明细'!$D$5:$D$804=IF(F288="空","卖","买"))*ISNUMBER('成交明细'!$C$5:$C$804))=0,"没填时间",IFERROR(VLOOKUP(MOD(SUMPRODUCT(LARGE(('成交明细'!$A$5:$A$804=A288)*('成交明细'!$D$5:$D$804=IF(F288="空","卖","买"))*('成交明细'!$B$5:$B$804+'成交明细'!$C$5:$C$804),COUNTIFS('成交明细'!$A$5:$A$804,A288,'成交明细'!$D$5:$D$804,IF(F288="空","卖","买")))),1),'参数'!$B$39:$C$48,2,TRUE),"")))</f>
        <v/>
      </c>
      <c r="U288" s="35" t="str">
        <f>IF(A288="","",SUMIFS('成交明细'!$F$5:$F$804,'成交明细'!$A$5:$A$804,A288,'成交明细'!$D$5:$D$804,IF(F288="空","卖","买")))</f>
        <v/>
      </c>
      <c r="V288" s="39" t="str">
        <f>IF(N(U288)&gt;0,SUMIFS('成交明细'!$H$5:$H$804,'成交明细'!$A$5:$A$804,A288,'成交明细'!$D$5:$D$804,IF(F288="空","卖","买"))/U288,"")</f>
        <v/>
      </c>
      <c r="W288" s="35" t="str">
        <f>IF(A288="","",SUMIFS('成交明细'!$F$5:$F$804,'成交明细'!$A$5:$A$804,A288,'成交明细'!$D$5:$D$804,IF(F288="空","买","卖")))</f>
        <v/>
      </c>
      <c r="X288" s="39" t="str">
        <f>IF(N(W288)&gt;0,SUMIFS('成交明细'!$H$5:$H$804,'成交明细'!$A$5:$A$804,A288,'成交明细'!$D$5:$D$804,IF(F288="空","买","卖"))/W288,"")</f>
        <v/>
      </c>
      <c r="Y288" s="40" t="str">
        <f>IF(A288="","",IF(Q288&lt;&gt;"已执行",IF(Q288="","未填执行情况",Q288),IF(N(U288)=0,"待录成交",IF(N(W288)&gt;N(U288),"平仓多于开仓",IF(N(W288)&lt;N(U288),"持仓中","已平仓")))))</f>
        <v/>
      </c>
      <c r="Z288" s="41" t="str">
        <f>IF(N(U288)=0,"",SUMIFS('成交明细'!$L$5:$L$804,'成交明细'!$A$5:$A$804,A288))</f>
        <v/>
      </c>
      <c r="AA288" s="42" t="str">
        <f>IF(Y288&lt;&gt;"已平仓","",(SUMIFS('成交明细'!$H$5:$H$804,'成交明细'!$A$5:$A$804,A288,'成交明细'!$D$5:$D$804,"卖")-SUMIFS('成交明细'!$H$5:$H$804,'成交明细'!$A$5:$A$804,A288,'成交明细'!$D$5:$D$804,"买"))*IF(N(G288)&gt;0,G288,1)-Z288)</f>
        <v/>
      </c>
      <c r="AB288" s="43" t="str">
        <f>IF(AND(Y288="已平仓",ISNUMBER(O288)),(SUMIFS('成交明细'!$H$5:$H$804,'成交明细'!$A$5:$A$804,A288,'成交明细'!$D$5:$D$804,"卖")-SUMIFS('成交明细'!$H$5:$H$804,'成交明细'!$A$5:$A$804,A288,'成交明细'!$D$5:$D$804,"买"))*IF(N(G288)&gt;0,G288,1)/O288,"")</f>
        <v/>
      </c>
      <c r="AC288" s="43" t="str">
        <f>IF(AND(Y288="已平仓",ISNUMBER(O288)),AA288/O288,"")</f>
        <v/>
      </c>
      <c r="AD288" s="44" t="str">
        <f>IF(AND(ISNUMBER(V288),ISNUMBER(I288)),IF(F288="空",I288-V288,V288-I288),"")</f>
        <v/>
      </c>
      <c r="AE288" s="44" t="str">
        <f>IF(OR(NOT(ISNUMBER(AA288)),NOT(ISNUMBER(X288))),"",IF(AA288&lt;0,IF(F288="空",X288-J288,J288-X288),IF(NOT(ISNUMBER(K288)),"",IF(F288="空",X288-K288,K288-X288))))</f>
        <v/>
      </c>
      <c r="AF288" s="32" t="n"/>
      <c r="AG288" s="32" t="n"/>
      <c r="AH288" s="31" t="n"/>
      <c r="AI288" s="43" t="str">
        <f>IF(A288="","",SUM(AC$5:AC288))</f>
        <v/>
      </c>
      <c r="AJ288" s="45" t="str">
        <f>IF(A288="","",MAX(0,MAX(AI$5:AI288))-AI288)</f>
        <v/>
      </c>
    </row>
    <row r="289">
      <c r="A289" s="29" t="n"/>
      <c r="B289" s="30" t="n"/>
      <c r="C289" s="31" t="n"/>
      <c r="D289" s="32" t="n"/>
      <c r="E289" s="32" t="n"/>
      <c r="F289" s="32" t="n"/>
      <c r="G289" s="32" t="n"/>
      <c r="H289" s="32" t="n"/>
      <c r="I289" s="33" t="n"/>
      <c r="J289" s="33" t="n"/>
      <c r="K289" s="33" t="n"/>
      <c r="L289" s="34" t="str">
        <f>IF(AND(ISNUMBER(I289),ISNUMBER(J289),ISNUMBER(K289)),IF(OR(AND(F289="多",I289&gt;J289),AND(F289="空",I289&lt;J289)),ABS(K289-I289)/ABS(I289-J289),"止损方向不对"),"")</f>
        <v/>
      </c>
      <c r="M289" s="35" t="str">
        <f>IF(AND(ISNUMBER(I289),ISNUMBER(J289)),IF(I289=J289,"",IF(INT(ROUND('参数'!$C$7/(ABS(I289-J289)*IF(N(G289)&gt;0,G289,1)+2*(I289*IF(N(G289)&gt;0,G289,1)*'参数'!$C$12+'参数'!$C$13+'参数'!$C$14*IF(N(G289)&gt;0,G289,1)))/IF(N(H289)&gt;0,H289,1),6))*IF(N(H289)&gt;0,H289,1)&gt;0,INT(ROUND('参数'!$C$7/(ABS(I289-J289)*IF(N(G289)&gt;0,G289,1)+2*(I289*IF(N(G289)&gt;0,G289,1)*'参数'!$C$12+'参数'!$C$13+'参数'!$C$14*IF(N(G289)&gt;0,G289,1)))/IF(N(H289)&gt;0,H289,1),6))*IF(N(H289)&gt;0,H289,1),"预算不足，这笔不做")),"")</f>
        <v/>
      </c>
      <c r="N289" s="36" t="n"/>
      <c r="O289" s="20" t="str">
        <f>IF(AND(ISNUMBER(I289),ISNUMBER(J289),ISNUMBER(N289)),IF(AND(I289&lt;&gt;J289,N289&gt;0),ABS(I289-J289)*N289*IF(N(G289)&gt;0,G289,1),""),"")</f>
        <v/>
      </c>
      <c r="P289" s="31" t="n"/>
      <c r="Q289" s="32" t="n"/>
      <c r="R289" s="37" t="str">
        <f>IF(N(U289)&gt;0,SUMPRODUCT(LARGE(('成交明细'!$A$5:$A$804=A289)*('成交明细'!$D$5:$D$804=IF(F289="空","卖","买"))*'成交明细'!$B$5:$B$804,COUNTIFS('成交明细'!$A$5:$A$804,A289,'成交明细'!$D$5:$D$804,IF(F289="空","卖","买")))),"")</f>
        <v/>
      </c>
      <c r="S289" s="37" t="str">
        <f>IF(AND(N(U289)&gt;0,N(W289)&gt;=N(U289)),SUMPRODUCT(MAX(('成交明细'!$A$5:$A$804=A289)*('成交明细'!$D$5:$D$804=IF(F289="空","买","卖"))*'成交明细'!$B$5:$B$804)),"")</f>
        <v/>
      </c>
      <c r="T289" s="38" t="str">
        <f>IF(N(U289)=0,"",IF(SUMPRODUCT(('成交明细'!$A$5:$A$804=A289)*('成交明细'!$D$5:$D$804=IF(F289="空","卖","买"))*ISNUMBER('成交明细'!$C$5:$C$804))=0,"没填时间",IFERROR(VLOOKUP(MOD(SUMPRODUCT(LARGE(('成交明细'!$A$5:$A$804=A289)*('成交明细'!$D$5:$D$804=IF(F289="空","卖","买"))*('成交明细'!$B$5:$B$804+'成交明细'!$C$5:$C$804),COUNTIFS('成交明细'!$A$5:$A$804,A289,'成交明细'!$D$5:$D$804,IF(F289="空","卖","买")))),1),'参数'!$B$39:$C$48,2,TRUE),"")))</f>
        <v/>
      </c>
      <c r="U289" s="35" t="str">
        <f>IF(A289="","",SUMIFS('成交明细'!$F$5:$F$804,'成交明细'!$A$5:$A$804,A289,'成交明细'!$D$5:$D$804,IF(F289="空","卖","买")))</f>
        <v/>
      </c>
      <c r="V289" s="39" t="str">
        <f>IF(N(U289)&gt;0,SUMIFS('成交明细'!$H$5:$H$804,'成交明细'!$A$5:$A$804,A289,'成交明细'!$D$5:$D$804,IF(F289="空","卖","买"))/U289,"")</f>
        <v/>
      </c>
      <c r="W289" s="35" t="str">
        <f>IF(A289="","",SUMIFS('成交明细'!$F$5:$F$804,'成交明细'!$A$5:$A$804,A289,'成交明细'!$D$5:$D$804,IF(F289="空","买","卖")))</f>
        <v/>
      </c>
      <c r="X289" s="39" t="str">
        <f>IF(N(W289)&gt;0,SUMIFS('成交明细'!$H$5:$H$804,'成交明细'!$A$5:$A$804,A289,'成交明细'!$D$5:$D$804,IF(F289="空","买","卖"))/W289,"")</f>
        <v/>
      </c>
      <c r="Y289" s="40" t="str">
        <f>IF(A289="","",IF(Q289&lt;&gt;"已执行",IF(Q289="","未填执行情况",Q289),IF(N(U289)=0,"待录成交",IF(N(W289)&gt;N(U289),"平仓多于开仓",IF(N(W289)&lt;N(U289),"持仓中","已平仓")))))</f>
        <v/>
      </c>
      <c r="Z289" s="41" t="str">
        <f>IF(N(U289)=0,"",SUMIFS('成交明细'!$L$5:$L$804,'成交明细'!$A$5:$A$804,A289))</f>
        <v/>
      </c>
      <c r="AA289" s="42" t="str">
        <f>IF(Y289&lt;&gt;"已平仓","",(SUMIFS('成交明细'!$H$5:$H$804,'成交明细'!$A$5:$A$804,A289,'成交明细'!$D$5:$D$804,"卖")-SUMIFS('成交明细'!$H$5:$H$804,'成交明细'!$A$5:$A$804,A289,'成交明细'!$D$5:$D$804,"买"))*IF(N(G289)&gt;0,G289,1)-Z289)</f>
        <v/>
      </c>
      <c r="AB289" s="43" t="str">
        <f>IF(AND(Y289="已平仓",ISNUMBER(O289)),(SUMIFS('成交明细'!$H$5:$H$804,'成交明细'!$A$5:$A$804,A289,'成交明细'!$D$5:$D$804,"卖")-SUMIFS('成交明细'!$H$5:$H$804,'成交明细'!$A$5:$A$804,A289,'成交明细'!$D$5:$D$804,"买"))*IF(N(G289)&gt;0,G289,1)/O289,"")</f>
        <v/>
      </c>
      <c r="AC289" s="43" t="str">
        <f>IF(AND(Y289="已平仓",ISNUMBER(O289)),AA289/O289,"")</f>
        <v/>
      </c>
      <c r="AD289" s="44" t="str">
        <f>IF(AND(ISNUMBER(V289),ISNUMBER(I289)),IF(F289="空",I289-V289,V289-I289),"")</f>
        <v/>
      </c>
      <c r="AE289" s="44" t="str">
        <f>IF(OR(NOT(ISNUMBER(AA289)),NOT(ISNUMBER(X289))),"",IF(AA289&lt;0,IF(F289="空",X289-J289,J289-X289),IF(NOT(ISNUMBER(K289)),"",IF(F289="空",X289-K289,K289-X289))))</f>
        <v/>
      </c>
      <c r="AF289" s="32" t="n"/>
      <c r="AG289" s="32" t="n"/>
      <c r="AH289" s="31" t="n"/>
      <c r="AI289" s="43" t="str">
        <f>IF(A289="","",SUM(AC$5:AC289))</f>
        <v/>
      </c>
      <c r="AJ289" s="45" t="str">
        <f>IF(A289="","",MAX(0,MAX(AI$5:AI289))-AI289)</f>
        <v/>
      </c>
    </row>
    <row r="290">
      <c r="A290" s="29" t="n"/>
      <c r="B290" s="30" t="n"/>
      <c r="C290" s="31" t="n"/>
      <c r="D290" s="32" t="n"/>
      <c r="E290" s="32" t="n"/>
      <c r="F290" s="32" t="n"/>
      <c r="G290" s="32" t="n"/>
      <c r="H290" s="32" t="n"/>
      <c r="I290" s="33" t="n"/>
      <c r="J290" s="33" t="n"/>
      <c r="K290" s="33" t="n"/>
      <c r="L290" s="34" t="str">
        <f>IF(AND(ISNUMBER(I290),ISNUMBER(J290),ISNUMBER(K290)),IF(OR(AND(F290="多",I290&gt;J290),AND(F290="空",I290&lt;J290)),ABS(K290-I290)/ABS(I290-J290),"止损方向不对"),"")</f>
        <v/>
      </c>
      <c r="M290" s="35" t="str">
        <f>IF(AND(ISNUMBER(I290),ISNUMBER(J290)),IF(I290=J290,"",IF(INT(ROUND('参数'!$C$7/(ABS(I290-J290)*IF(N(G290)&gt;0,G290,1)+2*(I290*IF(N(G290)&gt;0,G290,1)*'参数'!$C$12+'参数'!$C$13+'参数'!$C$14*IF(N(G290)&gt;0,G290,1)))/IF(N(H290)&gt;0,H290,1),6))*IF(N(H290)&gt;0,H290,1)&gt;0,INT(ROUND('参数'!$C$7/(ABS(I290-J290)*IF(N(G290)&gt;0,G290,1)+2*(I290*IF(N(G290)&gt;0,G290,1)*'参数'!$C$12+'参数'!$C$13+'参数'!$C$14*IF(N(G290)&gt;0,G290,1)))/IF(N(H290)&gt;0,H290,1),6))*IF(N(H290)&gt;0,H290,1),"预算不足，这笔不做")),"")</f>
        <v/>
      </c>
      <c r="N290" s="36" t="n"/>
      <c r="O290" s="20" t="str">
        <f>IF(AND(ISNUMBER(I290),ISNUMBER(J290),ISNUMBER(N290)),IF(AND(I290&lt;&gt;J290,N290&gt;0),ABS(I290-J290)*N290*IF(N(G290)&gt;0,G290,1),""),"")</f>
        <v/>
      </c>
      <c r="P290" s="31" t="n"/>
      <c r="Q290" s="32" t="n"/>
      <c r="R290" s="37" t="str">
        <f>IF(N(U290)&gt;0,SUMPRODUCT(LARGE(('成交明细'!$A$5:$A$804=A290)*('成交明细'!$D$5:$D$804=IF(F290="空","卖","买"))*'成交明细'!$B$5:$B$804,COUNTIFS('成交明细'!$A$5:$A$804,A290,'成交明细'!$D$5:$D$804,IF(F290="空","卖","买")))),"")</f>
        <v/>
      </c>
      <c r="S290" s="37" t="str">
        <f>IF(AND(N(U290)&gt;0,N(W290)&gt;=N(U290)),SUMPRODUCT(MAX(('成交明细'!$A$5:$A$804=A290)*('成交明细'!$D$5:$D$804=IF(F290="空","买","卖"))*'成交明细'!$B$5:$B$804)),"")</f>
        <v/>
      </c>
      <c r="T290" s="38" t="str">
        <f>IF(N(U290)=0,"",IF(SUMPRODUCT(('成交明细'!$A$5:$A$804=A290)*('成交明细'!$D$5:$D$804=IF(F290="空","卖","买"))*ISNUMBER('成交明细'!$C$5:$C$804))=0,"没填时间",IFERROR(VLOOKUP(MOD(SUMPRODUCT(LARGE(('成交明细'!$A$5:$A$804=A290)*('成交明细'!$D$5:$D$804=IF(F290="空","卖","买"))*('成交明细'!$B$5:$B$804+'成交明细'!$C$5:$C$804),COUNTIFS('成交明细'!$A$5:$A$804,A290,'成交明细'!$D$5:$D$804,IF(F290="空","卖","买")))),1),'参数'!$B$39:$C$48,2,TRUE),"")))</f>
        <v/>
      </c>
      <c r="U290" s="35" t="str">
        <f>IF(A290="","",SUMIFS('成交明细'!$F$5:$F$804,'成交明细'!$A$5:$A$804,A290,'成交明细'!$D$5:$D$804,IF(F290="空","卖","买")))</f>
        <v/>
      </c>
      <c r="V290" s="39" t="str">
        <f>IF(N(U290)&gt;0,SUMIFS('成交明细'!$H$5:$H$804,'成交明细'!$A$5:$A$804,A290,'成交明细'!$D$5:$D$804,IF(F290="空","卖","买"))/U290,"")</f>
        <v/>
      </c>
      <c r="W290" s="35" t="str">
        <f>IF(A290="","",SUMIFS('成交明细'!$F$5:$F$804,'成交明细'!$A$5:$A$804,A290,'成交明细'!$D$5:$D$804,IF(F290="空","买","卖")))</f>
        <v/>
      </c>
      <c r="X290" s="39" t="str">
        <f>IF(N(W290)&gt;0,SUMIFS('成交明细'!$H$5:$H$804,'成交明细'!$A$5:$A$804,A290,'成交明细'!$D$5:$D$804,IF(F290="空","买","卖"))/W290,"")</f>
        <v/>
      </c>
      <c r="Y290" s="40" t="str">
        <f>IF(A290="","",IF(Q290&lt;&gt;"已执行",IF(Q290="","未填执行情况",Q290),IF(N(U290)=0,"待录成交",IF(N(W290)&gt;N(U290),"平仓多于开仓",IF(N(W290)&lt;N(U290),"持仓中","已平仓")))))</f>
        <v/>
      </c>
      <c r="Z290" s="41" t="str">
        <f>IF(N(U290)=0,"",SUMIFS('成交明细'!$L$5:$L$804,'成交明细'!$A$5:$A$804,A290))</f>
        <v/>
      </c>
      <c r="AA290" s="42" t="str">
        <f>IF(Y290&lt;&gt;"已平仓","",(SUMIFS('成交明细'!$H$5:$H$804,'成交明细'!$A$5:$A$804,A290,'成交明细'!$D$5:$D$804,"卖")-SUMIFS('成交明细'!$H$5:$H$804,'成交明细'!$A$5:$A$804,A290,'成交明细'!$D$5:$D$804,"买"))*IF(N(G290)&gt;0,G290,1)-Z290)</f>
        <v/>
      </c>
      <c r="AB290" s="43" t="str">
        <f>IF(AND(Y290="已平仓",ISNUMBER(O290)),(SUMIFS('成交明细'!$H$5:$H$804,'成交明细'!$A$5:$A$804,A290,'成交明细'!$D$5:$D$804,"卖")-SUMIFS('成交明细'!$H$5:$H$804,'成交明细'!$A$5:$A$804,A290,'成交明细'!$D$5:$D$804,"买"))*IF(N(G290)&gt;0,G290,1)/O290,"")</f>
        <v/>
      </c>
      <c r="AC290" s="43" t="str">
        <f>IF(AND(Y290="已平仓",ISNUMBER(O290)),AA290/O290,"")</f>
        <v/>
      </c>
      <c r="AD290" s="44" t="str">
        <f>IF(AND(ISNUMBER(V290),ISNUMBER(I290)),IF(F290="空",I290-V290,V290-I290),"")</f>
        <v/>
      </c>
      <c r="AE290" s="44" t="str">
        <f>IF(OR(NOT(ISNUMBER(AA290)),NOT(ISNUMBER(X290))),"",IF(AA290&lt;0,IF(F290="空",X290-J290,J290-X290),IF(NOT(ISNUMBER(K290)),"",IF(F290="空",X290-K290,K290-X290))))</f>
        <v/>
      </c>
      <c r="AF290" s="32" t="n"/>
      <c r="AG290" s="32" t="n"/>
      <c r="AH290" s="31" t="n"/>
      <c r="AI290" s="43" t="str">
        <f>IF(A290="","",SUM(AC$5:AC290))</f>
        <v/>
      </c>
      <c r="AJ290" s="45" t="str">
        <f>IF(A290="","",MAX(0,MAX(AI$5:AI290))-AI290)</f>
        <v/>
      </c>
    </row>
    <row r="291">
      <c r="A291" s="29" t="n"/>
      <c r="B291" s="30" t="n"/>
      <c r="C291" s="31" t="n"/>
      <c r="D291" s="32" t="n"/>
      <c r="E291" s="32" t="n"/>
      <c r="F291" s="32" t="n"/>
      <c r="G291" s="32" t="n"/>
      <c r="H291" s="32" t="n"/>
      <c r="I291" s="33" t="n"/>
      <c r="J291" s="33" t="n"/>
      <c r="K291" s="33" t="n"/>
      <c r="L291" s="34" t="str">
        <f>IF(AND(ISNUMBER(I291),ISNUMBER(J291),ISNUMBER(K291)),IF(OR(AND(F291="多",I291&gt;J291),AND(F291="空",I291&lt;J291)),ABS(K291-I291)/ABS(I291-J291),"止损方向不对"),"")</f>
        <v/>
      </c>
      <c r="M291" s="35" t="str">
        <f>IF(AND(ISNUMBER(I291),ISNUMBER(J291)),IF(I291=J291,"",IF(INT(ROUND('参数'!$C$7/(ABS(I291-J291)*IF(N(G291)&gt;0,G291,1)+2*(I291*IF(N(G291)&gt;0,G291,1)*'参数'!$C$12+'参数'!$C$13+'参数'!$C$14*IF(N(G291)&gt;0,G291,1)))/IF(N(H291)&gt;0,H291,1),6))*IF(N(H291)&gt;0,H291,1)&gt;0,INT(ROUND('参数'!$C$7/(ABS(I291-J291)*IF(N(G291)&gt;0,G291,1)+2*(I291*IF(N(G291)&gt;0,G291,1)*'参数'!$C$12+'参数'!$C$13+'参数'!$C$14*IF(N(G291)&gt;0,G291,1)))/IF(N(H291)&gt;0,H291,1),6))*IF(N(H291)&gt;0,H291,1),"预算不足，这笔不做")),"")</f>
        <v/>
      </c>
      <c r="N291" s="36" t="n"/>
      <c r="O291" s="20" t="str">
        <f>IF(AND(ISNUMBER(I291),ISNUMBER(J291),ISNUMBER(N291)),IF(AND(I291&lt;&gt;J291,N291&gt;0),ABS(I291-J291)*N291*IF(N(G291)&gt;0,G291,1),""),"")</f>
        <v/>
      </c>
      <c r="P291" s="31" t="n"/>
      <c r="Q291" s="32" t="n"/>
      <c r="R291" s="37" t="str">
        <f>IF(N(U291)&gt;0,SUMPRODUCT(LARGE(('成交明细'!$A$5:$A$804=A291)*('成交明细'!$D$5:$D$804=IF(F291="空","卖","买"))*'成交明细'!$B$5:$B$804,COUNTIFS('成交明细'!$A$5:$A$804,A291,'成交明细'!$D$5:$D$804,IF(F291="空","卖","买")))),"")</f>
        <v/>
      </c>
      <c r="S291" s="37" t="str">
        <f>IF(AND(N(U291)&gt;0,N(W291)&gt;=N(U291)),SUMPRODUCT(MAX(('成交明细'!$A$5:$A$804=A291)*('成交明细'!$D$5:$D$804=IF(F291="空","买","卖"))*'成交明细'!$B$5:$B$804)),"")</f>
        <v/>
      </c>
      <c r="T291" s="38" t="str">
        <f>IF(N(U291)=0,"",IF(SUMPRODUCT(('成交明细'!$A$5:$A$804=A291)*('成交明细'!$D$5:$D$804=IF(F291="空","卖","买"))*ISNUMBER('成交明细'!$C$5:$C$804))=0,"没填时间",IFERROR(VLOOKUP(MOD(SUMPRODUCT(LARGE(('成交明细'!$A$5:$A$804=A291)*('成交明细'!$D$5:$D$804=IF(F291="空","卖","买"))*('成交明细'!$B$5:$B$804+'成交明细'!$C$5:$C$804),COUNTIFS('成交明细'!$A$5:$A$804,A291,'成交明细'!$D$5:$D$804,IF(F291="空","卖","买")))),1),'参数'!$B$39:$C$48,2,TRUE),"")))</f>
        <v/>
      </c>
      <c r="U291" s="35" t="str">
        <f>IF(A291="","",SUMIFS('成交明细'!$F$5:$F$804,'成交明细'!$A$5:$A$804,A291,'成交明细'!$D$5:$D$804,IF(F291="空","卖","买")))</f>
        <v/>
      </c>
      <c r="V291" s="39" t="str">
        <f>IF(N(U291)&gt;0,SUMIFS('成交明细'!$H$5:$H$804,'成交明细'!$A$5:$A$804,A291,'成交明细'!$D$5:$D$804,IF(F291="空","卖","买"))/U291,"")</f>
        <v/>
      </c>
      <c r="W291" s="35" t="str">
        <f>IF(A291="","",SUMIFS('成交明细'!$F$5:$F$804,'成交明细'!$A$5:$A$804,A291,'成交明细'!$D$5:$D$804,IF(F291="空","买","卖")))</f>
        <v/>
      </c>
      <c r="X291" s="39" t="str">
        <f>IF(N(W291)&gt;0,SUMIFS('成交明细'!$H$5:$H$804,'成交明细'!$A$5:$A$804,A291,'成交明细'!$D$5:$D$804,IF(F291="空","买","卖"))/W291,"")</f>
        <v/>
      </c>
      <c r="Y291" s="40" t="str">
        <f>IF(A291="","",IF(Q291&lt;&gt;"已执行",IF(Q291="","未填执行情况",Q291),IF(N(U291)=0,"待录成交",IF(N(W291)&gt;N(U291),"平仓多于开仓",IF(N(W291)&lt;N(U291),"持仓中","已平仓")))))</f>
        <v/>
      </c>
      <c r="Z291" s="41" t="str">
        <f>IF(N(U291)=0,"",SUMIFS('成交明细'!$L$5:$L$804,'成交明细'!$A$5:$A$804,A291))</f>
        <v/>
      </c>
      <c r="AA291" s="42" t="str">
        <f>IF(Y291&lt;&gt;"已平仓","",(SUMIFS('成交明细'!$H$5:$H$804,'成交明细'!$A$5:$A$804,A291,'成交明细'!$D$5:$D$804,"卖")-SUMIFS('成交明细'!$H$5:$H$804,'成交明细'!$A$5:$A$804,A291,'成交明细'!$D$5:$D$804,"买"))*IF(N(G291)&gt;0,G291,1)-Z291)</f>
        <v/>
      </c>
      <c r="AB291" s="43" t="str">
        <f>IF(AND(Y291="已平仓",ISNUMBER(O291)),(SUMIFS('成交明细'!$H$5:$H$804,'成交明细'!$A$5:$A$804,A291,'成交明细'!$D$5:$D$804,"卖")-SUMIFS('成交明细'!$H$5:$H$804,'成交明细'!$A$5:$A$804,A291,'成交明细'!$D$5:$D$804,"买"))*IF(N(G291)&gt;0,G291,1)/O291,"")</f>
        <v/>
      </c>
      <c r="AC291" s="43" t="str">
        <f>IF(AND(Y291="已平仓",ISNUMBER(O291)),AA291/O291,"")</f>
        <v/>
      </c>
      <c r="AD291" s="44" t="str">
        <f>IF(AND(ISNUMBER(V291),ISNUMBER(I291)),IF(F291="空",I291-V291,V291-I291),"")</f>
        <v/>
      </c>
      <c r="AE291" s="44" t="str">
        <f>IF(OR(NOT(ISNUMBER(AA291)),NOT(ISNUMBER(X291))),"",IF(AA291&lt;0,IF(F291="空",X291-J291,J291-X291),IF(NOT(ISNUMBER(K291)),"",IF(F291="空",X291-K291,K291-X291))))</f>
        <v/>
      </c>
      <c r="AF291" s="32" t="n"/>
      <c r="AG291" s="32" t="n"/>
      <c r="AH291" s="31" t="n"/>
      <c r="AI291" s="43" t="str">
        <f>IF(A291="","",SUM(AC$5:AC291))</f>
        <v/>
      </c>
      <c r="AJ291" s="45" t="str">
        <f>IF(A291="","",MAX(0,MAX(AI$5:AI291))-AI291)</f>
        <v/>
      </c>
    </row>
    <row r="292">
      <c r="A292" s="29" t="n"/>
      <c r="B292" s="30" t="n"/>
      <c r="C292" s="31" t="n"/>
      <c r="D292" s="32" t="n"/>
      <c r="E292" s="32" t="n"/>
      <c r="F292" s="32" t="n"/>
      <c r="G292" s="32" t="n"/>
      <c r="H292" s="32" t="n"/>
      <c r="I292" s="33" t="n"/>
      <c r="J292" s="33" t="n"/>
      <c r="K292" s="33" t="n"/>
      <c r="L292" s="34" t="str">
        <f>IF(AND(ISNUMBER(I292),ISNUMBER(J292),ISNUMBER(K292)),IF(OR(AND(F292="多",I292&gt;J292),AND(F292="空",I292&lt;J292)),ABS(K292-I292)/ABS(I292-J292),"止损方向不对"),"")</f>
        <v/>
      </c>
      <c r="M292" s="35" t="str">
        <f>IF(AND(ISNUMBER(I292),ISNUMBER(J292)),IF(I292=J292,"",IF(INT(ROUND('参数'!$C$7/(ABS(I292-J292)*IF(N(G292)&gt;0,G292,1)+2*(I292*IF(N(G292)&gt;0,G292,1)*'参数'!$C$12+'参数'!$C$13+'参数'!$C$14*IF(N(G292)&gt;0,G292,1)))/IF(N(H292)&gt;0,H292,1),6))*IF(N(H292)&gt;0,H292,1)&gt;0,INT(ROUND('参数'!$C$7/(ABS(I292-J292)*IF(N(G292)&gt;0,G292,1)+2*(I292*IF(N(G292)&gt;0,G292,1)*'参数'!$C$12+'参数'!$C$13+'参数'!$C$14*IF(N(G292)&gt;0,G292,1)))/IF(N(H292)&gt;0,H292,1),6))*IF(N(H292)&gt;0,H292,1),"预算不足，这笔不做")),"")</f>
        <v/>
      </c>
      <c r="N292" s="36" t="n"/>
      <c r="O292" s="20" t="str">
        <f>IF(AND(ISNUMBER(I292),ISNUMBER(J292),ISNUMBER(N292)),IF(AND(I292&lt;&gt;J292,N292&gt;0),ABS(I292-J292)*N292*IF(N(G292)&gt;0,G292,1),""),"")</f>
        <v/>
      </c>
      <c r="P292" s="31" t="n"/>
      <c r="Q292" s="32" t="n"/>
      <c r="R292" s="37" t="str">
        <f>IF(N(U292)&gt;0,SUMPRODUCT(LARGE(('成交明细'!$A$5:$A$804=A292)*('成交明细'!$D$5:$D$804=IF(F292="空","卖","买"))*'成交明细'!$B$5:$B$804,COUNTIFS('成交明细'!$A$5:$A$804,A292,'成交明细'!$D$5:$D$804,IF(F292="空","卖","买")))),"")</f>
        <v/>
      </c>
      <c r="S292" s="37" t="str">
        <f>IF(AND(N(U292)&gt;0,N(W292)&gt;=N(U292)),SUMPRODUCT(MAX(('成交明细'!$A$5:$A$804=A292)*('成交明细'!$D$5:$D$804=IF(F292="空","买","卖"))*'成交明细'!$B$5:$B$804)),"")</f>
        <v/>
      </c>
      <c r="T292" s="38" t="str">
        <f>IF(N(U292)=0,"",IF(SUMPRODUCT(('成交明细'!$A$5:$A$804=A292)*('成交明细'!$D$5:$D$804=IF(F292="空","卖","买"))*ISNUMBER('成交明细'!$C$5:$C$804))=0,"没填时间",IFERROR(VLOOKUP(MOD(SUMPRODUCT(LARGE(('成交明细'!$A$5:$A$804=A292)*('成交明细'!$D$5:$D$804=IF(F292="空","卖","买"))*('成交明细'!$B$5:$B$804+'成交明细'!$C$5:$C$804),COUNTIFS('成交明细'!$A$5:$A$804,A292,'成交明细'!$D$5:$D$804,IF(F292="空","卖","买")))),1),'参数'!$B$39:$C$48,2,TRUE),"")))</f>
        <v/>
      </c>
      <c r="U292" s="35" t="str">
        <f>IF(A292="","",SUMIFS('成交明细'!$F$5:$F$804,'成交明细'!$A$5:$A$804,A292,'成交明细'!$D$5:$D$804,IF(F292="空","卖","买")))</f>
        <v/>
      </c>
      <c r="V292" s="39" t="str">
        <f>IF(N(U292)&gt;0,SUMIFS('成交明细'!$H$5:$H$804,'成交明细'!$A$5:$A$804,A292,'成交明细'!$D$5:$D$804,IF(F292="空","卖","买"))/U292,"")</f>
        <v/>
      </c>
      <c r="W292" s="35" t="str">
        <f>IF(A292="","",SUMIFS('成交明细'!$F$5:$F$804,'成交明细'!$A$5:$A$804,A292,'成交明细'!$D$5:$D$804,IF(F292="空","买","卖")))</f>
        <v/>
      </c>
      <c r="X292" s="39" t="str">
        <f>IF(N(W292)&gt;0,SUMIFS('成交明细'!$H$5:$H$804,'成交明细'!$A$5:$A$804,A292,'成交明细'!$D$5:$D$804,IF(F292="空","买","卖"))/W292,"")</f>
        <v/>
      </c>
      <c r="Y292" s="40" t="str">
        <f>IF(A292="","",IF(Q292&lt;&gt;"已执行",IF(Q292="","未填执行情况",Q292),IF(N(U292)=0,"待录成交",IF(N(W292)&gt;N(U292),"平仓多于开仓",IF(N(W292)&lt;N(U292),"持仓中","已平仓")))))</f>
        <v/>
      </c>
      <c r="Z292" s="41" t="str">
        <f>IF(N(U292)=0,"",SUMIFS('成交明细'!$L$5:$L$804,'成交明细'!$A$5:$A$804,A292))</f>
        <v/>
      </c>
      <c r="AA292" s="42" t="str">
        <f>IF(Y292&lt;&gt;"已平仓","",(SUMIFS('成交明细'!$H$5:$H$804,'成交明细'!$A$5:$A$804,A292,'成交明细'!$D$5:$D$804,"卖")-SUMIFS('成交明细'!$H$5:$H$804,'成交明细'!$A$5:$A$804,A292,'成交明细'!$D$5:$D$804,"买"))*IF(N(G292)&gt;0,G292,1)-Z292)</f>
        <v/>
      </c>
      <c r="AB292" s="43" t="str">
        <f>IF(AND(Y292="已平仓",ISNUMBER(O292)),(SUMIFS('成交明细'!$H$5:$H$804,'成交明细'!$A$5:$A$804,A292,'成交明细'!$D$5:$D$804,"卖")-SUMIFS('成交明细'!$H$5:$H$804,'成交明细'!$A$5:$A$804,A292,'成交明细'!$D$5:$D$804,"买"))*IF(N(G292)&gt;0,G292,1)/O292,"")</f>
        <v/>
      </c>
      <c r="AC292" s="43" t="str">
        <f>IF(AND(Y292="已平仓",ISNUMBER(O292)),AA292/O292,"")</f>
        <v/>
      </c>
      <c r="AD292" s="44" t="str">
        <f>IF(AND(ISNUMBER(V292),ISNUMBER(I292)),IF(F292="空",I292-V292,V292-I292),"")</f>
        <v/>
      </c>
      <c r="AE292" s="44" t="str">
        <f>IF(OR(NOT(ISNUMBER(AA292)),NOT(ISNUMBER(X292))),"",IF(AA292&lt;0,IF(F292="空",X292-J292,J292-X292),IF(NOT(ISNUMBER(K292)),"",IF(F292="空",X292-K292,K292-X292))))</f>
        <v/>
      </c>
      <c r="AF292" s="32" t="n"/>
      <c r="AG292" s="32" t="n"/>
      <c r="AH292" s="31" t="n"/>
      <c r="AI292" s="43" t="str">
        <f>IF(A292="","",SUM(AC$5:AC292))</f>
        <v/>
      </c>
      <c r="AJ292" s="45" t="str">
        <f>IF(A292="","",MAX(0,MAX(AI$5:AI292))-AI292)</f>
        <v/>
      </c>
    </row>
    <row r="293">
      <c r="A293" s="29" t="n"/>
      <c r="B293" s="30" t="n"/>
      <c r="C293" s="31" t="n"/>
      <c r="D293" s="32" t="n"/>
      <c r="E293" s="32" t="n"/>
      <c r="F293" s="32" t="n"/>
      <c r="G293" s="32" t="n"/>
      <c r="H293" s="32" t="n"/>
      <c r="I293" s="33" t="n"/>
      <c r="J293" s="33" t="n"/>
      <c r="K293" s="33" t="n"/>
      <c r="L293" s="34" t="str">
        <f>IF(AND(ISNUMBER(I293),ISNUMBER(J293),ISNUMBER(K293)),IF(OR(AND(F293="多",I293&gt;J293),AND(F293="空",I293&lt;J293)),ABS(K293-I293)/ABS(I293-J293),"止损方向不对"),"")</f>
        <v/>
      </c>
      <c r="M293" s="35" t="str">
        <f>IF(AND(ISNUMBER(I293),ISNUMBER(J293)),IF(I293=J293,"",IF(INT(ROUND('参数'!$C$7/(ABS(I293-J293)*IF(N(G293)&gt;0,G293,1)+2*(I293*IF(N(G293)&gt;0,G293,1)*'参数'!$C$12+'参数'!$C$13+'参数'!$C$14*IF(N(G293)&gt;0,G293,1)))/IF(N(H293)&gt;0,H293,1),6))*IF(N(H293)&gt;0,H293,1)&gt;0,INT(ROUND('参数'!$C$7/(ABS(I293-J293)*IF(N(G293)&gt;0,G293,1)+2*(I293*IF(N(G293)&gt;0,G293,1)*'参数'!$C$12+'参数'!$C$13+'参数'!$C$14*IF(N(G293)&gt;0,G293,1)))/IF(N(H293)&gt;0,H293,1),6))*IF(N(H293)&gt;0,H293,1),"预算不足，这笔不做")),"")</f>
        <v/>
      </c>
      <c r="N293" s="36" t="n"/>
      <c r="O293" s="20" t="str">
        <f>IF(AND(ISNUMBER(I293),ISNUMBER(J293),ISNUMBER(N293)),IF(AND(I293&lt;&gt;J293,N293&gt;0),ABS(I293-J293)*N293*IF(N(G293)&gt;0,G293,1),""),"")</f>
        <v/>
      </c>
      <c r="P293" s="31" t="n"/>
      <c r="Q293" s="32" t="n"/>
      <c r="R293" s="37" t="str">
        <f>IF(N(U293)&gt;0,SUMPRODUCT(LARGE(('成交明细'!$A$5:$A$804=A293)*('成交明细'!$D$5:$D$804=IF(F293="空","卖","买"))*'成交明细'!$B$5:$B$804,COUNTIFS('成交明细'!$A$5:$A$804,A293,'成交明细'!$D$5:$D$804,IF(F293="空","卖","买")))),"")</f>
        <v/>
      </c>
      <c r="S293" s="37" t="str">
        <f>IF(AND(N(U293)&gt;0,N(W293)&gt;=N(U293)),SUMPRODUCT(MAX(('成交明细'!$A$5:$A$804=A293)*('成交明细'!$D$5:$D$804=IF(F293="空","买","卖"))*'成交明细'!$B$5:$B$804)),"")</f>
        <v/>
      </c>
      <c r="T293" s="38" t="str">
        <f>IF(N(U293)=0,"",IF(SUMPRODUCT(('成交明细'!$A$5:$A$804=A293)*('成交明细'!$D$5:$D$804=IF(F293="空","卖","买"))*ISNUMBER('成交明细'!$C$5:$C$804))=0,"没填时间",IFERROR(VLOOKUP(MOD(SUMPRODUCT(LARGE(('成交明细'!$A$5:$A$804=A293)*('成交明细'!$D$5:$D$804=IF(F293="空","卖","买"))*('成交明细'!$B$5:$B$804+'成交明细'!$C$5:$C$804),COUNTIFS('成交明细'!$A$5:$A$804,A293,'成交明细'!$D$5:$D$804,IF(F293="空","卖","买")))),1),'参数'!$B$39:$C$48,2,TRUE),"")))</f>
        <v/>
      </c>
      <c r="U293" s="35" t="str">
        <f>IF(A293="","",SUMIFS('成交明细'!$F$5:$F$804,'成交明细'!$A$5:$A$804,A293,'成交明细'!$D$5:$D$804,IF(F293="空","卖","买")))</f>
        <v/>
      </c>
      <c r="V293" s="39" t="str">
        <f>IF(N(U293)&gt;0,SUMIFS('成交明细'!$H$5:$H$804,'成交明细'!$A$5:$A$804,A293,'成交明细'!$D$5:$D$804,IF(F293="空","卖","买"))/U293,"")</f>
        <v/>
      </c>
      <c r="W293" s="35" t="str">
        <f>IF(A293="","",SUMIFS('成交明细'!$F$5:$F$804,'成交明细'!$A$5:$A$804,A293,'成交明细'!$D$5:$D$804,IF(F293="空","买","卖")))</f>
        <v/>
      </c>
      <c r="X293" s="39" t="str">
        <f>IF(N(W293)&gt;0,SUMIFS('成交明细'!$H$5:$H$804,'成交明细'!$A$5:$A$804,A293,'成交明细'!$D$5:$D$804,IF(F293="空","买","卖"))/W293,"")</f>
        <v/>
      </c>
      <c r="Y293" s="40" t="str">
        <f>IF(A293="","",IF(Q293&lt;&gt;"已执行",IF(Q293="","未填执行情况",Q293),IF(N(U293)=0,"待录成交",IF(N(W293)&gt;N(U293),"平仓多于开仓",IF(N(W293)&lt;N(U293),"持仓中","已平仓")))))</f>
        <v/>
      </c>
      <c r="Z293" s="41" t="str">
        <f>IF(N(U293)=0,"",SUMIFS('成交明细'!$L$5:$L$804,'成交明细'!$A$5:$A$804,A293))</f>
        <v/>
      </c>
      <c r="AA293" s="42" t="str">
        <f>IF(Y293&lt;&gt;"已平仓","",(SUMIFS('成交明细'!$H$5:$H$804,'成交明细'!$A$5:$A$804,A293,'成交明细'!$D$5:$D$804,"卖")-SUMIFS('成交明细'!$H$5:$H$804,'成交明细'!$A$5:$A$804,A293,'成交明细'!$D$5:$D$804,"买"))*IF(N(G293)&gt;0,G293,1)-Z293)</f>
        <v/>
      </c>
      <c r="AB293" s="43" t="str">
        <f>IF(AND(Y293="已平仓",ISNUMBER(O293)),(SUMIFS('成交明细'!$H$5:$H$804,'成交明细'!$A$5:$A$804,A293,'成交明细'!$D$5:$D$804,"卖")-SUMIFS('成交明细'!$H$5:$H$804,'成交明细'!$A$5:$A$804,A293,'成交明细'!$D$5:$D$804,"买"))*IF(N(G293)&gt;0,G293,1)/O293,"")</f>
        <v/>
      </c>
      <c r="AC293" s="43" t="str">
        <f>IF(AND(Y293="已平仓",ISNUMBER(O293)),AA293/O293,"")</f>
        <v/>
      </c>
      <c r="AD293" s="44" t="str">
        <f>IF(AND(ISNUMBER(V293),ISNUMBER(I293)),IF(F293="空",I293-V293,V293-I293),"")</f>
        <v/>
      </c>
      <c r="AE293" s="44" t="str">
        <f>IF(OR(NOT(ISNUMBER(AA293)),NOT(ISNUMBER(X293))),"",IF(AA293&lt;0,IF(F293="空",X293-J293,J293-X293),IF(NOT(ISNUMBER(K293)),"",IF(F293="空",X293-K293,K293-X293))))</f>
        <v/>
      </c>
      <c r="AF293" s="32" t="n"/>
      <c r="AG293" s="32" t="n"/>
      <c r="AH293" s="31" t="n"/>
      <c r="AI293" s="43" t="str">
        <f>IF(A293="","",SUM(AC$5:AC293))</f>
        <v/>
      </c>
      <c r="AJ293" s="45" t="str">
        <f>IF(A293="","",MAX(0,MAX(AI$5:AI293))-AI293)</f>
        <v/>
      </c>
    </row>
    <row r="294">
      <c r="A294" s="29" t="n"/>
      <c r="B294" s="30" t="n"/>
      <c r="C294" s="31" t="n"/>
      <c r="D294" s="32" t="n"/>
      <c r="E294" s="32" t="n"/>
      <c r="F294" s="32" t="n"/>
      <c r="G294" s="32" t="n"/>
      <c r="H294" s="32" t="n"/>
      <c r="I294" s="33" t="n"/>
      <c r="J294" s="33" t="n"/>
      <c r="K294" s="33" t="n"/>
      <c r="L294" s="34" t="str">
        <f>IF(AND(ISNUMBER(I294),ISNUMBER(J294),ISNUMBER(K294)),IF(OR(AND(F294="多",I294&gt;J294),AND(F294="空",I294&lt;J294)),ABS(K294-I294)/ABS(I294-J294),"止损方向不对"),"")</f>
        <v/>
      </c>
      <c r="M294" s="35" t="str">
        <f>IF(AND(ISNUMBER(I294),ISNUMBER(J294)),IF(I294=J294,"",IF(INT(ROUND('参数'!$C$7/(ABS(I294-J294)*IF(N(G294)&gt;0,G294,1)+2*(I294*IF(N(G294)&gt;0,G294,1)*'参数'!$C$12+'参数'!$C$13+'参数'!$C$14*IF(N(G294)&gt;0,G294,1)))/IF(N(H294)&gt;0,H294,1),6))*IF(N(H294)&gt;0,H294,1)&gt;0,INT(ROUND('参数'!$C$7/(ABS(I294-J294)*IF(N(G294)&gt;0,G294,1)+2*(I294*IF(N(G294)&gt;0,G294,1)*'参数'!$C$12+'参数'!$C$13+'参数'!$C$14*IF(N(G294)&gt;0,G294,1)))/IF(N(H294)&gt;0,H294,1),6))*IF(N(H294)&gt;0,H294,1),"预算不足，这笔不做")),"")</f>
        <v/>
      </c>
      <c r="N294" s="36" t="n"/>
      <c r="O294" s="20" t="str">
        <f>IF(AND(ISNUMBER(I294),ISNUMBER(J294),ISNUMBER(N294)),IF(AND(I294&lt;&gt;J294,N294&gt;0),ABS(I294-J294)*N294*IF(N(G294)&gt;0,G294,1),""),"")</f>
        <v/>
      </c>
      <c r="P294" s="31" t="n"/>
      <c r="Q294" s="32" t="n"/>
      <c r="R294" s="37" t="str">
        <f>IF(N(U294)&gt;0,SUMPRODUCT(LARGE(('成交明细'!$A$5:$A$804=A294)*('成交明细'!$D$5:$D$804=IF(F294="空","卖","买"))*'成交明细'!$B$5:$B$804,COUNTIFS('成交明细'!$A$5:$A$804,A294,'成交明细'!$D$5:$D$804,IF(F294="空","卖","买")))),"")</f>
        <v/>
      </c>
      <c r="S294" s="37" t="str">
        <f>IF(AND(N(U294)&gt;0,N(W294)&gt;=N(U294)),SUMPRODUCT(MAX(('成交明细'!$A$5:$A$804=A294)*('成交明细'!$D$5:$D$804=IF(F294="空","买","卖"))*'成交明细'!$B$5:$B$804)),"")</f>
        <v/>
      </c>
      <c r="T294" s="38" t="str">
        <f>IF(N(U294)=0,"",IF(SUMPRODUCT(('成交明细'!$A$5:$A$804=A294)*('成交明细'!$D$5:$D$804=IF(F294="空","卖","买"))*ISNUMBER('成交明细'!$C$5:$C$804))=0,"没填时间",IFERROR(VLOOKUP(MOD(SUMPRODUCT(LARGE(('成交明细'!$A$5:$A$804=A294)*('成交明细'!$D$5:$D$804=IF(F294="空","卖","买"))*('成交明细'!$B$5:$B$804+'成交明细'!$C$5:$C$804),COUNTIFS('成交明细'!$A$5:$A$804,A294,'成交明细'!$D$5:$D$804,IF(F294="空","卖","买")))),1),'参数'!$B$39:$C$48,2,TRUE),"")))</f>
        <v/>
      </c>
      <c r="U294" s="35" t="str">
        <f>IF(A294="","",SUMIFS('成交明细'!$F$5:$F$804,'成交明细'!$A$5:$A$804,A294,'成交明细'!$D$5:$D$804,IF(F294="空","卖","买")))</f>
        <v/>
      </c>
      <c r="V294" s="39" t="str">
        <f>IF(N(U294)&gt;0,SUMIFS('成交明细'!$H$5:$H$804,'成交明细'!$A$5:$A$804,A294,'成交明细'!$D$5:$D$804,IF(F294="空","卖","买"))/U294,"")</f>
        <v/>
      </c>
      <c r="W294" s="35" t="str">
        <f>IF(A294="","",SUMIFS('成交明细'!$F$5:$F$804,'成交明细'!$A$5:$A$804,A294,'成交明细'!$D$5:$D$804,IF(F294="空","买","卖")))</f>
        <v/>
      </c>
      <c r="X294" s="39" t="str">
        <f>IF(N(W294)&gt;0,SUMIFS('成交明细'!$H$5:$H$804,'成交明细'!$A$5:$A$804,A294,'成交明细'!$D$5:$D$804,IF(F294="空","买","卖"))/W294,"")</f>
        <v/>
      </c>
      <c r="Y294" s="40" t="str">
        <f>IF(A294="","",IF(Q294&lt;&gt;"已执行",IF(Q294="","未填执行情况",Q294),IF(N(U294)=0,"待录成交",IF(N(W294)&gt;N(U294),"平仓多于开仓",IF(N(W294)&lt;N(U294),"持仓中","已平仓")))))</f>
        <v/>
      </c>
      <c r="Z294" s="41" t="str">
        <f>IF(N(U294)=0,"",SUMIFS('成交明细'!$L$5:$L$804,'成交明细'!$A$5:$A$804,A294))</f>
        <v/>
      </c>
      <c r="AA294" s="42" t="str">
        <f>IF(Y294&lt;&gt;"已平仓","",(SUMIFS('成交明细'!$H$5:$H$804,'成交明细'!$A$5:$A$804,A294,'成交明细'!$D$5:$D$804,"卖")-SUMIFS('成交明细'!$H$5:$H$804,'成交明细'!$A$5:$A$804,A294,'成交明细'!$D$5:$D$804,"买"))*IF(N(G294)&gt;0,G294,1)-Z294)</f>
        <v/>
      </c>
      <c r="AB294" s="43" t="str">
        <f>IF(AND(Y294="已平仓",ISNUMBER(O294)),(SUMIFS('成交明细'!$H$5:$H$804,'成交明细'!$A$5:$A$804,A294,'成交明细'!$D$5:$D$804,"卖")-SUMIFS('成交明细'!$H$5:$H$804,'成交明细'!$A$5:$A$804,A294,'成交明细'!$D$5:$D$804,"买"))*IF(N(G294)&gt;0,G294,1)/O294,"")</f>
        <v/>
      </c>
      <c r="AC294" s="43" t="str">
        <f>IF(AND(Y294="已平仓",ISNUMBER(O294)),AA294/O294,"")</f>
        <v/>
      </c>
      <c r="AD294" s="44" t="str">
        <f>IF(AND(ISNUMBER(V294),ISNUMBER(I294)),IF(F294="空",I294-V294,V294-I294),"")</f>
        <v/>
      </c>
      <c r="AE294" s="44" t="str">
        <f>IF(OR(NOT(ISNUMBER(AA294)),NOT(ISNUMBER(X294))),"",IF(AA294&lt;0,IF(F294="空",X294-J294,J294-X294),IF(NOT(ISNUMBER(K294)),"",IF(F294="空",X294-K294,K294-X294))))</f>
        <v/>
      </c>
      <c r="AF294" s="32" t="n"/>
      <c r="AG294" s="32" t="n"/>
      <c r="AH294" s="31" t="n"/>
      <c r="AI294" s="43" t="str">
        <f>IF(A294="","",SUM(AC$5:AC294))</f>
        <v/>
      </c>
      <c r="AJ294" s="45" t="str">
        <f>IF(A294="","",MAX(0,MAX(AI$5:AI294))-AI294)</f>
        <v/>
      </c>
    </row>
    <row r="295">
      <c r="A295" s="29" t="n"/>
      <c r="B295" s="30" t="n"/>
      <c r="C295" s="31" t="n"/>
      <c r="D295" s="32" t="n"/>
      <c r="E295" s="32" t="n"/>
      <c r="F295" s="32" t="n"/>
      <c r="G295" s="32" t="n"/>
      <c r="H295" s="32" t="n"/>
      <c r="I295" s="33" t="n"/>
      <c r="J295" s="33" t="n"/>
      <c r="K295" s="33" t="n"/>
      <c r="L295" s="34" t="str">
        <f>IF(AND(ISNUMBER(I295),ISNUMBER(J295),ISNUMBER(K295)),IF(OR(AND(F295="多",I295&gt;J295),AND(F295="空",I295&lt;J295)),ABS(K295-I295)/ABS(I295-J295),"止损方向不对"),"")</f>
        <v/>
      </c>
      <c r="M295" s="35" t="str">
        <f>IF(AND(ISNUMBER(I295),ISNUMBER(J295)),IF(I295=J295,"",IF(INT(ROUND('参数'!$C$7/(ABS(I295-J295)*IF(N(G295)&gt;0,G295,1)+2*(I295*IF(N(G295)&gt;0,G295,1)*'参数'!$C$12+'参数'!$C$13+'参数'!$C$14*IF(N(G295)&gt;0,G295,1)))/IF(N(H295)&gt;0,H295,1),6))*IF(N(H295)&gt;0,H295,1)&gt;0,INT(ROUND('参数'!$C$7/(ABS(I295-J295)*IF(N(G295)&gt;0,G295,1)+2*(I295*IF(N(G295)&gt;0,G295,1)*'参数'!$C$12+'参数'!$C$13+'参数'!$C$14*IF(N(G295)&gt;0,G295,1)))/IF(N(H295)&gt;0,H295,1),6))*IF(N(H295)&gt;0,H295,1),"预算不足，这笔不做")),"")</f>
        <v/>
      </c>
      <c r="N295" s="36" t="n"/>
      <c r="O295" s="20" t="str">
        <f>IF(AND(ISNUMBER(I295),ISNUMBER(J295),ISNUMBER(N295)),IF(AND(I295&lt;&gt;J295,N295&gt;0),ABS(I295-J295)*N295*IF(N(G295)&gt;0,G295,1),""),"")</f>
        <v/>
      </c>
      <c r="P295" s="31" t="n"/>
      <c r="Q295" s="32" t="n"/>
      <c r="R295" s="37" t="str">
        <f>IF(N(U295)&gt;0,SUMPRODUCT(LARGE(('成交明细'!$A$5:$A$804=A295)*('成交明细'!$D$5:$D$804=IF(F295="空","卖","买"))*'成交明细'!$B$5:$B$804,COUNTIFS('成交明细'!$A$5:$A$804,A295,'成交明细'!$D$5:$D$804,IF(F295="空","卖","买")))),"")</f>
        <v/>
      </c>
      <c r="S295" s="37" t="str">
        <f>IF(AND(N(U295)&gt;0,N(W295)&gt;=N(U295)),SUMPRODUCT(MAX(('成交明细'!$A$5:$A$804=A295)*('成交明细'!$D$5:$D$804=IF(F295="空","买","卖"))*'成交明细'!$B$5:$B$804)),"")</f>
        <v/>
      </c>
      <c r="T295" s="38" t="str">
        <f>IF(N(U295)=0,"",IF(SUMPRODUCT(('成交明细'!$A$5:$A$804=A295)*('成交明细'!$D$5:$D$804=IF(F295="空","卖","买"))*ISNUMBER('成交明细'!$C$5:$C$804))=0,"没填时间",IFERROR(VLOOKUP(MOD(SUMPRODUCT(LARGE(('成交明细'!$A$5:$A$804=A295)*('成交明细'!$D$5:$D$804=IF(F295="空","卖","买"))*('成交明细'!$B$5:$B$804+'成交明细'!$C$5:$C$804),COUNTIFS('成交明细'!$A$5:$A$804,A295,'成交明细'!$D$5:$D$804,IF(F295="空","卖","买")))),1),'参数'!$B$39:$C$48,2,TRUE),"")))</f>
        <v/>
      </c>
      <c r="U295" s="35" t="str">
        <f>IF(A295="","",SUMIFS('成交明细'!$F$5:$F$804,'成交明细'!$A$5:$A$804,A295,'成交明细'!$D$5:$D$804,IF(F295="空","卖","买")))</f>
        <v/>
      </c>
      <c r="V295" s="39" t="str">
        <f>IF(N(U295)&gt;0,SUMIFS('成交明细'!$H$5:$H$804,'成交明细'!$A$5:$A$804,A295,'成交明细'!$D$5:$D$804,IF(F295="空","卖","买"))/U295,"")</f>
        <v/>
      </c>
      <c r="W295" s="35" t="str">
        <f>IF(A295="","",SUMIFS('成交明细'!$F$5:$F$804,'成交明细'!$A$5:$A$804,A295,'成交明细'!$D$5:$D$804,IF(F295="空","买","卖")))</f>
        <v/>
      </c>
      <c r="X295" s="39" t="str">
        <f>IF(N(W295)&gt;0,SUMIFS('成交明细'!$H$5:$H$804,'成交明细'!$A$5:$A$804,A295,'成交明细'!$D$5:$D$804,IF(F295="空","买","卖"))/W295,"")</f>
        <v/>
      </c>
      <c r="Y295" s="40" t="str">
        <f>IF(A295="","",IF(Q295&lt;&gt;"已执行",IF(Q295="","未填执行情况",Q295),IF(N(U295)=0,"待录成交",IF(N(W295)&gt;N(U295),"平仓多于开仓",IF(N(W295)&lt;N(U295),"持仓中","已平仓")))))</f>
        <v/>
      </c>
      <c r="Z295" s="41" t="str">
        <f>IF(N(U295)=0,"",SUMIFS('成交明细'!$L$5:$L$804,'成交明细'!$A$5:$A$804,A295))</f>
        <v/>
      </c>
      <c r="AA295" s="42" t="str">
        <f>IF(Y295&lt;&gt;"已平仓","",(SUMIFS('成交明细'!$H$5:$H$804,'成交明细'!$A$5:$A$804,A295,'成交明细'!$D$5:$D$804,"卖")-SUMIFS('成交明细'!$H$5:$H$804,'成交明细'!$A$5:$A$804,A295,'成交明细'!$D$5:$D$804,"买"))*IF(N(G295)&gt;0,G295,1)-Z295)</f>
        <v/>
      </c>
      <c r="AB295" s="43" t="str">
        <f>IF(AND(Y295="已平仓",ISNUMBER(O295)),(SUMIFS('成交明细'!$H$5:$H$804,'成交明细'!$A$5:$A$804,A295,'成交明细'!$D$5:$D$804,"卖")-SUMIFS('成交明细'!$H$5:$H$804,'成交明细'!$A$5:$A$804,A295,'成交明细'!$D$5:$D$804,"买"))*IF(N(G295)&gt;0,G295,1)/O295,"")</f>
        <v/>
      </c>
      <c r="AC295" s="43" t="str">
        <f>IF(AND(Y295="已平仓",ISNUMBER(O295)),AA295/O295,"")</f>
        <v/>
      </c>
      <c r="AD295" s="44" t="str">
        <f>IF(AND(ISNUMBER(V295),ISNUMBER(I295)),IF(F295="空",I295-V295,V295-I295),"")</f>
        <v/>
      </c>
      <c r="AE295" s="44" t="str">
        <f>IF(OR(NOT(ISNUMBER(AA295)),NOT(ISNUMBER(X295))),"",IF(AA295&lt;0,IF(F295="空",X295-J295,J295-X295),IF(NOT(ISNUMBER(K295)),"",IF(F295="空",X295-K295,K295-X295))))</f>
        <v/>
      </c>
      <c r="AF295" s="32" t="n"/>
      <c r="AG295" s="32" t="n"/>
      <c r="AH295" s="31" t="n"/>
      <c r="AI295" s="43" t="str">
        <f>IF(A295="","",SUM(AC$5:AC295))</f>
        <v/>
      </c>
      <c r="AJ295" s="45" t="str">
        <f>IF(A295="","",MAX(0,MAX(AI$5:AI295))-AI295)</f>
        <v/>
      </c>
    </row>
    <row r="296">
      <c r="A296" s="29" t="n"/>
      <c r="B296" s="30" t="n"/>
      <c r="C296" s="31" t="n"/>
      <c r="D296" s="32" t="n"/>
      <c r="E296" s="32" t="n"/>
      <c r="F296" s="32" t="n"/>
      <c r="G296" s="32" t="n"/>
      <c r="H296" s="32" t="n"/>
      <c r="I296" s="33" t="n"/>
      <c r="J296" s="33" t="n"/>
      <c r="K296" s="33" t="n"/>
      <c r="L296" s="34" t="str">
        <f>IF(AND(ISNUMBER(I296),ISNUMBER(J296),ISNUMBER(K296)),IF(OR(AND(F296="多",I296&gt;J296),AND(F296="空",I296&lt;J296)),ABS(K296-I296)/ABS(I296-J296),"止损方向不对"),"")</f>
        <v/>
      </c>
      <c r="M296" s="35" t="str">
        <f>IF(AND(ISNUMBER(I296),ISNUMBER(J296)),IF(I296=J296,"",IF(INT(ROUND('参数'!$C$7/(ABS(I296-J296)*IF(N(G296)&gt;0,G296,1)+2*(I296*IF(N(G296)&gt;0,G296,1)*'参数'!$C$12+'参数'!$C$13+'参数'!$C$14*IF(N(G296)&gt;0,G296,1)))/IF(N(H296)&gt;0,H296,1),6))*IF(N(H296)&gt;0,H296,1)&gt;0,INT(ROUND('参数'!$C$7/(ABS(I296-J296)*IF(N(G296)&gt;0,G296,1)+2*(I296*IF(N(G296)&gt;0,G296,1)*'参数'!$C$12+'参数'!$C$13+'参数'!$C$14*IF(N(G296)&gt;0,G296,1)))/IF(N(H296)&gt;0,H296,1),6))*IF(N(H296)&gt;0,H296,1),"预算不足，这笔不做")),"")</f>
        <v/>
      </c>
      <c r="N296" s="36" t="n"/>
      <c r="O296" s="20" t="str">
        <f>IF(AND(ISNUMBER(I296),ISNUMBER(J296),ISNUMBER(N296)),IF(AND(I296&lt;&gt;J296,N296&gt;0),ABS(I296-J296)*N296*IF(N(G296)&gt;0,G296,1),""),"")</f>
        <v/>
      </c>
      <c r="P296" s="31" t="n"/>
      <c r="Q296" s="32" t="n"/>
      <c r="R296" s="37" t="str">
        <f>IF(N(U296)&gt;0,SUMPRODUCT(LARGE(('成交明细'!$A$5:$A$804=A296)*('成交明细'!$D$5:$D$804=IF(F296="空","卖","买"))*'成交明细'!$B$5:$B$804,COUNTIFS('成交明细'!$A$5:$A$804,A296,'成交明细'!$D$5:$D$804,IF(F296="空","卖","买")))),"")</f>
        <v/>
      </c>
      <c r="S296" s="37" t="str">
        <f>IF(AND(N(U296)&gt;0,N(W296)&gt;=N(U296)),SUMPRODUCT(MAX(('成交明细'!$A$5:$A$804=A296)*('成交明细'!$D$5:$D$804=IF(F296="空","买","卖"))*'成交明细'!$B$5:$B$804)),"")</f>
        <v/>
      </c>
      <c r="T296" s="38" t="str">
        <f>IF(N(U296)=0,"",IF(SUMPRODUCT(('成交明细'!$A$5:$A$804=A296)*('成交明细'!$D$5:$D$804=IF(F296="空","卖","买"))*ISNUMBER('成交明细'!$C$5:$C$804))=0,"没填时间",IFERROR(VLOOKUP(MOD(SUMPRODUCT(LARGE(('成交明细'!$A$5:$A$804=A296)*('成交明细'!$D$5:$D$804=IF(F296="空","卖","买"))*('成交明细'!$B$5:$B$804+'成交明细'!$C$5:$C$804),COUNTIFS('成交明细'!$A$5:$A$804,A296,'成交明细'!$D$5:$D$804,IF(F296="空","卖","买")))),1),'参数'!$B$39:$C$48,2,TRUE),"")))</f>
        <v/>
      </c>
      <c r="U296" s="35" t="str">
        <f>IF(A296="","",SUMIFS('成交明细'!$F$5:$F$804,'成交明细'!$A$5:$A$804,A296,'成交明细'!$D$5:$D$804,IF(F296="空","卖","买")))</f>
        <v/>
      </c>
      <c r="V296" s="39" t="str">
        <f>IF(N(U296)&gt;0,SUMIFS('成交明细'!$H$5:$H$804,'成交明细'!$A$5:$A$804,A296,'成交明细'!$D$5:$D$804,IF(F296="空","卖","买"))/U296,"")</f>
        <v/>
      </c>
      <c r="W296" s="35" t="str">
        <f>IF(A296="","",SUMIFS('成交明细'!$F$5:$F$804,'成交明细'!$A$5:$A$804,A296,'成交明细'!$D$5:$D$804,IF(F296="空","买","卖")))</f>
        <v/>
      </c>
      <c r="X296" s="39" t="str">
        <f>IF(N(W296)&gt;0,SUMIFS('成交明细'!$H$5:$H$804,'成交明细'!$A$5:$A$804,A296,'成交明细'!$D$5:$D$804,IF(F296="空","买","卖"))/W296,"")</f>
        <v/>
      </c>
      <c r="Y296" s="40" t="str">
        <f>IF(A296="","",IF(Q296&lt;&gt;"已执行",IF(Q296="","未填执行情况",Q296),IF(N(U296)=0,"待录成交",IF(N(W296)&gt;N(U296),"平仓多于开仓",IF(N(W296)&lt;N(U296),"持仓中","已平仓")))))</f>
        <v/>
      </c>
      <c r="Z296" s="41" t="str">
        <f>IF(N(U296)=0,"",SUMIFS('成交明细'!$L$5:$L$804,'成交明细'!$A$5:$A$804,A296))</f>
        <v/>
      </c>
      <c r="AA296" s="42" t="str">
        <f>IF(Y296&lt;&gt;"已平仓","",(SUMIFS('成交明细'!$H$5:$H$804,'成交明细'!$A$5:$A$804,A296,'成交明细'!$D$5:$D$804,"卖")-SUMIFS('成交明细'!$H$5:$H$804,'成交明细'!$A$5:$A$804,A296,'成交明细'!$D$5:$D$804,"买"))*IF(N(G296)&gt;0,G296,1)-Z296)</f>
        <v/>
      </c>
      <c r="AB296" s="43" t="str">
        <f>IF(AND(Y296="已平仓",ISNUMBER(O296)),(SUMIFS('成交明细'!$H$5:$H$804,'成交明细'!$A$5:$A$804,A296,'成交明细'!$D$5:$D$804,"卖")-SUMIFS('成交明细'!$H$5:$H$804,'成交明细'!$A$5:$A$804,A296,'成交明细'!$D$5:$D$804,"买"))*IF(N(G296)&gt;0,G296,1)/O296,"")</f>
        <v/>
      </c>
      <c r="AC296" s="43" t="str">
        <f>IF(AND(Y296="已平仓",ISNUMBER(O296)),AA296/O296,"")</f>
        <v/>
      </c>
      <c r="AD296" s="44" t="str">
        <f>IF(AND(ISNUMBER(V296),ISNUMBER(I296)),IF(F296="空",I296-V296,V296-I296),"")</f>
        <v/>
      </c>
      <c r="AE296" s="44" t="str">
        <f>IF(OR(NOT(ISNUMBER(AA296)),NOT(ISNUMBER(X296))),"",IF(AA296&lt;0,IF(F296="空",X296-J296,J296-X296),IF(NOT(ISNUMBER(K296)),"",IF(F296="空",X296-K296,K296-X296))))</f>
        <v/>
      </c>
      <c r="AF296" s="32" t="n"/>
      <c r="AG296" s="32" t="n"/>
      <c r="AH296" s="31" t="n"/>
      <c r="AI296" s="43" t="str">
        <f>IF(A296="","",SUM(AC$5:AC296))</f>
        <v/>
      </c>
      <c r="AJ296" s="45" t="str">
        <f>IF(A296="","",MAX(0,MAX(AI$5:AI296))-AI296)</f>
        <v/>
      </c>
    </row>
    <row r="297">
      <c r="A297" s="29" t="n"/>
      <c r="B297" s="30" t="n"/>
      <c r="C297" s="31" t="n"/>
      <c r="D297" s="32" t="n"/>
      <c r="E297" s="32" t="n"/>
      <c r="F297" s="32" t="n"/>
      <c r="G297" s="32" t="n"/>
      <c r="H297" s="32" t="n"/>
      <c r="I297" s="33" t="n"/>
      <c r="J297" s="33" t="n"/>
      <c r="K297" s="33" t="n"/>
      <c r="L297" s="34" t="str">
        <f>IF(AND(ISNUMBER(I297),ISNUMBER(J297),ISNUMBER(K297)),IF(OR(AND(F297="多",I297&gt;J297),AND(F297="空",I297&lt;J297)),ABS(K297-I297)/ABS(I297-J297),"止损方向不对"),"")</f>
        <v/>
      </c>
      <c r="M297" s="35" t="str">
        <f>IF(AND(ISNUMBER(I297),ISNUMBER(J297)),IF(I297=J297,"",IF(INT(ROUND('参数'!$C$7/(ABS(I297-J297)*IF(N(G297)&gt;0,G297,1)+2*(I297*IF(N(G297)&gt;0,G297,1)*'参数'!$C$12+'参数'!$C$13+'参数'!$C$14*IF(N(G297)&gt;0,G297,1)))/IF(N(H297)&gt;0,H297,1),6))*IF(N(H297)&gt;0,H297,1)&gt;0,INT(ROUND('参数'!$C$7/(ABS(I297-J297)*IF(N(G297)&gt;0,G297,1)+2*(I297*IF(N(G297)&gt;0,G297,1)*'参数'!$C$12+'参数'!$C$13+'参数'!$C$14*IF(N(G297)&gt;0,G297,1)))/IF(N(H297)&gt;0,H297,1),6))*IF(N(H297)&gt;0,H297,1),"预算不足，这笔不做")),"")</f>
        <v/>
      </c>
      <c r="N297" s="36" t="n"/>
      <c r="O297" s="20" t="str">
        <f>IF(AND(ISNUMBER(I297),ISNUMBER(J297),ISNUMBER(N297)),IF(AND(I297&lt;&gt;J297,N297&gt;0),ABS(I297-J297)*N297*IF(N(G297)&gt;0,G297,1),""),"")</f>
        <v/>
      </c>
      <c r="P297" s="31" t="n"/>
      <c r="Q297" s="32" t="n"/>
      <c r="R297" s="37" t="str">
        <f>IF(N(U297)&gt;0,SUMPRODUCT(LARGE(('成交明细'!$A$5:$A$804=A297)*('成交明细'!$D$5:$D$804=IF(F297="空","卖","买"))*'成交明细'!$B$5:$B$804,COUNTIFS('成交明细'!$A$5:$A$804,A297,'成交明细'!$D$5:$D$804,IF(F297="空","卖","买")))),"")</f>
        <v/>
      </c>
      <c r="S297" s="37" t="str">
        <f>IF(AND(N(U297)&gt;0,N(W297)&gt;=N(U297)),SUMPRODUCT(MAX(('成交明细'!$A$5:$A$804=A297)*('成交明细'!$D$5:$D$804=IF(F297="空","买","卖"))*'成交明细'!$B$5:$B$804)),"")</f>
        <v/>
      </c>
      <c r="T297" s="38" t="str">
        <f>IF(N(U297)=0,"",IF(SUMPRODUCT(('成交明细'!$A$5:$A$804=A297)*('成交明细'!$D$5:$D$804=IF(F297="空","卖","买"))*ISNUMBER('成交明细'!$C$5:$C$804))=0,"没填时间",IFERROR(VLOOKUP(MOD(SUMPRODUCT(LARGE(('成交明细'!$A$5:$A$804=A297)*('成交明细'!$D$5:$D$804=IF(F297="空","卖","买"))*('成交明细'!$B$5:$B$804+'成交明细'!$C$5:$C$804),COUNTIFS('成交明细'!$A$5:$A$804,A297,'成交明细'!$D$5:$D$804,IF(F297="空","卖","买")))),1),'参数'!$B$39:$C$48,2,TRUE),"")))</f>
        <v/>
      </c>
      <c r="U297" s="35" t="str">
        <f>IF(A297="","",SUMIFS('成交明细'!$F$5:$F$804,'成交明细'!$A$5:$A$804,A297,'成交明细'!$D$5:$D$804,IF(F297="空","卖","买")))</f>
        <v/>
      </c>
      <c r="V297" s="39" t="str">
        <f>IF(N(U297)&gt;0,SUMIFS('成交明细'!$H$5:$H$804,'成交明细'!$A$5:$A$804,A297,'成交明细'!$D$5:$D$804,IF(F297="空","卖","买"))/U297,"")</f>
        <v/>
      </c>
      <c r="W297" s="35" t="str">
        <f>IF(A297="","",SUMIFS('成交明细'!$F$5:$F$804,'成交明细'!$A$5:$A$804,A297,'成交明细'!$D$5:$D$804,IF(F297="空","买","卖")))</f>
        <v/>
      </c>
      <c r="X297" s="39" t="str">
        <f>IF(N(W297)&gt;0,SUMIFS('成交明细'!$H$5:$H$804,'成交明细'!$A$5:$A$804,A297,'成交明细'!$D$5:$D$804,IF(F297="空","买","卖"))/W297,"")</f>
        <v/>
      </c>
      <c r="Y297" s="40" t="str">
        <f>IF(A297="","",IF(Q297&lt;&gt;"已执行",IF(Q297="","未填执行情况",Q297),IF(N(U297)=0,"待录成交",IF(N(W297)&gt;N(U297),"平仓多于开仓",IF(N(W297)&lt;N(U297),"持仓中","已平仓")))))</f>
        <v/>
      </c>
      <c r="Z297" s="41" t="str">
        <f>IF(N(U297)=0,"",SUMIFS('成交明细'!$L$5:$L$804,'成交明细'!$A$5:$A$804,A297))</f>
        <v/>
      </c>
      <c r="AA297" s="42" t="str">
        <f>IF(Y297&lt;&gt;"已平仓","",(SUMIFS('成交明细'!$H$5:$H$804,'成交明细'!$A$5:$A$804,A297,'成交明细'!$D$5:$D$804,"卖")-SUMIFS('成交明细'!$H$5:$H$804,'成交明细'!$A$5:$A$804,A297,'成交明细'!$D$5:$D$804,"买"))*IF(N(G297)&gt;0,G297,1)-Z297)</f>
        <v/>
      </c>
      <c r="AB297" s="43" t="str">
        <f>IF(AND(Y297="已平仓",ISNUMBER(O297)),(SUMIFS('成交明细'!$H$5:$H$804,'成交明细'!$A$5:$A$804,A297,'成交明细'!$D$5:$D$804,"卖")-SUMIFS('成交明细'!$H$5:$H$804,'成交明细'!$A$5:$A$804,A297,'成交明细'!$D$5:$D$804,"买"))*IF(N(G297)&gt;0,G297,1)/O297,"")</f>
        <v/>
      </c>
      <c r="AC297" s="43" t="str">
        <f>IF(AND(Y297="已平仓",ISNUMBER(O297)),AA297/O297,"")</f>
        <v/>
      </c>
      <c r="AD297" s="44" t="str">
        <f>IF(AND(ISNUMBER(V297),ISNUMBER(I297)),IF(F297="空",I297-V297,V297-I297),"")</f>
        <v/>
      </c>
      <c r="AE297" s="44" t="str">
        <f>IF(OR(NOT(ISNUMBER(AA297)),NOT(ISNUMBER(X297))),"",IF(AA297&lt;0,IF(F297="空",X297-J297,J297-X297),IF(NOT(ISNUMBER(K297)),"",IF(F297="空",X297-K297,K297-X297))))</f>
        <v/>
      </c>
      <c r="AF297" s="32" t="n"/>
      <c r="AG297" s="32" t="n"/>
      <c r="AH297" s="31" t="n"/>
      <c r="AI297" s="43" t="str">
        <f>IF(A297="","",SUM(AC$5:AC297))</f>
        <v/>
      </c>
      <c r="AJ297" s="45" t="str">
        <f>IF(A297="","",MAX(0,MAX(AI$5:AI297))-AI297)</f>
        <v/>
      </c>
    </row>
    <row r="298">
      <c r="A298" s="29" t="n"/>
      <c r="B298" s="30" t="n"/>
      <c r="C298" s="31" t="n"/>
      <c r="D298" s="32" t="n"/>
      <c r="E298" s="32" t="n"/>
      <c r="F298" s="32" t="n"/>
      <c r="G298" s="32" t="n"/>
      <c r="H298" s="32" t="n"/>
      <c r="I298" s="33" t="n"/>
      <c r="J298" s="33" t="n"/>
      <c r="K298" s="33" t="n"/>
      <c r="L298" s="34" t="str">
        <f>IF(AND(ISNUMBER(I298),ISNUMBER(J298),ISNUMBER(K298)),IF(OR(AND(F298="多",I298&gt;J298),AND(F298="空",I298&lt;J298)),ABS(K298-I298)/ABS(I298-J298),"止损方向不对"),"")</f>
        <v/>
      </c>
      <c r="M298" s="35" t="str">
        <f>IF(AND(ISNUMBER(I298),ISNUMBER(J298)),IF(I298=J298,"",IF(INT(ROUND('参数'!$C$7/(ABS(I298-J298)*IF(N(G298)&gt;0,G298,1)+2*(I298*IF(N(G298)&gt;0,G298,1)*'参数'!$C$12+'参数'!$C$13+'参数'!$C$14*IF(N(G298)&gt;0,G298,1)))/IF(N(H298)&gt;0,H298,1),6))*IF(N(H298)&gt;0,H298,1)&gt;0,INT(ROUND('参数'!$C$7/(ABS(I298-J298)*IF(N(G298)&gt;0,G298,1)+2*(I298*IF(N(G298)&gt;0,G298,1)*'参数'!$C$12+'参数'!$C$13+'参数'!$C$14*IF(N(G298)&gt;0,G298,1)))/IF(N(H298)&gt;0,H298,1),6))*IF(N(H298)&gt;0,H298,1),"预算不足，这笔不做")),"")</f>
        <v/>
      </c>
      <c r="N298" s="36" t="n"/>
      <c r="O298" s="20" t="str">
        <f>IF(AND(ISNUMBER(I298),ISNUMBER(J298),ISNUMBER(N298)),IF(AND(I298&lt;&gt;J298,N298&gt;0),ABS(I298-J298)*N298*IF(N(G298)&gt;0,G298,1),""),"")</f>
        <v/>
      </c>
      <c r="P298" s="31" t="n"/>
      <c r="Q298" s="32" t="n"/>
      <c r="R298" s="37" t="str">
        <f>IF(N(U298)&gt;0,SUMPRODUCT(LARGE(('成交明细'!$A$5:$A$804=A298)*('成交明细'!$D$5:$D$804=IF(F298="空","卖","买"))*'成交明细'!$B$5:$B$804,COUNTIFS('成交明细'!$A$5:$A$804,A298,'成交明细'!$D$5:$D$804,IF(F298="空","卖","买")))),"")</f>
        <v/>
      </c>
      <c r="S298" s="37" t="str">
        <f>IF(AND(N(U298)&gt;0,N(W298)&gt;=N(U298)),SUMPRODUCT(MAX(('成交明细'!$A$5:$A$804=A298)*('成交明细'!$D$5:$D$804=IF(F298="空","买","卖"))*'成交明细'!$B$5:$B$804)),"")</f>
        <v/>
      </c>
      <c r="T298" s="38" t="str">
        <f>IF(N(U298)=0,"",IF(SUMPRODUCT(('成交明细'!$A$5:$A$804=A298)*('成交明细'!$D$5:$D$804=IF(F298="空","卖","买"))*ISNUMBER('成交明细'!$C$5:$C$804))=0,"没填时间",IFERROR(VLOOKUP(MOD(SUMPRODUCT(LARGE(('成交明细'!$A$5:$A$804=A298)*('成交明细'!$D$5:$D$804=IF(F298="空","卖","买"))*('成交明细'!$B$5:$B$804+'成交明细'!$C$5:$C$804),COUNTIFS('成交明细'!$A$5:$A$804,A298,'成交明细'!$D$5:$D$804,IF(F298="空","卖","买")))),1),'参数'!$B$39:$C$48,2,TRUE),"")))</f>
        <v/>
      </c>
      <c r="U298" s="35" t="str">
        <f>IF(A298="","",SUMIFS('成交明细'!$F$5:$F$804,'成交明细'!$A$5:$A$804,A298,'成交明细'!$D$5:$D$804,IF(F298="空","卖","买")))</f>
        <v/>
      </c>
      <c r="V298" s="39" t="str">
        <f>IF(N(U298)&gt;0,SUMIFS('成交明细'!$H$5:$H$804,'成交明细'!$A$5:$A$804,A298,'成交明细'!$D$5:$D$804,IF(F298="空","卖","买"))/U298,"")</f>
        <v/>
      </c>
      <c r="W298" s="35" t="str">
        <f>IF(A298="","",SUMIFS('成交明细'!$F$5:$F$804,'成交明细'!$A$5:$A$804,A298,'成交明细'!$D$5:$D$804,IF(F298="空","买","卖")))</f>
        <v/>
      </c>
      <c r="X298" s="39" t="str">
        <f>IF(N(W298)&gt;0,SUMIFS('成交明细'!$H$5:$H$804,'成交明细'!$A$5:$A$804,A298,'成交明细'!$D$5:$D$804,IF(F298="空","买","卖"))/W298,"")</f>
        <v/>
      </c>
      <c r="Y298" s="40" t="str">
        <f>IF(A298="","",IF(Q298&lt;&gt;"已执行",IF(Q298="","未填执行情况",Q298),IF(N(U298)=0,"待录成交",IF(N(W298)&gt;N(U298),"平仓多于开仓",IF(N(W298)&lt;N(U298),"持仓中","已平仓")))))</f>
        <v/>
      </c>
      <c r="Z298" s="41" t="str">
        <f>IF(N(U298)=0,"",SUMIFS('成交明细'!$L$5:$L$804,'成交明细'!$A$5:$A$804,A298))</f>
        <v/>
      </c>
      <c r="AA298" s="42" t="str">
        <f>IF(Y298&lt;&gt;"已平仓","",(SUMIFS('成交明细'!$H$5:$H$804,'成交明细'!$A$5:$A$804,A298,'成交明细'!$D$5:$D$804,"卖")-SUMIFS('成交明细'!$H$5:$H$804,'成交明细'!$A$5:$A$804,A298,'成交明细'!$D$5:$D$804,"买"))*IF(N(G298)&gt;0,G298,1)-Z298)</f>
        <v/>
      </c>
      <c r="AB298" s="43" t="str">
        <f>IF(AND(Y298="已平仓",ISNUMBER(O298)),(SUMIFS('成交明细'!$H$5:$H$804,'成交明细'!$A$5:$A$804,A298,'成交明细'!$D$5:$D$804,"卖")-SUMIFS('成交明细'!$H$5:$H$804,'成交明细'!$A$5:$A$804,A298,'成交明细'!$D$5:$D$804,"买"))*IF(N(G298)&gt;0,G298,1)/O298,"")</f>
        <v/>
      </c>
      <c r="AC298" s="43" t="str">
        <f>IF(AND(Y298="已平仓",ISNUMBER(O298)),AA298/O298,"")</f>
        <v/>
      </c>
      <c r="AD298" s="44" t="str">
        <f>IF(AND(ISNUMBER(V298),ISNUMBER(I298)),IF(F298="空",I298-V298,V298-I298),"")</f>
        <v/>
      </c>
      <c r="AE298" s="44" t="str">
        <f>IF(OR(NOT(ISNUMBER(AA298)),NOT(ISNUMBER(X298))),"",IF(AA298&lt;0,IF(F298="空",X298-J298,J298-X298),IF(NOT(ISNUMBER(K298)),"",IF(F298="空",X298-K298,K298-X298))))</f>
        <v/>
      </c>
      <c r="AF298" s="32" t="n"/>
      <c r="AG298" s="32" t="n"/>
      <c r="AH298" s="31" t="n"/>
      <c r="AI298" s="43" t="str">
        <f>IF(A298="","",SUM(AC$5:AC298))</f>
        <v/>
      </c>
      <c r="AJ298" s="45" t="str">
        <f>IF(A298="","",MAX(0,MAX(AI$5:AI298))-AI298)</f>
        <v/>
      </c>
    </row>
    <row r="299">
      <c r="A299" s="29" t="n"/>
      <c r="B299" s="30" t="n"/>
      <c r="C299" s="31" t="n"/>
      <c r="D299" s="32" t="n"/>
      <c r="E299" s="32" t="n"/>
      <c r="F299" s="32" t="n"/>
      <c r="G299" s="32" t="n"/>
      <c r="H299" s="32" t="n"/>
      <c r="I299" s="33" t="n"/>
      <c r="J299" s="33" t="n"/>
      <c r="K299" s="33" t="n"/>
      <c r="L299" s="34" t="str">
        <f>IF(AND(ISNUMBER(I299),ISNUMBER(J299),ISNUMBER(K299)),IF(OR(AND(F299="多",I299&gt;J299),AND(F299="空",I299&lt;J299)),ABS(K299-I299)/ABS(I299-J299),"止损方向不对"),"")</f>
        <v/>
      </c>
      <c r="M299" s="35" t="str">
        <f>IF(AND(ISNUMBER(I299),ISNUMBER(J299)),IF(I299=J299,"",IF(INT(ROUND('参数'!$C$7/(ABS(I299-J299)*IF(N(G299)&gt;0,G299,1)+2*(I299*IF(N(G299)&gt;0,G299,1)*'参数'!$C$12+'参数'!$C$13+'参数'!$C$14*IF(N(G299)&gt;0,G299,1)))/IF(N(H299)&gt;0,H299,1),6))*IF(N(H299)&gt;0,H299,1)&gt;0,INT(ROUND('参数'!$C$7/(ABS(I299-J299)*IF(N(G299)&gt;0,G299,1)+2*(I299*IF(N(G299)&gt;0,G299,1)*'参数'!$C$12+'参数'!$C$13+'参数'!$C$14*IF(N(G299)&gt;0,G299,1)))/IF(N(H299)&gt;0,H299,1),6))*IF(N(H299)&gt;0,H299,1),"预算不足，这笔不做")),"")</f>
        <v/>
      </c>
      <c r="N299" s="36" t="n"/>
      <c r="O299" s="20" t="str">
        <f>IF(AND(ISNUMBER(I299),ISNUMBER(J299),ISNUMBER(N299)),IF(AND(I299&lt;&gt;J299,N299&gt;0),ABS(I299-J299)*N299*IF(N(G299)&gt;0,G299,1),""),"")</f>
        <v/>
      </c>
      <c r="P299" s="31" t="n"/>
      <c r="Q299" s="32" t="n"/>
      <c r="R299" s="37" t="str">
        <f>IF(N(U299)&gt;0,SUMPRODUCT(LARGE(('成交明细'!$A$5:$A$804=A299)*('成交明细'!$D$5:$D$804=IF(F299="空","卖","买"))*'成交明细'!$B$5:$B$804,COUNTIFS('成交明细'!$A$5:$A$804,A299,'成交明细'!$D$5:$D$804,IF(F299="空","卖","买")))),"")</f>
        <v/>
      </c>
      <c r="S299" s="37" t="str">
        <f>IF(AND(N(U299)&gt;0,N(W299)&gt;=N(U299)),SUMPRODUCT(MAX(('成交明细'!$A$5:$A$804=A299)*('成交明细'!$D$5:$D$804=IF(F299="空","买","卖"))*'成交明细'!$B$5:$B$804)),"")</f>
        <v/>
      </c>
      <c r="T299" s="38" t="str">
        <f>IF(N(U299)=0,"",IF(SUMPRODUCT(('成交明细'!$A$5:$A$804=A299)*('成交明细'!$D$5:$D$804=IF(F299="空","卖","买"))*ISNUMBER('成交明细'!$C$5:$C$804))=0,"没填时间",IFERROR(VLOOKUP(MOD(SUMPRODUCT(LARGE(('成交明细'!$A$5:$A$804=A299)*('成交明细'!$D$5:$D$804=IF(F299="空","卖","买"))*('成交明细'!$B$5:$B$804+'成交明细'!$C$5:$C$804),COUNTIFS('成交明细'!$A$5:$A$804,A299,'成交明细'!$D$5:$D$804,IF(F299="空","卖","买")))),1),'参数'!$B$39:$C$48,2,TRUE),"")))</f>
        <v/>
      </c>
      <c r="U299" s="35" t="str">
        <f>IF(A299="","",SUMIFS('成交明细'!$F$5:$F$804,'成交明细'!$A$5:$A$804,A299,'成交明细'!$D$5:$D$804,IF(F299="空","卖","买")))</f>
        <v/>
      </c>
      <c r="V299" s="39" t="str">
        <f>IF(N(U299)&gt;0,SUMIFS('成交明细'!$H$5:$H$804,'成交明细'!$A$5:$A$804,A299,'成交明细'!$D$5:$D$804,IF(F299="空","卖","买"))/U299,"")</f>
        <v/>
      </c>
      <c r="W299" s="35" t="str">
        <f>IF(A299="","",SUMIFS('成交明细'!$F$5:$F$804,'成交明细'!$A$5:$A$804,A299,'成交明细'!$D$5:$D$804,IF(F299="空","买","卖")))</f>
        <v/>
      </c>
      <c r="X299" s="39" t="str">
        <f>IF(N(W299)&gt;0,SUMIFS('成交明细'!$H$5:$H$804,'成交明细'!$A$5:$A$804,A299,'成交明细'!$D$5:$D$804,IF(F299="空","买","卖"))/W299,"")</f>
        <v/>
      </c>
      <c r="Y299" s="40" t="str">
        <f>IF(A299="","",IF(Q299&lt;&gt;"已执行",IF(Q299="","未填执行情况",Q299),IF(N(U299)=0,"待录成交",IF(N(W299)&gt;N(U299),"平仓多于开仓",IF(N(W299)&lt;N(U299),"持仓中","已平仓")))))</f>
        <v/>
      </c>
      <c r="Z299" s="41" t="str">
        <f>IF(N(U299)=0,"",SUMIFS('成交明细'!$L$5:$L$804,'成交明细'!$A$5:$A$804,A299))</f>
        <v/>
      </c>
      <c r="AA299" s="42" t="str">
        <f>IF(Y299&lt;&gt;"已平仓","",(SUMIFS('成交明细'!$H$5:$H$804,'成交明细'!$A$5:$A$804,A299,'成交明细'!$D$5:$D$804,"卖")-SUMIFS('成交明细'!$H$5:$H$804,'成交明细'!$A$5:$A$804,A299,'成交明细'!$D$5:$D$804,"买"))*IF(N(G299)&gt;0,G299,1)-Z299)</f>
        <v/>
      </c>
      <c r="AB299" s="43" t="str">
        <f>IF(AND(Y299="已平仓",ISNUMBER(O299)),(SUMIFS('成交明细'!$H$5:$H$804,'成交明细'!$A$5:$A$804,A299,'成交明细'!$D$5:$D$804,"卖")-SUMIFS('成交明细'!$H$5:$H$804,'成交明细'!$A$5:$A$804,A299,'成交明细'!$D$5:$D$804,"买"))*IF(N(G299)&gt;0,G299,1)/O299,"")</f>
        <v/>
      </c>
      <c r="AC299" s="43" t="str">
        <f>IF(AND(Y299="已平仓",ISNUMBER(O299)),AA299/O299,"")</f>
        <v/>
      </c>
      <c r="AD299" s="44" t="str">
        <f>IF(AND(ISNUMBER(V299),ISNUMBER(I299)),IF(F299="空",I299-V299,V299-I299),"")</f>
        <v/>
      </c>
      <c r="AE299" s="44" t="str">
        <f>IF(OR(NOT(ISNUMBER(AA299)),NOT(ISNUMBER(X299))),"",IF(AA299&lt;0,IF(F299="空",X299-J299,J299-X299),IF(NOT(ISNUMBER(K299)),"",IF(F299="空",X299-K299,K299-X299))))</f>
        <v/>
      </c>
      <c r="AF299" s="32" t="n"/>
      <c r="AG299" s="32" t="n"/>
      <c r="AH299" s="31" t="n"/>
      <c r="AI299" s="43" t="str">
        <f>IF(A299="","",SUM(AC$5:AC299))</f>
        <v/>
      </c>
      <c r="AJ299" s="45" t="str">
        <f>IF(A299="","",MAX(0,MAX(AI$5:AI299))-AI299)</f>
        <v/>
      </c>
    </row>
    <row r="300">
      <c r="A300" s="29" t="n"/>
      <c r="B300" s="30" t="n"/>
      <c r="C300" s="31" t="n"/>
      <c r="D300" s="32" t="n"/>
      <c r="E300" s="32" t="n"/>
      <c r="F300" s="32" t="n"/>
      <c r="G300" s="32" t="n"/>
      <c r="H300" s="32" t="n"/>
      <c r="I300" s="33" t="n"/>
      <c r="J300" s="33" t="n"/>
      <c r="K300" s="33" t="n"/>
      <c r="L300" s="34" t="str">
        <f>IF(AND(ISNUMBER(I300),ISNUMBER(J300),ISNUMBER(K300)),IF(OR(AND(F300="多",I300&gt;J300),AND(F300="空",I300&lt;J300)),ABS(K300-I300)/ABS(I300-J300),"止损方向不对"),"")</f>
        <v/>
      </c>
      <c r="M300" s="35" t="str">
        <f>IF(AND(ISNUMBER(I300),ISNUMBER(J300)),IF(I300=J300,"",IF(INT(ROUND('参数'!$C$7/(ABS(I300-J300)*IF(N(G300)&gt;0,G300,1)+2*(I300*IF(N(G300)&gt;0,G300,1)*'参数'!$C$12+'参数'!$C$13+'参数'!$C$14*IF(N(G300)&gt;0,G300,1)))/IF(N(H300)&gt;0,H300,1),6))*IF(N(H300)&gt;0,H300,1)&gt;0,INT(ROUND('参数'!$C$7/(ABS(I300-J300)*IF(N(G300)&gt;0,G300,1)+2*(I300*IF(N(G300)&gt;0,G300,1)*'参数'!$C$12+'参数'!$C$13+'参数'!$C$14*IF(N(G300)&gt;0,G300,1)))/IF(N(H300)&gt;0,H300,1),6))*IF(N(H300)&gt;0,H300,1),"预算不足，这笔不做")),"")</f>
        <v/>
      </c>
      <c r="N300" s="36" t="n"/>
      <c r="O300" s="20" t="str">
        <f>IF(AND(ISNUMBER(I300),ISNUMBER(J300),ISNUMBER(N300)),IF(AND(I300&lt;&gt;J300,N300&gt;0),ABS(I300-J300)*N300*IF(N(G300)&gt;0,G300,1),""),"")</f>
        <v/>
      </c>
      <c r="P300" s="31" t="n"/>
      <c r="Q300" s="32" t="n"/>
      <c r="R300" s="37" t="str">
        <f>IF(N(U300)&gt;0,SUMPRODUCT(LARGE(('成交明细'!$A$5:$A$804=A300)*('成交明细'!$D$5:$D$804=IF(F300="空","卖","买"))*'成交明细'!$B$5:$B$804,COUNTIFS('成交明细'!$A$5:$A$804,A300,'成交明细'!$D$5:$D$804,IF(F300="空","卖","买")))),"")</f>
        <v/>
      </c>
      <c r="S300" s="37" t="str">
        <f>IF(AND(N(U300)&gt;0,N(W300)&gt;=N(U300)),SUMPRODUCT(MAX(('成交明细'!$A$5:$A$804=A300)*('成交明细'!$D$5:$D$804=IF(F300="空","买","卖"))*'成交明细'!$B$5:$B$804)),"")</f>
        <v/>
      </c>
      <c r="T300" s="38" t="str">
        <f>IF(N(U300)=0,"",IF(SUMPRODUCT(('成交明细'!$A$5:$A$804=A300)*('成交明细'!$D$5:$D$804=IF(F300="空","卖","买"))*ISNUMBER('成交明细'!$C$5:$C$804))=0,"没填时间",IFERROR(VLOOKUP(MOD(SUMPRODUCT(LARGE(('成交明细'!$A$5:$A$804=A300)*('成交明细'!$D$5:$D$804=IF(F300="空","卖","买"))*('成交明细'!$B$5:$B$804+'成交明细'!$C$5:$C$804),COUNTIFS('成交明细'!$A$5:$A$804,A300,'成交明细'!$D$5:$D$804,IF(F300="空","卖","买")))),1),'参数'!$B$39:$C$48,2,TRUE),"")))</f>
        <v/>
      </c>
      <c r="U300" s="35" t="str">
        <f>IF(A300="","",SUMIFS('成交明细'!$F$5:$F$804,'成交明细'!$A$5:$A$804,A300,'成交明细'!$D$5:$D$804,IF(F300="空","卖","买")))</f>
        <v/>
      </c>
      <c r="V300" s="39" t="str">
        <f>IF(N(U300)&gt;0,SUMIFS('成交明细'!$H$5:$H$804,'成交明细'!$A$5:$A$804,A300,'成交明细'!$D$5:$D$804,IF(F300="空","卖","买"))/U300,"")</f>
        <v/>
      </c>
      <c r="W300" s="35" t="str">
        <f>IF(A300="","",SUMIFS('成交明细'!$F$5:$F$804,'成交明细'!$A$5:$A$804,A300,'成交明细'!$D$5:$D$804,IF(F300="空","买","卖")))</f>
        <v/>
      </c>
      <c r="X300" s="39" t="str">
        <f>IF(N(W300)&gt;0,SUMIFS('成交明细'!$H$5:$H$804,'成交明细'!$A$5:$A$804,A300,'成交明细'!$D$5:$D$804,IF(F300="空","买","卖"))/W300,"")</f>
        <v/>
      </c>
      <c r="Y300" s="40" t="str">
        <f>IF(A300="","",IF(Q300&lt;&gt;"已执行",IF(Q300="","未填执行情况",Q300),IF(N(U300)=0,"待录成交",IF(N(W300)&gt;N(U300),"平仓多于开仓",IF(N(W300)&lt;N(U300),"持仓中","已平仓")))))</f>
        <v/>
      </c>
      <c r="Z300" s="41" t="str">
        <f>IF(N(U300)=0,"",SUMIFS('成交明细'!$L$5:$L$804,'成交明细'!$A$5:$A$804,A300))</f>
        <v/>
      </c>
      <c r="AA300" s="42" t="str">
        <f>IF(Y300&lt;&gt;"已平仓","",(SUMIFS('成交明细'!$H$5:$H$804,'成交明细'!$A$5:$A$804,A300,'成交明细'!$D$5:$D$804,"卖")-SUMIFS('成交明细'!$H$5:$H$804,'成交明细'!$A$5:$A$804,A300,'成交明细'!$D$5:$D$804,"买"))*IF(N(G300)&gt;0,G300,1)-Z300)</f>
        <v/>
      </c>
      <c r="AB300" s="43" t="str">
        <f>IF(AND(Y300="已平仓",ISNUMBER(O300)),(SUMIFS('成交明细'!$H$5:$H$804,'成交明细'!$A$5:$A$804,A300,'成交明细'!$D$5:$D$804,"卖")-SUMIFS('成交明细'!$H$5:$H$804,'成交明细'!$A$5:$A$804,A300,'成交明细'!$D$5:$D$804,"买"))*IF(N(G300)&gt;0,G300,1)/O300,"")</f>
        <v/>
      </c>
      <c r="AC300" s="43" t="str">
        <f>IF(AND(Y300="已平仓",ISNUMBER(O300)),AA300/O300,"")</f>
        <v/>
      </c>
      <c r="AD300" s="44" t="str">
        <f>IF(AND(ISNUMBER(V300),ISNUMBER(I300)),IF(F300="空",I300-V300,V300-I300),"")</f>
        <v/>
      </c>
      <c r="AE300" s="44" t="str">
        <f>IF(OR(NOT(ISNUMBER(AA300)),NOT(ISNUMBER(X300))),"",IF(AA300&lt;0,IF(F300="空",X300-J300,J300-X300),IF(NOT(ISNUMBER(K300)),"",IF(F300="空",X300-K300,K300-X300))))</f>
        <v/>
      </c>
      <c r="AF300" s="32" t="n"/>
      <c r="AG300" s="32" t="n"/>
      <c r="AH300" s="31" t="n"/>
      <c r="AI300" s="43" t="str">
        <f>IF(A300="","",SUM(AC$5:AC300))</f>
        <v/>
      </c>
      <c r="AJ300" s="45" t="str">
        <f>IF(A300="","",MAX(0,MAX(AI$5:AI300))-AI300)</f>
        <v/>
      </c>
    </row>
    <row r="301">
      <c r="A301" s="29" t="n"/>
      <c r="B301" s="30" t="n"/>
      <c r="C301" s="31" t="n"/>
      <c r="D301" s="32" t="n"/>
      <c r="E301" s="32" t="n"/>
      <c r="F301" s="32" t="n"/>
      <c r="G301" s="32" t="n"/>
      <c r="H301" s="32" t="n"/>
      <c r="I301" s="33" t="n"/>
      <c r="J301" s="33" t="n"/>
      <c r="K301" s="33" t="n"/>
      <c r="L301" s="34" t="str">
        <f>IF(AND(ISNUMBER(I301),ISNUMBER(J301),ISNUMBER(K301)),IF(OR(AND(F301="多",I301&gt;J301),AND(F301="空",I301&lt;J301)),ABS(K301-I301)/ABS(I301-J301),"止损方向不对"),"")</f>
        <v/>
      </c>
      <c r="M301" s="35" t="str">
        <f>IF(AND(ISNUMBER(I301),ISNUMBER(J301)),IF(I301=J301,"",IF(INT(ROUND('参数'!$C$7/(ABS(I301-J301)*IF(N(G301)&gt;0,G301,1)+2*(I301*IF(N(G301)&gt;0,G301,1)*'参数'!$C$12+'参数'!$C$13+'参数'!$C$14*IF(N(G301)&gt;0,G301,1)))/IF(N(H301)&gt;0,H301,1),6))*IF(N(H301)&gt;0,H301,1)&gt;0,INT(ROUND('参数'!$C$7/(ABS(I301-J301)*IF(N(G301)&gt;0,G301,1)+2*(I301*IF(N(G301)&gt;0,G301,1)*'参数'!$C$12+'参数'!$C$13+'参数'!$C$14*IF(N(G301)&gt;0,G301,1)))/IF(N(H301)&gt;0,H301,1),6))*IF(N(H301)&gt;0,H301,1),"预算不足，这笔不做")),"")</f>
        <v/>
      </c>
      <c r="N301" s="36" t="n"/>
      <c r="O301" s="20" t="str">
        <f>IF(AND(ISNUMBER(I301),ISNUMBER(J301),ISNUMBER(N301)),IF(AND(I301&lt;&gt;J301,N301&gt;0),ABS(I301-J301)*N301*IF(N(G301)&gt;0,G301,1),""),"")</f>
        <v/>
      </c>
      <c r="P301" s="31" t="n"/>
      <c r="Q301" s="32" t="n"/>
      <c r="R301" s="37" t="str">
        <f>IF(N(U301)&gt;0,SUMPRODUCT(LARGE(('成交明细'!$A$5:$A$804=A301)*('成交明细'!$D$5:$D$804=IF(F301="空","卖","买"))*'成交明细'!$B$5:$B$804,COUNTIFS('成交明细'!$A$5:$A$804,A301,'成交明细'!$D$5:$D$804,IF(F301="空","卖","买")))),"")</f>
        <v/>
      </c>
      <c r="S301" s="37" t="str">
        <f>IF(AND(N(U301)&gt;0,N(W301)&gt;=N(U301)),SUMPRODUCT(MAX(('成交明细'!$A$5:$A$804=A301)*('成交明细'!$D$5:$D$804=IF(F301="空","买","卖"))*'成交明细'!$B$5:$B$804)),"")</f>
        <v/>
      </c>
      <c r="T301" s="38" t="str">
        <f>IF(N(U301)=0,"",IF(SUMPRODUCT(('成交明细'!$A$5:$A$804=A301)*('成交明细'!$D$5:$D$804=IF(F301="空","卖","买"))*ISNUMBER('成交明细'!$C$5:$C$804))=0,"没填时间",IFERROR(VLOOKUP(MOD(SUMPRODUCT(LARGE(('成交明细'!$A$5:$A$804=A301)*('成交明细'!$D$5:$D$804=IF(F301="空","卖","买"))*('成交明细'!$B$5:$B$804+'成交明细'!$C$5:$C$804),COUNTIFS('成交明细'!$A$5:$A$804,A301,'成交明细'!$D$5:$D$804,IF(F301="空","卖","买")))),1),'参数'!$B$39:$C$48,2,TRUE),"")))</f>
        <v/>
      </c>
      <c r="U301" s="35" t="str">
        <f>IF(A301="","",SUMIFS('成交明细'!$F$5:$F$804,'成交明细'!$A$5:$A$804,A301,'成交明细'!$D$5:$D$804,IF(F301="空","卖","买")))</f>
        <v/>
      </c>
      <c r="V301" s="39" t="str">
        <f>IF(N(U301)&gt;0,SUMIFS('成交明细'!$H$5:$H$804,'成交明细'!$A$5:$A$804,A301,'成交明细'!$D$5:$D$804,IF(F301="空","卖","买"))/U301,"")</f>
        <v/>
      </c>
      <c r="W301" s="35" t="str">
        <f>IF(A301="","",SUMIFS('成交明细'!$F$5:$F$804,'成交明细'!$A$5:$A$804,A301,'成交明细'!$D$5:$D$804,IF(F301="空","买","卖")))</f>
        <v/>
      </c>
      <c r="X301" s="39" t="str">
        <f>IF(N(W301)&gt;0,SUMIFS('成交明细'!$H$5:$H$804,'成交明细'!$A$5:$A$804,A301,'成交明细'!$D$5:$D$804,IF(F301="空","买","卖"))/W301,"")</f>
        <v/>
      </c>
      <c r="Y301" s="40" t="str">
        <f>IF(A301="","",IF(Q301&lt;&gt;"已执行",IF(Q301="","未填执行情况",Q301),IF(N(U301)=0,"待录成交",IF(N(W301)&gt;N(U301),"平仓多于开仓",IF(N(W301)&lt;N(U301),"持仓中","已平仓")))))</f>
        <v/>
      </c>
      <c r="Z301" s="41" t="str">
        <f>IF(N(U301)=0,"",SUMIFS('成交明细'!$L$5:$L$804,'成交明细'!$A$5:$A$804,A301))</f>
        <v/>
      </c>
      <c r="AA301" s="42" t="str">
        <f>IF(Y301&lt;&gt;"已平仓","",(SUMIFS('成交明细'!$H$5:$H$804,'成交明细'!$A$5:$A$804,A301,'成交明细'!$D$5:$D$804,"卖")-SUMIFS('成交明细'!$H$5:$H$804,'成交明细'!$A$5:$A$804,A301,'成交明细'!$D$5:$D$804,"买"))*IF(N(G301)&gt;0,G301,1)-Z301)</f>
        <v/>
      </c>
      <c r="AB301" s="43" t="str">
        <f>IF(AND(Y301="已平仓",ISNUMBER(O301)),(SUMIFS('成交明细'!$H$5:$H$804,'成交明细'!$A$5:$A$804,A301,'成交明细'!$D$5:$D$804,"卖")-SUMIFS('成交明细'!$H$5:$H$804,'成交明细'!$A$5:$A$804,A301,'成交明细'!$D$5:$D$804,"买"))*IF(N(G301)&gt;0,G301,1)/O301,"")</f>
        <v/>
      </c>
      <c r="AC301" s="43" t="str">
        <f>IF(AND(Y301="已平仓",ISNUMBER(O301)),AA301/O301,"")</f>
        <v/>
      </c>
      <c r="AD301" s="44" t="str">
        <f>IF(AND(ISNUMBER(V301),ISNUMBER(I301)),IF(F301="空",I301-V301,V301-I301),"")</f>
        <v/>
      </c>
      <c r="AE301" s="44" t="str">
        <f>IF(OR(NOT(ISNUMBER(AA301)),NOT(ISNUMBER(X301))),"",IF(AA301&lt;0,IF(F301="空",X301-J301,J301-X301),IF(NOT(ISNUMBER(K301)),"",IF(F301="空",X301-K301,K301-X301))))</f>
        <v/>
      </c>
      <c r="AF301" s="32" t="n"/>
      <c r="AG301" s="32" t="n"/>
      <c r="AH301" s="31" t="n"/>
      <c r="AI301" s="43" t="str">
        <f>IF(A301="","",SUM(AC$5:AC301))</f>
        <v/>
      </c>
      <c r="AJ301" s="45" t="str">
        <f>IF(A301="","",MAX(0,MAX(AI$5:AI301))-AI301)</f>
        <v/>
      </c>
    </row>
    <row r="302">
      <c r="A302" s="29" t="n"/>
      <c r="B302" s="30" t="n"/>
      <c r="C302" s="31" t="n"/>
      <c r="D302" s="32" t="n"/>
      <c r="E302" s="32" t="n"/>
      <c r="F302" s="32" t="n"/>
      <c r="G302" s="32" t="n"/>
      <c r="H302" s="32" t="n"/>
      <c r="I302" s="33" t="n"/>
      <c r="J302" s="33" t="n"/>
      <c r="K302" s="33" t="n"/>
      <c r="L302" s="34" t="str">
        <f>IF(AND(ISNUMBER(I302),ISNUMBER(J302),ISNUMBER(K302)),IF(OR(AND(F302="多",I302&gt;J302),AND(F302="空",I302&lt;J302)),ABS(K302-I302)/ABS(I302-J302),"止损方向不对"),"")</f>
        <v/>
      </c>
      <c r="M302" s="35" t="str">
        <f>IF(AND(ISNUMBER(I302),ISNUMBER(J302)),IF(I302=J302,"",IF(INT(ROUND('参数'!$C$7/(ABS(I302-J302)*IF(N(G302)&gt;0,G302,1)+2*(I302*IF(N(G302)&gt;0,G302,1)*'参数'!$C$12+'参数'!$C$13+'参数'!$C$14*IF(N(G302)&gt;0,G302,1)))/IF(N(H302)&gt;0,H302,1),6))*IF(N(H302)&gt;0,H302,1)&gt;0,INT(ROUND('参数'!$C$7/(ABS(I302-J302)*IF(N(G302)&gt;0,G302,1)+2*(I302*IF(N(G302)&gt;0,G302,1)*'参数'!$C$12+'参数'!$C$13+'参数'!$C$14*IF(N(G302)&gt;0,G302,1)))/IF(N(H302)&gt;0,H302,1),6))*IF(N(H302)&gt;0,H302,1),"预算不足，这笔不做")),"")</f>
        <v/>
      </c>
      <c r="N302" s="36" t="n"/>
      <c r="O302" s="20" t="str">
        <f>IF(AND(ISNUMBER(I302),ISNUMBER(J302),ISNUMBER(N302)),IF(AND(I302&lt;&gt;J302,N302&gt;0),ABS(I302-J302)*N302*IF(N(G302)&gt;0,G302,1),""),"")</f>
        <v/>
      </c>
      <c r="P302" s="31" t="n"/>
      <c r="Q302" s="32" t="n"/>
      <c r="R302" s="37" t="str">
        <f>IF(N(U302)&gt;0,SUMPRODUCT(LARGE(('成交明细'!$A$5:$A$804=A302)*('成交明细'!$D$5:$D$804=IF(F302="空","卖","买"))*'成交明细'!$B$5:$B$804,COUNTIFS('成交明细'!$A$5:$A$804,A302,'成交明细'!$D$5:$D$804,IF(F302="空","卖","买")))),"")</f>
        <v/>
      </c>
      <c r="S302" s="37" t="str">
        <f>IF(AND(N(U302)&gt;0,N(W302)&gt;=N(U302)),SUMPRODUCT(MAX(('成交明细'!$A$5:$A$804=A302)*('成交明细'!$D$5:$D$804=IF(F302="空","买","卖"))*'成交明细'!$B$5:$B$804)),"")</f>
        <v/>
      </c>
      <c r="T302" s="38" t="str">
        <f>IF(N(U302)=0,"",IF(SUMPRODUCT(('成交明细'!$A$5:$A$804=A302)*('成交明细'!$D$5:$D$804=IF(F302="空","卖","买"))*ISNUMBER('成交明细'!$C$5:$C$804))=0,"没填时间",IFERROR(VLOOKUP(MOD(SUMPRODUCT(LARGE(('成交明细'!$A$5:$A$804=A302)*('成交明细'!$D$5:$D$804=IF(F302="空","卖","买"))*('成交明细'!$B$5:$B$804+'成交明细'!$C$5:$C$804),COUNTIFS('成交明细'!$A$5:$A$804,A302,'成交明细'!$D$5:$D$804,IF(F302="空","卖","买")))),1),'参数'!$B$39:$C$48,2,TRUE),"")))</f>
        <v/>
      </c>
      <c r="U302" s="35" t="str">
        <f>IF(A302="","",SUMIFS('成交明细'!$F$5:$F$804,'成交明细'!$A$5:$A$804,A302,'成交明细'!$D$5:$D$804,IF(F302="空","卖","买")))</f>
        <v/>
      </c>
      <c r="V302" s="39" t="str">
        <f>IF(N(U302)&gt;0,SUMIFS('成交明细'!$H$5:$H$804,'成交明细'!$A$5:$A$804,A302,'成交明细'!$D$5:$D$804,IF(F302="空","卖","买"))/U302,"")</f>
        <v/>
      </c>
      <c r="W302" s="35" t="str">
        <f>IF(A302="","",SUMIFS('成交明细'!$F$5:$F$804,'成交明细'!$A$5:$A$804,A302,'成交明细'!$D$5:$D$804,IF(F302="空","买","卖")))</f>
        <v/>
      </c>
      <c r="X302" s="39" t="str">
        <f>IF(N(W302)&gt;0,SUMIFS('成交明细'!$H$5:$H$804,'成交明细'!$A$5:$A$804,A302,'成交明细'!$D$5:$D$804,IF(F302="空","买","卖"))/W302,"")</f>
        <v/>
      </c>
      <c r="Y302" s="40" t="str">
        <f>IF(A302="","",IF(Q302&lt;&gt;"已执行",IF(Q302="","未填执行情况",Q302),IF(N(U302)=0,"待录成交",IF(N(W302)&gt;N(U302),"平仓多于开仓",IF(N(W302)&lt;N(U302),"持仓中","已平仓")))))</f>
        <v/>
      </c>
      <c r="Z302" s="41" t="str">
        <f>IF(N(U302)=0,"",SUMIFS('成交明细'!$L$5:$L$804,'成交明细'!$A$5:$A$804,A302))</f>
        <v/>
      </c>
      <c r="AA302" s="42" t="str">
        <f>IF(Y302&lt;&gt;"已平仓","",(SUMIFS('成交明细'!$H$5:$H$804,'成交明细'!$A$5:$A$804,A302,'成交明细'!$D$5:$D$804,"卖")-SUMIFS('成交明细'!$H$5:$H$804,'成交明细'!$A$5:$A$804,A302,'成交明细'!$D$5:$D$804,"买"))*IF(N(G302)&gt;0,G302,1)-Z302)</f>
        <v/>
      </c>
      <c r="AB302" s="43" t="str">
        <f>IF(AND(Y302="已平仓",ISNUMBER(O302)),(SUMIFS('成交明细'!$H$5:$H$804,'成交明细'!$A$5:$A$804,A302,'成交明细'!$D$5:$D$804,"卖")-SUMIFS('成交明细'!$H$5:$H$804,'成交明细'!$A$5:$A$804,A302,'成交明细'!$D$5:$D$804,"买"))*IF(N(G302)&gt;0,G302,1)/O302,"")</f>
        <v/>
      </c>
      <c r="AC302" s="43" t="str">
        <f>IF(AND(Y302="已平仓",ISNUMBER(O302)),AA302/O302,"")</f>
        <v/>
      </c>
      <c r="AD302" s="44" t="str">
        <f>IF(AND(ISNUMBER(V302),ISNUMBER(I302)),IF(F302="空",I302-V302,V302-I302),"")</f>
        <v/>
      </c>
      <c r="AE302" s="44" t="str">
        <f>IF(OR(NOT(ISNUMBER(AA302)),NOT(ISNUMBER(X302))),"",IF(AA302&lt;0,IF(F302="空",X302-J302,J302-X302),IF(NOT(ISNUMBER(K302)),"",IF(F302="空",X302-K302,K302-X302))))</f>
        <v/>
      </c>
      <c r="AF302" s="32" t="n"/>
      <c r="AG302" s="32" t="n"/>
      <c r="AH302" s="31" t="n"/>
      <c r="AI302" s="43" t="str">
        <f>IF(A302="","",SUM(AC$5:AC302))</f>
        <v/>
      </c>
      <c r="AJ302" s="45" t="str">
        <f>IF(A302="","",MAX(0,MAX(AI$5:AI302))-AI302)</f>
        <v/>
      </c>
    </row>
    <row r="303">
      <c r="A303" s="29" t="n"/>
      <c r="B303" s="30" t="n"/>
      <c r="C303" s="31" t="n"/>
      <c r="D303" s="32" t="n"/>
      <c r="E303" s="32" t="n"/>
      <c r="F303" s="32" t="n"/>
      <c r="G303" s="32" t="n"/>
      <c r="H303" s="32" t="n"/>
      <c r="I303" s="33" t="n"/>
      <c r="J303" s="33" t="n"/>
      <c r="K303" s="33" t="n"/>
      <c r="L303" s="34" t="str">
        <f>IF(AND(ISNUMBER(I303),ISNUMBER(J303),ISNUMBER(K303)),IF(OR(AND(F303="多",I303&gt;J303),AND(F303="空",I303&lt;J303)),ABS(K303-I303)/ABS(I303-J303),"止损方向不对"),"")</f>
        <v/>
      </c>
      <c r="M303" s="35" t="str">
        <f>IF(AND(ISNUMBER(I303),ISNUMBER(J303)),IF(I303=J303,"",IF(INT(ROUND('参数'!$C$7/(ABS(I303-J303)*IF(N(G303)&gt;0,G303,1)+2*(I303*IF(N(G303)&gt;0,G303,1)*'参数'!$C$12+'参数'!$C$13+'参数'!$C$14*IF(N(G303)&gt;0,G303,1)))/IF(N(H303)&gt;0,H303,1),6))*IF(N(H303)&gt;0,H303,1)&gt;0,INT(ROUND('参数'!$C$7/(ABS(I303-J303)*IF(N(G303)&gt;0,G303,1)+2*(I303*IF(N(G303)&gt;0,G303,1)*'参数'!$C$12+'参数'!$C$13+'参数'!$C$14*IF(N(G303)&gt;0,G303,1)))/IF(N(H303)&gt;0,H303,1),6))*IF(N(H303)&gt;0,H303,1),"预算不足，这笔不做")),"")</f>
        <v/>
      </c>
      <c r="N303" s="36" t="n"/>
      <c r="O303" s="20" t="str">
        <f>IF(AND(ISNUMBER(I303),ISNUMBER(J303),ISNUMBER(N303)),IF(AND(I303&lt;&gt;J303,N303&gt;0),ABS(I303-J303)*N303*IF(N(G303)&gt;0,G303,1),""),"")</f>
        <v/>
      </c>
      <c r="P303" s="31" t="n"/>
      <c r="Q303" s="32" t="n"/>
      <c r="R303" s="37" t="str">
        <f>IF(N(U303)&gt;0,SUMPRODUCT(LARGE(('成交明细'!$A$5:$A$804=A303)*('成交明细'!$D$5:$D$804=IF(F303="空","卖","买"))*'成交明细'!$B$5:$B$804,COUNTIFS('成交明细'!$A$5:$A$804,A303,'成交明细'!$D$5:$D$804,IF(F303="空","卖","买")))),"")</f>
        <v/>
      </c>
      <c r="S303" s="37" t="str">
        <f>IF(AND(N(U303)&gt;0,N(W303)&gt;=N(U303)),SUMPRODUCT(MAX(('成交明细'!$A$5:$A$804=A303)*('成交明细'!$D$5:$D$804=IF(F303="空","买","卖"))*'成交明细'!$B$5:$B$804)),"")</f>
        <v/>
      </c>
      <c r="T303" s="38" t="str">
        <f>IF(N(U303)=0,"",IF(SUMPRODUCT(('成交明细'!$A$5:$A$804=A303)*('成交明细'!$D$5:$D$804=IF(F303="空","卖","买"))*ISNUMBER('成交明细'!$C$5:$C$804))=0,"没填时间",IFERROR(VLOOKUP(MOD(SUMPRODUCT(LARGE(('成交明细'!$A$5:$A$804=A303)*('成交明细'!$D$5:$D$804=IF(F303="空","卖","买"))*('成交明细'!$B$5:$B$804+'成交明细'!$C$5:$C$804),COUNTIFS('成交明细'!$A$5:$A$804,A303,'成交明细'!$D$5:$D$804,IF(F303="空","卖","买")))),1),'参数'!$B$39:$C$48,2,TRUE),"")))</f>
        <v/>
      </c>
      <c r="U303" s="35" t="str">
        <f>IF(A303="","",SUMIFS('成交明细'!$F$5:$F$804,'成交明细'!$A$5:$A$804,A303,'成交明细'!$D$5:$D$804,IF(F303="空","卖","买")))</f>
        <v/>
      </c>
      <c r="V303" s="39" t="str">
        <f>IF(N(U303)&gt;0,SUMIFS('成交明细'!$H$5:$H$804,'成交明细'!$A$5:$A$804,A303,'成交明细'!$D$5:$D$804,IF(F303="空","卖","买"))/U303,"")</f>
        <v/>
      </c>
      <c r="W303" s="35" t="str">
        <f>IF(A303="","",SUMIFS('成交明细'!$F$5:$F$804,'成交明细'!$A$5:$A$804,A303,'成交明细'!$D$5:$D$804,IF(F303="空","买","卖")))</f>
        <v/>
      </c>
      <c r="X303" s="39" t="str">
        <f>IF(N(W303)&gt;0,SUMIFS('成交明细'!$H$5:$H$804,'成交明细'!$A$5:$A$804,A303,'成交明细'!$D$5:$D$804,IF(F303="空","买","卖"))/W303,"")</f>
        <v/>
      </c>
      <c r="Y303" s="40" t="str">
        <f>IF(A303="","",IF(Q303&lt;&gt;"已执行",IF(Q303="","未填执行情况",Q303),IF(N(U303)=0,"待录成交",IF(N(W303)&gt;N(U303),"平仓多于开仓",IF(N(W303)&lt;N(U303),"持仓中","已平仓")))))</f>
        <v/>
      </c>
      <c r="Z303" s="41" t="str">
        <f>IF(N(U303)=0,"",SUMIFS('成交明细'!$L$5:$L$804,'成交明细'!$A$5:$A$804,A303))</f>
        <v/>
      </c>
      <c r="AA303" s="42" t="str">
        <f>IF(Y303&lt;&gt;"已平仓","",(SUMIFS('成交明细'!$H$5:$H$804,'成交明细'!$A$5:$A$804,A303,'成交明细'!$D$5:$D$804,"卖")-SUMIFS('成交明细'!$H$5:$H$804,'成交明细'!$A$5:$A$804,A303,'成交明细'!$D$5:$D$804,"买"))*IF(N(G303)&gt;0,G303,1)-Z303)</f>
        <v/>
      </c>
      <c r="AB303" s="43" t="str">
        <f>IF(AND(Y303="已平仓",ISNUMBER(O303)),(SUMIFS('成交明细'!$H$5:$H$804,'成交明细'!$A$5:$A$804,A303,'成交明细'!$D$5:$D$804,"卖")-SUMIFS('成交明细'!$H$5:$H$804,'成交明细'!$A$5:$A$804,A303,'成交明细'!$D$5:$D$804,"买"))*IF(N(G303)&gt;0,G303,1)/O303,"")</f>
        <v/>
      </c>
      <c r="AC303" s="43" t="str">
        <f>IF(AND(Y303="已平仓",ISNUMBER(O303)),AA303/O303,"")</f>
        <v/>
      </c>
      <c r="AD303" s="44" t="str">
        <f>IF(AND(ISNUMBER(V303),ISNUMBER(I303)),IF(F303="空",I303-V303,V303-I303),"")</f>
        <v/>
      </c>
      <c r="AE303" s="44" t="str">
        <f>IF(OR(NOT(ISNUMBER(AA303)),NOT(ISNUMBER(X303))),"",IF(AA303&lt;0,IF(F303="空",X303-J303,J303-X303),IF(NOT(ISNUMBER(K303)),"",IF(F303="空",X303-K303,K303-X303))))</f>
        <v/>
      </c>
      <c r="AF303" s="32" t="n"/>
      <c r="AG303" s="32" t="n"/>
      <c r="AH303" s="31" t="n"/>
      <c r="AI303" s="43" t="str">
        <f>IF(A303="","",SUM(AC$5:AC303))</f>
        <v/>
      </c>
      <c r="AJ303" s="45" t="str">
        <f>IF(A303="","",MAX(0,MAX(AI$5:AI303))-AI303)</f>
        <v/>
      </c>
    </row>
    <row r="304">
      <c r="A304" s="29" t="n"/>
      <c r="B304" s="30" t="n"/>
      <c r="C304" s="31" t="n"/>
      <c r="D304" s="32" t="n"/>
      <c r="E304" s="32" t="n"/>
      <c r="F304" s="32" t="n"/>
      <c r="G304" s="32" t="n"/>
      <c r="H304" s="32" t="n"/>
      <c r="I304" s="33" t="n"/>
      <c r="J304" s="33" t="n"/>
      <c r="K304" s="33" t="n"/>
      <c r="L304" s="34" t="str">
        <f>IF(AND(ISNUMBER(I304),ISNUMBER(J304),ISNUMBER(K304)),IF(OR(AND(F304="多",I304&gt;J304),AND(F304="空",I304&lt;J304)),ABS(K304-I304)/ABS(I304-J304),"止损方向不对"),"")</f>
        <v/>
      </c>
      <c r="M304" s="35" t="str">
        <f>IF(AND(ISNUMBER(I304),ISNUMBER(J304)),IF(I304=J304,"",IF(INT(ROUND('参数'!$C$7/(ABS(I304-J304)*IF(N(G304)&gt;0,G304,1)+2*(I304*IF(N(G304)&gt;0,G304,1)*'参数'!$C$12+'参数'!$C$13+'参数'!$C$14*IF(N(G304)&gt;0,G304,1)))/IF(N(H304)&gt;0,H304,1),6))*IF(N(H304)&gt;0,H304,1)&gt;0,INT(ROUND('参数'!$C$7/(ABS(I304-J304)*IF(N(G304)&gt;0,G304,1)+2*(I304*IF(N(G304)&gt;0,G304,1)*'参数'!$C$12+'参数'!$C$13+'参数'!$C$14*IF(N(G304)&gt;0,G304,1)))/IF(N(H304)&gt;0,H304,1),6))*IF(N(H304)&gt;0,H304,1),"预算不足，这笔不做")),"")</f>
        <v/>
      </c>
      <c r="N304" s="36" t="n"/>
      <c r="O304" s="20" t="str">
        <f>IF(AND(ISNUMBER(I304),ISNUMBER(J304),ISNUMBER(N304)),IF(AND(I304&lt;&gt;J304,N304&gt;0),ABS(I304-J304)*N304*IF(N(G304)&gt;0,G304,1),""),"")</f>
        <v/>
      </c>
      <c r="P304" s="31" t="n"/>
      <c r="Q304" s="32" t="n"/>
      <c r="R304" s="37" t="str">
        <f>IF(N(U304)&gt;0,SUMPRODUCT(LARGE(('成交明细'!$A$5:$A$804=A304)*('成交明细'!$D$5:$D$804=IF(F304="空","卖","买"))*'成交明细'!$B$5:$B$804,COUNTIFS('成交明细'!$A$5:$A$804,A304,'成交明细'!$D$5:$D$804,IF(F304="空","卖","买")))),"")</f>
        <v/>
      </c>
      <c r="S304" s="37" t="str">
        <f>IF(AND(N(U304)&gt;0,N(W304)&gt;=N(U304)),SUMPRODUCT(MAX(('成交明细'!$A$5:$A$804=A304)*('成交明细'!$D$5:$D$804=IF(F304="空","买","卖"))*'成交明细'!$B$5:$B$804)),"")</f>
        <v/>
      </c>
      <c r="T304" s="38" t="str">
        <f>IF(N(U304)=0,"",IF(SUMPRODUCT(('成交明细'!$A$5:$A$804=A304)*('成交明细'!$D$5:$D$804=IF(F304="空","卖","买"))*ISNUMBER('成交明细'!$C$5:$C$804))=0,"没填时间",IFERROR(VLOOKUP(MOD(SUMPRODUCT(LARGE(('成交明细'!$A$5:$A$804=A304)*('成交明细'!$D$5:$D$804=IF(F304="空","卖","买"))*('成交明细'!$B$5:$B$804+'成交明细'!$C$5:$C$804),COUNTIFS('成交明细'!$A$5:$A$804,A304,'成交明细'!$D$5:$D$804,IF(F304="空","卖","买")))),1),'参数'!$B$39:$C$48,2,TRUE),"")))</f>
        <v/>
      </c>
      <c r="U304" s="35" t="str">
        <f>IF(A304="","",SUMIFS('成交明细'!$F$5:$F$804,'成交明细'!$A$5:$A$804,A304,'成交明细'!$D$5:$D$804,IF(F304="空","卖","买")))</f>
        <v/>
      </c>
      <c r="V304" s="39" t="str">
        <f>IF(N(U304)&gt;0,SUMIFS('成交明细'!$H$5:$H$804,'成交明细'!$A$5:$A$804,A304,'成交明细'!$D$5:$D$804,IF(F304="空","卖","买"))/U304,"")</f>
        <v/>
      </c>
      <c r="W304" s="35" t="str">
        <f>IF(A304="","",SUMIFS('成交明细'!$F$5:$F$804,'成交明细'!$A$5:$A$804,A304,'成交明细'!$D$5:$D$804,IF(F304="空","买","卖")))</f>
        <v/>
      </c>
      <c r="X304" s="39" t="str">
        <f>IF(N(W304)&gt;0,SUMIFS('成交明细'!$H$5:$H$804,'成交明细'!$A$5:$A$804,A304,'成交明细'!$D$5:$D$804,IF(F304="空","买","卖"))/W304,"")</f>
        <v/>
      </c>
      <c r="Y304" s="40" t="str">
        <f>IF(A304="","",IF(Q304&lt;&gt;"已执行",IF(Q304="","未填执行情况",Q304),IF(N(U304)=0,"待录成交",IF(N(W304)&gt;N(U304),"平仓多于开仓",IF(N(W304)&lt;N(U304),"持仓中","已平仓")))))</f>
        <v/>
      </c>
      <c r="Z304" s="41" t="str">
        <f>IF(N(U304)=0,"",SUMIFS('成交明细'!$L$5:$L$804,'成交明细'!$A$5:$A$804,A304))</f>
        <v/>
      </c>
      <c r="AA304" s="42" t="str">
        <f>IF(Y304&lt;&gt;"已平仓","",(SUMIFS('成交明细'!$H$5:$H$804,'成交明细'!$A$5:$A$804,A304,'成交明细'!$D$5:$D$804,"卖")-SUMIFS('成交明细'!$H$5:$H$804,'成交明细'!$A$5:$A$804,A304,'成交明细'!$D$5:$D$804,"买"))*IF(N(G304)&gt;0,G304,1)-Z304)</f>
        <v/>
      </c>
      <c r="AB304" s="43" t="str">
        <f>IF(AND(Y304="已平仓",ISNUMBER(O304)),(SUMIFS('成交明细'!$H$5:$H$804,'成交明细'!$A$5:$A$804,A304,'成交明细'!$D$5:$D$804,"卖")-SUMIFS('成交明细'!$H$5:$H$804,'成交明细'!$A$5:$A$804,A304,'成交明细'!$D$5:$D$804,"买"))*IF(N(G304)&gt;0,G304,1)/O304,"")</f>
        <v/>
      </c>
      <c r="AC304" s="43" t="str">
        <f>IF(AND(Y304="已平仓",ISNUMBER(O304)),AA304/O304,"")</f>
        <v/>
      </c>
      <c r="AD304" s="44" t="str">
        <f>IF(AND(ISNUMBER(V304),ISNUMBER(I304)),IF(F304="空",I304-V304,V304-I304),"")</f>
        <v/>
      </c>
      <c r="AE304" s="44" t="str">
        <f>IF(OR(NOT(ISNUMBER(AA304)),NOT(ISNUMBER(X304))),"",IF(AA304&lt;0,IF(F304="空",X304-J304,J304-X304),IF(NOT(ISNUMBER(K304)),"",IF(F304="空",X304-K304,K304-X304))))</f>
        <v/>
      </c>
      <c r="AF304" s="32" t="n"/>
      <c r="AG304" s="32" t="n"/>
      <c r="AH304" s="31" t="n"/>
      <c r="AI304" s="43" t="str">
        <f>IF(A304="","",SUM(AC$5:AC304))</f>
        <v/>
      </c>
      <c r="AJ304" s="45" t="str">
        <f>IF(A304="","",MAX(0,MAX(AI$5:AI304))-AI304)</f>
        <v/>
      </c>
    </row>
  </sheetData>
  <mergeCells count="8">
    <mergeCell ref="Q3:Y3"/>
    <mergeCell ref="A1:AG1"/>
    <mergeCell ref="AI3:AJ3"/>
    <mergeCell ref="AH1:AJ1"/>
    <mergeCell ref="A2:AJ2"/>
    <mergeCell ref="Z3:AE3"/>
    <mergeCell ref="AF3:AH3"/>
    <mergeCell ref="A3:O3"/>
  </mergeCells>
  <conditionalFormatting sqref="AA5:AA30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B5:AB304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C5:AC304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I5:AI304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Y5:Y304">
    <cfRule type="cellIs" priority="9" operator="equal" dxfId="2">
      <formula>"持仓中"</formula>
    </cfRule>
    <cfRule type="expression" priority="10" dxfId="3">
      <formula>OR($Y5="待录成交",$Y5="平仓多于开仓",$Y5="未填执行情况")</formula>
    </cfRule>
  </conditionalFormatting>
  <conditionalFormatting sqref="M5:M304">
    <cfRule type="cellIs" priority="11" operator="equal" dxfId="3">
      <formula>"预算不足，这笔不做"</formula>
    </cfRule>
  </conditionalFormatting>
  <conditionalFormatting sqref="L5:L304">
    <cfRule type="cellIs" priority="12" operator="equal" dxfId="3">
      <formula>"止损方向不对"</formula>
    </cfRule>
  </conditionalFormatting>
  <conditionalFormatting sqref="N5:N304">
    <cfRule type="expression" priority="13" dxfId="4">
      <formula>AND(ISNUMBER($N5),ISNUMBER($M5),$N5&gt;$M5)</formula>
    </cfRule>
  </conditionalFormatting>
  <conditionalFormatting sqref="AF5:AG304">
    <cfRule type="expression" priority="14" dxfId="5">
      <formula>AND(OR($AF5="C",$AF5="D"),N($AC5)&gt;0)</formula>
    </cfRule>
  </conditionalFormatting>
  <conditionalFormatting sqref="AD5:AD304">
    <cfRule type="expression" priority="15" dxfId="4">
      <formula>AND(ISNUMBER($AD5),$AD5&gt;ABS($I5)*0.01)</formula>
    </cfRule>
  </conditionalFormatting>
  <dataValidations count="7">
    <dataValidation sqref="A5:A304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3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5:E304" showDropDown="0" showInputMessage="0" showErrorMessage="1" allowBlank="1" errorTitle="不在选项里" error="请从下拉里选；要加新选项，先去参数页的下拉选项里加。" type="list" errorStyle="warning">
      <formula1>'参数'!$B$22:$B$33</formula1>
    </dataValidation>
    <dataValidation sqref="F5:F304" showDropDown="0" showInputMessage="1" showErrorMessage="1" allowBlank="1" errorTitle="不在选项里" error="请从下拉里选；要加新选项，先去参数页的下拉选项里加。" promptTitle="怎么填" prompt="多：先买后卖。空：先卖后买。" type="list" errorStyle="stop">
      <formula1>'参数'!$C$22:$C$33</formula1>
    </dataValidation>
    <dataValidation sqref="Q5:Q304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'参数'!$D$22:$D$33</formula1>
    </dataValidation>
    <dataValidation sqref="AF5:AF304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'参数'!$E$22:$E$33</formula1>
    </dataValidation>
    <dataValidation sqref="AG5:AG304" showDropDown="0" showInputMessage="0" showErrorMessage="1" allowBlank="1" errorTitle="不在选项里" error="请从下拉里选；要加新选项，先去参数页的下拉选项里加。" type="list" errorStyle="warning">
      <formula1>'参数'!$F$22:$F$33</formula1>
    </dataValidation>
  </dataValidations>
  <printOptions horizontalCentered="1"/>
  <pageMargins left="0.35" right="0.35" top="0.45" bottom="0.6" header="0.2" footer="0.25"/>
  <pageSetup orientation="landscape" paperSize="9" scale="62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  <colBreaks count="1" manualBreakCount="1">
    <brk id="16" min="0" max="16383" man="1"/>
  </colBreaks>
</worksheet>
</file>

<file path=xl/worksheets/sheet4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O8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6.5" customWidth="1" min="3" max="3"/>
    <col width="5" customWidth="1" min="4" max="4"/>
    <col width="8" customWidth="1" min="5" max="5"/>
    <col width="8" customWidth="1" min="6" max="6"/>
    <col width="8.5" customWidth="1" min="7" max="7"/>
    <col width="10" customWidth="1" min="8" max="8"/>
    <col width="5.5" customWidth="1" min="9" max="9"/>
    <col width="8" customWidth="1" min="10" max="10"/>
    <col width="9" customWidth="1" min="11" max="11"/>
    <col width="8" customWidth="1" min="12" max="12"/>
    <col width="8.5" customWidth="1" min="13" max="13"/>
    <col width="10" customWidth="1" min="14" max="14"/>
    <col width="20" customWidth="1" min="15" max="15"/>
  </cols>
  <sheetData>
    <row r="1" ht="30" customHeight="1">
      <c r="A1" s="13" t="inlineStr">
        <is>
          <t>通用交易日志：成交明细（每成交一笔记一行）</t>
        </is>
      </c>
      <c r="M1" s="14" t="inlineStr">
        <is>
          <t>TradeLearn · XtradingTime 交易内训</t>
        </is>
      </c>
    </row>
    <row r="2" ht="20" customHeight="1">
      <c r="A2" s="2" t="inlineStr">
        <is>
          <t>照成交单抄：编号（和交易记录同一个数字）、日期、时间、买卖、价格、数量。分批买卖就记多行。时间用来分开仓时段，参考价用来算滑点。</t>
        </is>
      </c>
    </row>
    <row r="3" ht="18" customHeight="1">
      <c r="A3" s="28" t="inlineStr">
        <is>
          <t>成交（照成交单抄）</t>
        </is>
      </c>
      <c r="B3" s="28" t="n"/>
      <c r="C3" s="28" t="n"/>
      <c r="D3" s="28" t="n"/>
      <c r="E3" s="28" t="n"/>
      <c r="F3" s="28" t="n"/>
      <c r="G3" s="28" t="n"/>
      <c r="H3" s="28" t="inlineStr">
        <is>
          <t>金额与费用</t>
        </is>
      </c>
      <c r="I3" s="28" t="n"/>
      <c r="J3" s="28" t="n"/>
      <c r="K3" s="28" t="n"/>
      <c r="L3" s="28" t="n"/>
      <c r="M3" s="28" t="n"/>
      <c r="N3" s="28" t="inlineStr">
        <is>
          <t>核对</t>
        </is>
      </c>
      <c r="O3" s="28" t="n"/>
    </row>
    <row r="4" ht="54.4" customHeight="1">
      <c r="A4" s="25" t="inlineStr">
        <is>
          <t>交易编号</t>
        </is>
      </c>
      <c r="B4" s="25" t="inlineStr">
        <is>
          <t>成交日期</t>
        </is>
      </c>
      <c r="C4" s="25" t="inlineStr">
        <is>
          <t>时间</t>
        </is>
      </c>
      <c r="D4" s="25" t="inlineStr">
        <is>
          <t>买卖</t>
        </is>
      </c>
      <c r="E4" s="25" t="inlineStr">
        <is>
          <t>成交价</t>
        </is>
      </c>
      <c r="F4" s="25" t="inlineStr">
        <is>
          <t>数量</t>
        </is>
      </c>
      <c r="G4" s="25" t="inlineStr">
        <is>
          <t>参考价（下单时看到的价）</t>
        </is>
      </c>
      <c r="H4" s="25" t="inlineStr">
        <is>
          <t>价格 × 数量</t>
        </is>
      </c>
      <c r="I4" s="25" t="inlineStr">
        <is>
          <t>乘数</t>
        </is>
      </c>
      <c r="J4" s="25" t="inlineStr">
        <is>
          <t>费用估算</t>
        </is>
      </c>
      <c r="K4" s="25" t="inlineStr">
        <is>
          <t>实际费用（成交单有就填）</t>
        </is>
      </c>
      <c r="L4" s="25" t="inlineStr">
        <is>
          <t>计入费用</t>
        </is>
      </c>
      <c r="M4" s="25" t="inlineStr">
        <is>
          <t>滑点成本（不利为正）</t>
        </is>
      </c>
      <c r="N4" s="25" t="inlineStr">
        <is>
          <t>品种</t>
        </is>
      </c>
      <c r="O4" s="25" t="inlineStr">
        <is>
          <t>备注</t>
        </is>
      </c>
    </row>
    <row r="5">
      <c r="A5" s="29" t="n"/>
      <c r="B5" s="30" t="n"/>
      <c r="C5" s="27" t="n"/>
      <c r="D5" s="32" t="n"/>
      <c r="E5" s="33" t="n"/>
      <c r="F5" s="36" t="n"/>
      <c r="G5" s="33" t="n"/>
      <c r="H5" s="20" t="str">
        <f>IF(AND(ISNUMBER(E5),ISNUMBER(F5)),E5*F5,"")</f>
        <v/>
      </c>
      <c r="I5" s="38" t="str">
        <f>IF(A5="","",IFERROR(IF(N(INDEX('交易记录'!$G$5:$G$304,MATCH(A5,'交易记录'!$A$5:$A$304,0)))&gt;0,INDEX('交易记录'!$G$5:$G$304,MATCH(A5,'交易记录'!$A$5:$A$304,0)),1),1))</f>
        <v/>
      </c>
      <c r="J5" s="41" t="str">
        <f>IF(ISNUMBER(H5),ROUND('参数'!$C$11+H5*I5*'参数'!$C$12+F5*'参数'!$C$13,2),"")</f>
        <v/>
      </c>
      <c r="K5" s="22" t="n"/>
      <c r="L5" s="20" t="str">
        <f>IF(ISNUMBER(K5),K5,IF(ISNUMBER(H5),J5,""))</f>
        <v/>
      </c>
      <c r="M5" s="46" t="str">
        <f>IF(AND(ISNUMBER(E5),ISNUMBER(G5),ISNUMBER(F5)),(E5-G5)*IF(D5="卖",-1,1)*F5*I5,"")</f>
        <v/>
      </c>
      <c r="N5" s="38" t="str">
        <f>IF(A5="","",IFERROR(T(INDEX('交易记录'!$C$5:$C$304,MATCH(A5,'交易记录'!$A$5:$A$304,0))),"编号没找到"))</f>
        <v/>
      </c>
      <c r="O5" s="31" t="n"/>
    </row>
    <row r="6">
      <c r="A6" s="29" t="n"/>
      <c r="B6" s="30" t="n"/>
      <c r="C6" s="27" t="n"/>
      <c r="D6" s="32" t="n"/>
      <c r="E6" s="33" t="n"/>
      <c r="F6" s="36" t="n"/>
      <c r="G6" s="33" t="n"/>
      <c r="H6" s="20" t="str">
        <f>IF(AND(ISNUMBER(E6),ISNUMBER(F6)),E6*F6,"")</f>
        <v/>
      </c>
      <c r="I6" s="38" t="str">
        <f>IF(A6="","",IFERROR(IF(N(INDEX('交易记录'!$G$5:$G$304,MATCH(A6,'交易记录'!$A$5:$A$304,0)))&gt;0,INDEX('交易记录'!$G$5:$G$304,MATCH(A6,'交易记录'!$A$5:$A$304,0)),1),1))</f>
        <v/>
      </c>
      <c r="J6" s="41" t="str">
        <f>IF(ISNUMBER(H6),ROUND('参数'!$C$11+H6*I6*'参数'!$C$12+F6*'参数'!$C$13,2),"")</f>
        <v/>
      </c>
      <c r="K6" s="22" t="n"/>
      <c r="L6" s="20" t="str">
        <f>IF(ISNUMBER(K6),K6,IF(ISNUMBER(H6),J6,""))</f>
        <v/>
      </c>
      <c r="M6" s="46" t="str">
        <f>IF(AND(ISNUMBER(E6),ISNUMBER(G6),ISNUMBER(F6)),(E6-G6)*IF(D6="卖",-1,1)*F6*I6,"")</f>
        <v/>
      </c>
      <c r="N6" s="38" t="str">
        <f>IF(A6="","",IFERROR(T(INDEX('交易记录'!$C$5:$C$304,MATCH(A6,'交易记录'!$A$5:$A$304,0))),"编号没找到"))</f>
        <v/>
      </c>
      <c r="O6" s="31" t="n"/>
    </row>
    <row r="7">
      <c r="A7" s="29" t="n"/>
      <c r="B7" s="30" t="n"/>
      <c r="C7" s="27" t="n"/>
      <c r="D7" s="32" t="n"/>
      <c r="E7" s="33" t="n"/>
      <c r="F7" s="36" t="n"/>
      <c r="G7" s="33" t="n"/>
      <c r="H7" s="20" t="str">
        <f>IF(AND(ISNUMBER(E7),ISNUMBER(F7)),E7*F7,"")</f>
        <v/>
      </c>
      <c r="I7" s="38" t="str">
        <f>IF(A7="","",IFERROR(IF(N(INDEX('交易记录'!$G$5:$G$304,MATCH(A7,'交易记录'!$A$5:$A$304,0)))&gt;0,INDEX('交易记录'!$G$5:$G$304,MATCH(A7,'交易记录'!$A$5:$A$304,0)),1),1))</f>
        <v/>
      </c>
      <c r="J7" s="41" t="str">
        <f>IF(ISNUMBER(H7),ROUND('参数'!$C$11+H7*I7*'参数'!$C$12+F7*'参数'!$C$13,2),"")</f>
        <v/>
      </c>
      <c r="K7" s="22" t="n"/>
      <c r="L7" s="20" t="str">
        <f>IF(ISNUMBER(K7),K7,IF(ISNUMBER(H7),J7,""))</f>
        <v/>
      </c>
      <c r="M7" s="46" t="str">
        <f>IF(AND(ISNUMBER(E7),ISNUMBER(G7),ISNUMBER(F7)),(E7-G7)*IF(D7="卖",-1,1)*F7*I7,"")</f>
        <v/>
      </c>
      <c r="N7" s="38" t="str">
        <f>IF(A7="","",IFERROR(T(INDEX('交易记录'!$C$5:$C$304,MATCH(A7,'交易记录'!$A$5:$A$304,0))),"编号没找到"))</f>
        <v/>
      </c>
      <c r="O7" s="31" t="n"/>
    </row>
    <row r="8">
      <c r="A8" s="29" t="n"/>
      <c r="B8" s="30" t="n"/>
      <c r="C8" s="27" t="n"/>
      <c r="D8" s="32" t="n"/>
      <c r="E8" s="33" t="n"/>
      <c r="F8" s="36" t="n"/>
      <c r="G8" s="33" t="n"/>
      <c r="H8" s="20" t="str">
        <f>IF(AND(ISNUMBER(E8),ISNUMBER(F8)),E8*F8,"")</f>
        <v/>
      </c>
      <c r="I8" s="38" t="str">
        <f>IF(A8="","",IFERROR(IF(N(INDEX('交易记录'!$G$5:$G$304,MATCH(A8,'交易记录'!$A$5:$A$304,0)))&gt;0,INDEX('交易记录'!$G$5:$G$304,MATCH(A8,'交易记录'!$A$5:$A$304,0)),1),1))</f>
        <v/>
      </c>
      <c r="J8" s="41" t="str">
        <f>IF(ISNUMBER(H8),ROUND('参数'!$C$11+H8*I8*'参数'!$C$12+F8*'参数'!$C$13,2),"")</f>
        <v/>
      </c>
      <c r="K8" s="22" t="n"/>
      <c r="L8" s="20" t="str">
        <f>IF(ISNUMBER(K8),K8,IF(ISNUMBER(H8),J8,""))</f>
        <v/>
      </c>
      <c r="M8" s="46" t="str">
        <f>IF(AND(ISNUMBER(E8),ISNUMBER(G8),ISNUMBER(F8)),(E8-G8)*IF(D8="卖",-1,1)*F8*I8,"")</f>
        <v/>
      </c>
      <c r="N8" s="38" t="str">
        <f>IF(A8="","",IFERROR(T(INDEX('交易记录'!$C$5:$C$304,MATCH(A8,'交易记录'!$A$5:$A$304,0))),"编号没找到"))</f>
        <v/>
      </c>
      <c r="O8" s="31" t="n"/>
    </row>
    <row r="9">
      <c r="A9" s="29" t="n"/>
      <c r="B9" s="30" t="n"/>
      <c r="C9" s="27" t="n"/>
      <c r="D9" s="32" t="n"/>
      <c r="E9" s="33" t="n"/>
      <c r="F9" s="36" t="n"/>
      <c r="G9" s="33" t="n"/>
      <c r="H9" s="20" t="str">
        <f>IF(AND(ISNUMBER(E9),ISNUMBER(F9)),E9*F9,"")</f>
        <v/>
      </c>
      <c r="I9" s="38" t="str">
        <f>IF(A9="","",IFERROR(IF(N(INDEX('交易记录'!$G$5:$G$304,MATCH(A9,'交易记录'!$A$5:$A$304,0)))&gt;0,INDEX('交易记录'!$G$5:$G$304,MATCH(A9,'交易记录'!$A$5:$A$304,0)),1),1))</f>
        <v/>
      </c>
      <c r="J9" s="41" t="str">
        <f>IF(ISNUMBER(H9),ROUND('参数'!$C$11+H9*I9*'参数'!$C$12+F9*'参数'!$C$13,2),"")</f>
        <v/>
      </c>
      <c r="K9" s="22" t="n"/>
      <c r="L9" s="20" t="str">
        <f>IF(ISNUMBER(K9),K9,IF(ISNUMBER(H9),J9,""))</f>
        <v/>
      </c>
      <c r="M9" s="46" t="str">
        <f>IF(AND(ISNUMBER(E9),ISNUMBER(G9),ISNUMBER(F9)),(E9-G9)*IF(D9="卖",-1,1)*F9*I9,"")</f>
        <v/>
      </c>
      <c r="N9" s="38" t="str">
        <f>IF(A9="","",IFERROR(T(INDEX('交易记录'!$C$5:$C$304,MATCH(A9,'交易记录'!$A$5:$A$304,0))),"编号没找到"))</f>
        <v/>
      </c>
      <c r="O9" s="31" t="n"/>
    </row>
    <row r="10">
      <c r="A10" s="29" t="n"/>
      <c r="B10" s="30" t="n"/>
      <c r="C10" s="27" t="n"/>
      <c r="D10" s="32" t="n"/>
      <c r="E10" s="33" t="n"/>
      <c r="F10" s="36" t="n"/>
      <c r="G10" s="33" t="n"/>
      <c r="H10" s="20" t="str">
        <f>IF(AND(ISNUMBER(E10),ISNUMBER(F10)),E10*F10,"")</f>
        <v/>
      </c>
      <c r="I10" s="38" t="str">
        <f>IF(A10="","",IFERROR(IF(N(INDEX('交易记录'!$G$5:$G$304,MATCH(A10,'交易记录'!$A$5:$A$304,0)))&gt;0,INDEX('交易记录'!$G$5:$G$304,MATCH(A10,'交易记录'!$A$5:$A$304,0)),1),1))</f>
        <v/>
      </c>
      <c r="J10" s="41" t="str">
        <f>IF(ISNUMBER(H10),ROUND('参数'!$C$11+H10*I10*'参数'!$C$12+F10*'参数'!$C$13,2),"")</f>
        <v/>
      </c>
      <c r="K10" s="22" t="n"/>
      <c r="L10" s="20" t="str">
        <f>IF(ISNUMBER(K10),K10,IF(ISNUMBER(H10),J10,""))</f>
        <v/>
      </c>
      <c r="M10" s="46" t="str">
        <f>IF(AND(ISNUMBER(E10),ISNUMBER(G10),ISNUMBER(F10)),(E10-G10)*IF(D10="卖",-1,1)*F10*I10,"")</f>
        <v/>
      </c>
      <c r="N10" s="38" t="str">
        <f>IF(A10="","",IFERROR(T(INDEX('交易记录'!$C$5:$C$304,MATCH(A10,'交易记录'!$A$5:$A$304,0))),"编号没找到"))</f>
        <v/>
      </c>
      <c r="O10" s="31" t="n"/>
    </row>
    <row r="11">
      <c r="A11" s="29" t="n"/>
      <c r="B11" s="30" t="n"/>
      <c r="C11" s="27" t="n"/>
      <c r="D11" s="32" t="n"/>
      <c r="E11" s="33" t="n"/>
      <c r="F11" s="36" t="n"/>
      <c r="G11" s="33" t="n"/>
      <c r="H11" s="20" t="str">
        <f>IF(AND(ISNUMBER(E11),ISNUMBER(F11)),E11*F11,"")</f>
        <v/>
      </c>
      <c r="I11" s="38" t="str">
        <f>IF(A11="","",IFERROR(IF(N(INDEX('交易记录'!$G$5:$G$304,MATCH(A11,'交易记录'!$A$5:$A$304,0)))&gt;0,INDEX('交易记录'!$G$5:$G$304,MATCH(A11,'交易记录'!$A$5:$A$304,0)),1),1))</f>
        <v/>
      </c>
      <c r="J11" s="41" t="str">
        <f>IF(ISNUMBER(H11),ROUND('参数'!$C$11+H11*I11*'参数'!$C$12+F11*'参数'!$C$13,2),"")</f>
        <v/>
      </c>
      <c r="K11" s="22" t="n"/>
      <c r="L11" s="20" t="str">
        <f>IF(ISNUMBER(K11),K11,IF(ISNUMBER(H11),J11,""))</f>
        <v/>
      </c>
      <c r="M11" s="46" t="str">
        <f>IF(AND(ISNUMBER(E11),ISNUMBER(G11),ISNUMBER(F11)),(E11-G11)*IF(D11="卖",-1,1)*F11*I11,"")</f>
        <v/>
      </c>
      <c r="N11" s="38" t="str">
        <f>IF(A11="","",IFERROR(T(INDEX('交易记录'!$C$5:$C$304,MATCH(A11,'交易记录'!$A$5:$A$304,0))),"编号没找到"))</f>
        <v/>
      </c>
      <c r="O11" s="31" t="n"/>
    </row>
    <row r="12">
      <c r="A12" s="29" t="n"/>
      <c r="B12" s="30" t="n"/>
      <c r="C12" s="27" t="n"/>
      <c r="D12" s="32" t="n"/>
      <c r="E12" s="33" t="n"/>
      <c r="F12" s="36" t="n"/>
      <c r="G12" s="33" t="n"/>
      <c r="H12" s="20" t="str">
        <f>IF(AND(ISNUMBER(E12),ISNUMBER(F12)),E12*F12,"")</f>
        <v/>
      </c>
      <c r="I12" s="38" t="str">
        <f>IF(A12="","",IFERROR(IF(N(INDEX('交易记录'!$G$5:$G$304,MATCH(A12,'交易记录'!$A$5:$A$304,0)))&gt;0,INDEX('交易记录'!$G$5:$G$304,MATCH(A12,'交易记录'!$A$5:$A$304,0)),1),1))</f>
        <v/>
      </c>
      <c r="J12" s="41" t="str">
        <f>IF(ISNUMBER(H12),ROUND('参数'!$C$11+H12*I12*'参数'!$C$12+F12*'参数'!$C$13,2),"")</f>
        <v/>
      </c>
      <c r="K12" s="22" t="n"/>
      <c r="L12" s="20" t="str">
        <f>IF(ISNUMBER(K12),K12,IF(ISNUMBER(H12),J12,""))</f>
        <v/>
      </c>
      <c r="M12" s="46" t="str">
        <f>IF(AND(ISNUMBER(E12),ISNUMBER(G12),ISNUMBER(F12)),(E12-G12)*IF(D12="卖",-1,1)*F12*I12,"")</f>
        <v/>
      </c>
      <c r="N12" s="38" t="str">
        <f>IF(A12="","",IFERROR(T(INDEX('交易记录'!$C$5:$C$304,MATCH(A12,'交易记录'!$A$5:$A$304,0))),"编号没找到"))</f>
        <v/>
      </c>
      <c r="O12" s="31" t="n"/>
    </row>
    <row r="13">
      <c r="A13" s="29" t="n"/>
      <c r="B13" s="30" t="n"/>
      <c r="C13" s="27" t="n"/>
      <c r="D13" s="32" t="n"/>
      <c r="E13" s="33" t="n"/>
      <c r="F13" s="36" t="n"/>
      <c r="G13" s="33" t="n"/>
      <c r="H13" s="20" t="str">
        <f>IF(AND(ISNUMBER(E13),ISNUMBER(F13)),E13*F13,"")</f>
        <v/>
      </c>
      <c r="I13" s="38" t="str">
        <f>IF(A13="","",IFERROR(IF(N(INDEX('交易记录'!$G$5:$G$304,MATCH(A13,'交易记录'!$A$5:$A$304,0)))&gt;0,INDEX('交易记录'!$G$5:$G$304,MATCH(A13,'交易记录'!$A$5:$A$304,0)),1),1))</f>
        <v/>
      </c>
      <c r="J13" s="41" t="str">
        <f>IF(ISNUMBER(H13),ROUND('参数'!$C$11+H13*I13*'参数'!$C$12+F13*'参数'!$C$13,2),"")</f>
        <v/>
      </c>
      <c r="K13" s="22" t="n"/>
      <c r="L13" s="20" t="str">
        <f>IF(ISNUMBER(K13),K13,IF(ISNUMBER(H13),J13,""))</f>
        <v/>
      </c>
      <c r="M13" s="46" t="str">
        <f>IF(AND(ISNUMBER(E13),ISNUMBER(G13),ISNUMBER(F13)),(E13-G13)*IF(D13="卖",-1,1)*F13*I13,"")</f>
        <v/>
      </c>
      <c r="N13" s="38" t="str">
        <f>IF(A13="","",IFERROR(T(INDEX('交易记录'!$C$5:$C$304,MATCH(A13,'交易记录'!$A$5:$A$304,0))),"编号没找到"))</f>
        <v/>
      </c>
      <c r="O13" s="31" t="n"/>
    </row>
    <row r="14">
      <c r="A14" s="29" t="n"/>
      <c r="B14" s="30" t="n"/>
      <c r="C14" s="27" t="n"/>
      <c r="D14" s="32" t="n"/>
      <c r="E14" s="33" t="n"/>
      <c r="F14" s="36" t="n"/>
      <c r="G14" s="33" t="n"/>
      <c r="H14" s="20" t="str">
        <f>IF(AND(ISNUMBER(E14),ISNUMBER(F14)),E14*F14,"")</f>
        <v/>
      </c>
      <c r="I14" s="38" t="str">
        <f>IF(A14="","",IFERROR(IF(N(INDEX('交易记录'!$G$5:$G$304,MATCH(A14,'交易记录'!$A$5:$A$304,0)))&gt;0,INDEX('交易记录'!$G$5:$G$304,MATCH(A14,'交易记录'!$A$5:$A$304,0)),1),1))</f>
        <v/>
      </c>
      <c r="J14" s="41" t="str">
        <f>IF(ISNUMBER(H14),ROUND('参数'!$C$11+H14*I14*'参数'!$C$12+F14*'参数'!$C$13,2),"")</f>
        <v/>
      </c>
      <c r="K14" s="22" t="n"/>
      <c r="L14" s="20" t="str">
        <f>IF(ISNUMBER(K14),K14,IF(ISNUMBER(H14),J14,""))</f>
        <v/>
      </c>
      <c r="M14" s="46" t="str">
        <f>IF(AND(ISNUMBER(E14),ISNUMBER(G14),ISNUMBER(F14)),(E14-G14)*IF(D14="卖",-1,1)*F14*I14,"")</f>
        <v/>
      </c>
      <c r="N14" s="38" t="str">
        <f>IF(A14="","",IFERROR(T(INDEX('交易记录'!$C$5:$C$304,MATCH(A14,'交易记录'!$A$5:$A$304,0))),"编号没找到"))</f>
        <v/>
      </c>
      <c r="O14" s="31" t="n"/>
    </row>
    <row r="15">
      <c r="A15" s="29" t="n"/>
      <c r="B15" s="30" t="n"/>
      <c r="C15" s="27" t="n"/>
      <c r="D15" s="32" t="n"/>
      <c r="E15" s="33" t="n"/>
      <c r="F15" s="36" t="n"/>
      <c r="G15" s="33" t="n"/>
      <c r="H15" s="20" t="str">
        <f>IF(AND(ISNUMBER(E15),ISNUMBER(F15)),E15*F15,"")</f>
        <v/>
      </c>
      <c r="I15" s="38" t="str">
        <f>IF(A15="","",IFERROR(IF(N(INDEX('交易记录'!$G$5:$G$304,MATCH(A15,'交易记录'!$A$5:$A$304,0)))&gt;0,INDEX('交易记录'!$G$5:$G$304,MATCH(A15,'交易记录'!$A$5:$A$304,0)),1),1))</f>
        <v/>
      </c>
      <c r="J15" s="41" t="str">
        <f>IF(ISNUMBER(H15),ROUND('参数'!$C$11+H15*I15*'参数'!$C$12+F15*'参数'!$C$13,2),"")</f>
        <v/>
      </c>
      <c r="K15" s="22" t="n"/>
      <c r="L15" s="20" t="str">
        <f>IF(ISNUMBER(K15),K15,IF(ISNUMBER(H15),J15,""))</f>
        <v/>
      </c>
      <c r="M15" s="46" t="str">
        <f>IF(AND(ISNUMBER(E15),ISNUMBER(G15),ISNUMBER(F15)),(E15-G15)*IF(D15="卖",-1,1)*F15*I15,"")</f>
        <v/>
      </c>
      <c r="N15" s="38" t="str">
        <f>IF(A15="","",IFERROR(T(INDEX('交易记录'!$C$5:$C$304,MATCH(A15,'交易记录'!$A$5:$A$304,0))),"编号没找到"))</f>
        <v/>
      </c>
      <c r="O15" s="31" t="n"/>
    </row>
    <row r="16">
      <c r="A16" s="29" t="n"/>
      <c r="B16" s="30" t="n"/>
      <c r="C16" s="27" t="n"/>
      <c r="D16" s="32" t="n"/>
      <c r="E16" s="33" t="n"/>
      <c r="F16" s="36" t="n"/>
      <c r="G16" s="33" t="n"/>
      <c r="H16" s="20" t="str">
        <f>IF(AND(ISNUMBER(E16),ISNUMBER(F16)),E16*F16,"")</f>
        <v/>
      </c>
      <c r="I16" s="38" t="str">
        <f>IF(A16="","",IFERROR(IF(N(INDEX('交易记录'!$G$5:$G$304,MATCH(A16,'交易记录'!$A$5:$A$304,0)))&gt;0,INDEX('交易记录'!$G$5:$G$304,MATCH(A16,'交易记录'!$A$5:$A$304,0)),1),1))</f>
        <v/>
      </c>
      <c r="J16" s="41" t="str">
        <f>IF(ISNUMBER(H16),ROUND('参数'!$C$11+H16*I16*'参数'!$C$12+F16*'参数'!$C$13,2),"")</f>
        <v/>
      </c>
      <c r="K16" s="22" t="n"/>
      <c r="L16" s="20" t="str">
        <f>IF(ISNUMBER(K16),K16,IF(ISNUMBER(H16),J16,""))</f>
        <v/>
      </c>
      <c r="M16" s="46" t="str">
        <f>IF(AND(ISNUMBER(E16),ISNUMBER(G16),ISNUMBER(F16)),(E16-G16)*IF(D16="卖",-1,1)*F16*I16,"")</f>
        <v/>
      </c>
      <c r="N16" s="38" t="str">
        <f>IF(A16="","",IFERROR(T(INDEX('交易记录'!$C$5:$C$304,MATCH(A16,'交易记录'!$A$5:$A$304,0))),"编号没找到"))</f>
        <v/>
      </c>
      <c r="O16" s="31" t="n"/>
    </row>
    <row r="17">
      <c r="A17" s="29" t="n"/>
      <c r="B17" s="30" t="n"/>
      <c r="C17" s="27" t="n"/>
      <c r="D17" s="32" t="n"/>
      <c r="E17" s="33" t="n"/>
      <c r="F17" s="36" t="n"/>
      <c r="G17" s="33" t="n"/>
      <c r="H17" s="20" t="str">
        <f>IF(AND(ISNUMBER(E17),ISNUMBER(F17)),E17*F17,"")</f>
        <v/>
      </c>
      <c r="I17" s="38" t="str">
        <f>IF(A17="","",IFERROR(IF(N(INDEX('交易记录'!$G$5:$G$304,MATCH(A17,'交易记录'!$A$5:$A$304,0)))&gt;0,INDEX('交易记录'!$G$5:$G$304,MATCH(A17,'交易记录'!$A$5:$A$304,0)),1),1))</f>
        <v/>
      </c>
      <c r="J17" s="41" t="str">
        <f>IF(ISNUMBER(H17),ROUND('参数'!$C$11+H17*I17*'参数'!$C$12+F17*'参数'!$C$13,2),"")</f>
        <v/>
      </c>
      <c r="K17" s="22" t="n"/>
      <c r="L17" s="20" t="str">
        <f>IF(ISNUMBER(K17),K17,IF(ISNUMBER(H17),J17,""))</f>
        <v/>
      </c>
      <c r="M17" s="46" t="str">
        <f>IF(AND(ISNUMBER(E17),ISNUMBER(G17),ISNUMBER(F17)),(E17-G17)*IF(D17="卖",-1,1)*F17*I17,"")</f>
        <v/>
      </c>
      <c r="N17" s="38" t="str">
        <f>IF(A17="","",IFERROR(T(INDEX('交易记录'!$C$5:$C$304,MATCH(A17,'交易记录'!$A$5:$A$304,0))),"编号没找到"))</f>
        <v/>
      </c>
      <c r="O17" s="31" t="n"/>
    </row>
    <row r="18">
      <c r="A18" s="29" t="n"/>
      <c r="B18" s="30" t="n"/>
      <c r="C18" s="27" t="n"/>
      <c r="D18" s="32" t="n"/>
      <c r="E18" s="33" t="n"/>
      <c r="F18" s="36" t="n"/>
      <c r="G18" s="33" t="n"/>
      <c r="H18" s="20" t="str">
        <f>IF(AND(ISNUMBER(E18),ISNUMBER(F18)),E18*F18,"")</f>
        <v/>
      </c>
      <c r="I18" s="38" t="str">
        <f>IF(A18="","",IFERROR(IF(N(INDEX('交易记录'!$G$5:$G$304,MATCH(A18,'交易记录'!$A$5:$A$304,0)))&gt;0,INDEX('交易记录'!$G$5:$G$304,MATCH(A18,'交易记录'!$A$5:$A$304,0)),1),1))</f>
        <v/>
      </c>
      <c r="J18" s="41" t="str">
        <f>IF(ISNUMBER(H18),ROUND('参数'!$C$11+H18*I18*'参数'!$C$12+F18*'参数'!$C$13,2),"")</f>
        <v/>
      </c>
      <c r="K18" s="22" t="n"/>
      <c r="L18" s="20" t="str">
        <f>IF(ISNUMBER(K18),K18,IF(ISNUMBER(H18),J18,""))</f>
        <v/>
      </c>
      <c r="M18" s="46" t="str">
        <f>IF(AND(ISNUMBER(E18),ISNUMBER(G18),ISNUMBER(F18)),(E18-G18)*IF(D18="卖",-1,1)*F18*I18,"")</f>
        <v/>
      </c>
      <c r="N18" s="38" t="str">
        <f>IF(A18="","",IFERROR(T(INDEX('交易记录'!$C$5:$C$304,MATCH(A18,'交易记录'!$A$5:$A$304,0))),"编号没找到"))</f>
        <v/>
      </c>
      <c r="O18" s="31" t="n"/>
    </row>
    <row r="19">
      <c r="A19" s="29" t="n"/>
      <c r="B19" s="30" t="n"/>
      <c r="C19" s="27" t="n"/>
      <c r="D19" s="32" t="n"/>
      <c r="E19" s="33" t="n"/>
      <c r="F19" s="36" t="n"/>
      <c r="G19" s="33" t="n"/>
      <c r="H19" s="20" t="str">
        <f>IF(AND(ISNUMBER(E19),ISNUMBER(F19)),E19*F19,"")</f>
        <v/>
      </c>
      <c r="I19" s="38" t="str">
        <f>IF(A19="","",IFERROR(IF(N(INDEX('交易记录'!$G$5:$G$304,MATCH(A19,'交易记录'!$A$5:$A$304,0)))&gt;0,INDEX('交易记录'!$G$5:$G$304,MATCH(A19,'交易记录'!$A$5:$A$304,0)),1),1))</f>
        <v/>
      </c>
      <c r="J19" s="41" t="str">
        <f>IF(ISNUMBER(H19),ROUND('参数'!$C$11+H19*I19*'参数'!$C$12+F19*'参数'!$C$13,2),"")</f>
        <v/>
      </c>
      <c r="K19" s="22" t="n"/>
      <c r="L19" s="20" t="str">
        <f>IF(ISNUMBER(K19),K19,IF(ISNUMBER(H19),J19,""))</f>
        <v/>
      </c>
      <c r="M19" s="46" t="str">
        <f>IF(AND(ISNUMBER(E19),ISNUMBER(G19),ISNUMBER(F19)),(E19-G19)*IF(D19="卖",-1,1)*F19*I19,"")</f>
        <v/>
      </c>
      <c r="N19" s="38" t="str">
        <f>IF(A19="","",IFERROR(T(INDEX('交易记录'!$C$5:$C$304,MATCH(A19,'交易记录'!$A$5:$A$304,0))),"编号没找到"))</f>
        <v/>
      </c>
      <c r="O19" s="31" t="n"/>
    </row>
    <row r="20">
      <c r="A20" s="29" t="n"/>
      <c r="B20" s="30" t="n"/>
      <c r="C20" s="27" t="n"/>
      <c r="D20" s="32" t="n"/>
      <c r="E20" s="33" t="n"/>
      <c r="F20" s="36" t="n"/>
      <c r="G20" s="33" t="n"/>
      <c r="H20" s="20" t="str">
        <f>IF(AND(ISNUMBER(E20),ISNUMBER(F20)),E20*F20,"")</f>
        <v/>
      </c>
      <c r="I20" s="38" t="str">
        <f>IF(A20="","",IFERROR(IF(N(INDEX('交易记录'!$G$5:$G$304,MATCH(A20,'交易记录'!$A$5:$A$304,0)))&gt;0,INDEX('交易记录'!$G$5:$G$304,MATCH(A20,'交易记录'!$A$5:$A$304,0)),1),1))</f>
        <v/>
      </c>
      <c r="J20" s="41" t="str">
        <f>IF(ISNUMBER(H20),ROUND('参数'!$C$11+H20*I20*'参数'!$C$12+F20*'参数'!$C$13,2),"")</f>
        <v/>
      </c>
      <c r="K20" s="22" t="n"/>
      <c r="L20" s="20" t="str">
        <f>IF(ISNUMBER(K20),K20,IF(ISNUMBER(H20),J20,""))</f>
        <v/>
      </c>
      <c r="M20" s="46" t="str">
        <f>IF(AND(ISNUMBER(E20),ISNUMBER(G20),ISNUMBER(F20)),(E20-G20)*IF(D20="卖",-1,1)*F20*I20,"")</f>
        <v/>
      </c>
      <c r="N20" s="38" t="str">
        <f>IF(A20="","",IFERROR(T(INDEX('交易记录'!$C$5:$C$304,MATCH(A20,'交易记录'!$A$5:$A$304,0))),"编号没找到"))</f>
        <v/>
      </c>
      <c r="O20" s="31" t="n"/>
    </row>
    <row r="21">
      <c r="A21" s="29" t="n"/>
      <c r="B21" s="30" t="n"/>
      <c r="C21" s="27" t="n"/>
      <c r="D21" s="32" t="n"/>
      <c r="E21" s="33" t="n"/>
      <c r="F21" s="36" t="n"/>
      <c r="G21" s="33" t="n"/>
      <c r="H21" s="20" t="str">
        <f>IF(AND(ISNUMBER(E21),ISNUMBER(F21)),E21*F21,"")</f>
        <v/>
      </c>
      <c r="I21" s="38" t="str">
        <f>IF(A21="","",IFERROR(IF(N(INDEX('交易记录'!$G$5:$G$304,MATCH(A21,'交易记录'!$A$5:$A$304,0)))&gt;0,INDEX('交易记录'!$G$5:$G$304,MATCH(A21,'交易记录'!$A$5:$A$304,0)),1),1))</f>
        <v/>
      </c>
      <c r="J21" s="41" t="str">
        <f>IF(ISNUMBER(H21),ROUND('参数'!$C$11+H21*I21*'参数'!$C$12+F21*'参数'!$C$13,2),"")</f>
        <v/>
      </c>
      <c r="K21" s="22" t="n"/>
      <c r="L21" s="20" t="str">
        <f>IF(ISNUMBER(K21),K21,IF(ISNUMBER(H21),J21,""))</f>
        <v/>
      </c>
      <c r="M21" s="46" t="str">
        <f>IF(AND(ISNUMBER(E21),ISNUMBER(G21),ISNUMBER(F21)),(E21-G21)*IF(D21="卖",-1,1)*F21*I21,"")</f>
        <v/>
      </c>
      <c r="N21" s="38" t="str">
        <f>IF(A21="","",IFERROR(T(INDEX('交易记录'!$C$5:$C$304,MATCH(A21,'交易记录'!$A$5:$A$304,0))),"编号没找到"))</f>
        <v/>
      </c>
      <c r="O21" s="31" t="n"/>
    </row>
    <row r="22">
      <c r="A22" s="29" t="n"/>
      <c r="B22" s="30" t="n"/>
      <c r="C22" s="27" t="n"/>
      <c r="D22" s="32" t="n"/>
      <c r="E22" s="33" t="n"/>
      <c r="F22" s="36" t="n"/>
      <c r="G22" s="33" t="n"/>
      <c r="H22" s="20" t="str">
        <f>IF(AND(ISNUMBER(E22),ISNUMBER(F22)),E22*F22,"")</f>
        <v/>
      </c>
      <c r="I22" s="38" t="str">
        <f>IF(A22="","",IFERROR(IF(N(INDEX('交易记录'!$G$5:$G$304,MATCH(A22,'交易记录'!$A$5:$A$304,0)))&gt;0,INDEX('交易记录'!$G$5:$G$304,MATCH(A22,'交易记录'!$A$5:$A$304,0)),1),1))</f>
        <v/>
      </c>
      <c r="J22" s="41" t="str">
        <f>IF(ISNUMBER(H22),ROUND('参数'!$C$11+H22*I22*'参数'!$C$12+F22*'参数'!$C$13,2),"")</f>
        <v/>
      </c>
      <c r="K22" s="22" t="n"/>
      <c r="L22" s="20" t="str">
        <f>IF(ISNUMBER(K22),K22,IF(ISNUMBER(H22),J22,""))</f>
        <v/>
      </c>
      <c r="M22" s="46" t="str">
        <f>IF(AND(ISNUMBER(E22),ISNUMBER(G22),ISNUMBER(F22)),(E22-G22)*IF(D22="卖",-1,1)*F22*I22,"")</f>
        <v/>
      </c>
      <c r="N22" s="38" t="str">
        <f>IF(A22="","",IFERROR(T(INDEX('交易记录'!$C$5:$C$304,MATCH(A22,'交易记录'!$A$5:$A$304,0))),"编号没找到"))</f>
        <v/>
      </c>
      <c r="O22" s="31" t="n"/>
    </row>
    <row r="23">
      <c r="A23" s="29" t="n"/>
      <c r="B23" s="30" t="n"/>
      <c r="C23" s="27" t="n"/>
      <c r="D23" s="32" t="n"/>
      <c r="E23" s="33" t="n"/>
      <c r="F23" s="36" t="n"/>
      <c r="G23" s="33" t="n"/>
      <c r="H23" s="20" t="str">
        <f>IF(AND(ISNUMBER(E23),ISNUMBER(F23)),E23*F23,"")</f>
        <v/>
      </c>
      <c r="I23" s="38" t="str">
        <f>IF(A23="","",IFERROR(IF(N(INDEX('交易记录'!$G$5:$G$304,MATCH(A23,'交易记录'!$A$5:$A$304,0)))&gt;0,INDEX('交易记录'!$G$5:$G$304,MATCH(A23,'交易记录'!$A$5:$A$304,0)),1),1))</f>
        <v/>
      </c>
      <c r="J23" s="41" t="str">
        <f>IF(ISNUMBER(H23),ROUND('参数'!$C$11+H23*I23*'参数'!$C$12+F23*'参数'!$C$13,2),"")</f>
        <v/>
      </c>
      <c r="K23" s="22" t="n"/>
      <c r="L23" s="20" t="str">
        <f>IF(ISNUMBER(K23),K23,IF(ISNUMBER(H23),J23,""))</f>
        <v/>
      </c>
      <c r="M23" s="46" t="str">
        <f>IF(AND(ISNUMBER(E23),ISNUMBER(G23),ISNUMBER(F23)),(E23-G23)*IF(D23="卖",-1,1)*F23*I23,"")</f>
        <v/>
      </c>
      <c r="N23" s="38" t="str">
        <f>IF(A23="","",IFERROR(T(INDEX('交易记录'!$C$5:$C$304,MATCH(A23,'交易记录'!$A$5:$A$304,0))),"编号没找到"))</f>
        <v/>
      </c>
      <c r="O23" s="31" t="n"/>
    </row>
    <row r="24">
      <c r="A24" s="29" t="n"/>
      <c r="B24" s="30" t="n"/>
      <c r="C24" s="27" t="n"/>
      <c r="D24" s="32" t="n"/>
      <c r="E24" s="33" t="n"/>
      <c r="F24" s="36" t="n"/>
      <c r="G24" s="33" t="n"/>
      <c r="H24" s="20" t="str">
        <f>IF(AND(ISNUMBER(E24),ISNUMBER(F24)),E24*F24,"")</f>
        <v/>
      </c>
      <c r="I24" s="38" t="str">
        <f>IF(A24="","",IFERROR(IF(N(INDEX('交易记录'!$G$5:$G$304,MATCH(A24,'交易记录'!$A$5:$A$304,0)))&gt;0,INDEX('交易记录'!$G$5:$G$304,MATCH(A24,'交易记录'!$A$5:$A$304,0)),1),1))</f>
        <v/>
      </c>
      <c r="J24" s="41" t="str">
        <f>IF(ISNUMBER(H24),ROUND('参数'!$C$11+H24*I24*'参数'!$C$12+F24*'参数'!$C$13,2),"")</f>
        <v/>
      </c>
      <c r="K24" s="22" t="n"/>
      <c r="L24" s="20" t="str">
        <f>IF(ISNUMBER(K24),K24,IF(ISNUMBER(H24),J24,""))</f>
        <v/>
      </c>
      <c r="M24" s="46" t="str">
        <f>IF(AND(ISNUMBER(E24),ISNUMBER(G24),ISNUMBER(F24)),(E24-G24)*IF(D24="卖",-1,1)*F24*I24,"")</f>
        <v/>
      </c>
      <c r="N24" s="38" t="str">
        <f>IF(A24="","",IFERROR(T(INDEX('交易记录'!$C$5:$C$304,MATCH(A24,'交易记录'!$A$5:$A$304,0))),"编号没找到"))</f>
        <v/>
      </c>
      <c r="O24" s="31" t="n"/>
    </row>
    <row r="25">
      <c r="A25" s="29" t="n"/>
      <c r="B25" s="30" t="n"/>
      <c r="C25" s="27" t="n"/>
      <c r="D25" s="32" t="n"/>
      <c r="E25" s="33" t="n"/>
      <c r="F25" s="36" t="n"/>
      <c r="G25" s="33" t="n"/>
      <c r="H25" s="20" t="str">
        <f>IF(AND(ISNUMBER(E25),ISNUMBER(F25)),E25*F25,"")</f>
        <v/>
      </c>
      <c r="I25" s="38" t="str">
        <f>IF(A25="","",IFERROR(IF(N(INDEX('交易记录'!$G$5:$G$304,MATCH(A25,'交易记录'!$A$5:$A$304,0)))&gt;0,INDEX('交易记录'!$G$5:$G$304,MATCH(A25,'交易记录'!$A$5:$A$304,0)),1),1))</f>
        <v/>
      </c>
      <c r="J25" s="41" t="str">
        <f>IF(ISNUMBER(H25),ROUND('参数'!$C$11+H25*I25*'参数'!$C$12+F25*'参数'!$C$13,2),"")</f>
        <v/>
      </c>
      <c r="K25" s="22" t="n"/>
      <c r="L25" s="20" t="str">
        <f>IF(ISNUMBER(K25),K25,IF(ISNUMBER(H25),J25,""))</f>
        <v/>
      </c>
      <c r="M25" s="46" t="str">
        <f>IF(AND(ISNUMBER(E25),ISNUMBER(G25),ISNUMBER(F25)),(E25-G25)*IF(D25="卖",-1,1)*F25*I25,"")</f>
        <v/>
      </c>
      <c r="N25" s="38" t="str">
        <f>IF(A25="","",IFERROR(T(INDEX('交易记录'!$C$5:$C$304,MATCH(A25,'交易记录'!$A$5:$A$304,0))),"编号没找到"))</f>
        <v/>
      </c>
      <c r="O25" s="31" t="n"/>
    </row>
    <row r="26">
      <c r="A26" s="29" t="n"/>
      <c r="B26" s="30" t="n"/>
      <c r="C26" s="27" t="n"/>
      <c r="D26" s="32" t="n"/>
      <c r="E26" s="33" t="n"/>
      <c r="F26" s="36" t="n"/>
      <c r="G26" s="33" t="n"/>
      <c r="H26" s="20" t="str">
        <f>IF(AND(ISNUMBER(E26),ISNUMBER(F26)),E26*F26,"")</f>
        <v/>
      </c>
      <c r="I26" s="38" t="str">
        <f>IF(A26="","",IFERROR(IF(N(INDEX('交易记录'!$G$5:$G$304,MATCH(A26,'交易记录'!$A$5:$A$304,0)))&gt;0,INDEX('交易记录'!$G$5:$G$304,MATCH(A26,'交易记录'!$A$5:$A$304,0)),1),1))</f>
        <v/>
      </c>
      <c r="J26" s="41" t="str">
        <f>IF(ISNUMBER(H26),ROUND('参数'!$C$11+H26*I26*'参数'!$C$12+F26*'参数'!$C$13,2),"")</f>
        <v/>
      </c>
      <c r="K26" s="22" t="n"/>
      <c r="L26" s="20" t="str">
        <f>IF(ISNUMBER(K26),K26,IF(ISNUMBER(H26),J26,""))</f>
        <v/>
      </c>
      <c r="M26" s="46" t="str">
        <f>IF(AND(ISNUMBER(E26),ISNUMBER(G26),ISNUMBER(F26)),(E26-G26)*IF(D26="卖",-1,1)*F26*I26,"")</f>
        <v/>
      </c>
      <c r="N26" s="38" t="str">
        <f>IF(A26="","",IFERROR(T(INDEX('交易记录'!$C$5:$C$304,MATCH(A26,'交易记录'!$A$5:$A$304,0))),"编号没找到"))</f>
        <v/>
      </c>
      <c r="O26" s="31" t="n"/>
    </row>
    <row r="27">
      <c r="A27" s="29" t="n"/>
      <c r="B27" s="30" t="n"/>
      <c r="C27" s="27" t="n"/>
      <c r="D27" s="32" t="n"/>
      <c r="E27" s="33" t="n"/>
      <c r="F27" s="36" t="n"/>
      <c r="G27" s="33" t="n"/>
      <c r="H27" s="20" t="str">
        <f>IF(AND(ISNUMBER(E27),ISNUMBER(F27)),E27*F27,"")</f>
        <v/>
      </c>
      <c r="I27" s="38" t="str">
        <f>IF(A27="","",IFERROR(IF(N(INDEX('交易记录'!$G$5:$G$304,MATCH(A27,'交易记录'!$A$5:$A$304,0)))&gt;0,INDEX('交易记录'!$G$5:$G$304,MATCH(A27,'交易记录'!$A$5:$A$304,0)),1),1))</f>
        <v/>
      </c>
      <c r="J27" s="41" t="str">
        <f>IF(ISNUMBER(H27),ROUND('参数'!$C$11+H27*I27*'参数'!$C$12+F27*'参数'!$C$13,2),"")</f>
        <v/>
      </c>
      <c r="K27" s="22" t="n"/>
      <c r="L27" s="20" t="str">
        <f>IF(ISNUMBER(K27),K27,IF(ISNUMBER(H27),J27,""))</f>
        <v/>
      </c>
      <c r="M27" s="46" t="str">
        <f>IF(AND(ISNUMBER(E27),ISNUMBER(G27),ISNUMBER(F27)),(E27-G27)*IF(D27="卖",-1,1)*F27*I27,"")</f>
        <v/>
      </c>
      <c r="N27" s="38" t="str">
        <f>IF(A27="","",IFERROR(T(INDEX('交易记录'!$C$5:$C$304,MATCH(A27,'交易记录'!$A$5:$A$304,0))),"编号没找到"))</f>
        <v/>
      </c>
      <c r="O27" s="31" t="n"/>
    </row>
    <row r="28">
      <c r="A28" s="29" t="n"/>
      <c r="B28" s="30" t="n"/>
      <c r="C28" s="27" t="n"/>
      <c r="D28" s="32" t="n"/>
      <c r="E28" s="33" t="n"/>
      <c r="F28" s="36" t="n"/>
      <c r="G28" s="33" t="n"/>
      <c r="H28" s="20" t="str">
        <f>IF(AND(ISNUMBER(E28),ISNUMBER(F28)),E28*F28,"")</f>
        <v/>
      </c>
      <c r="I28" s="38" t="str">
        <f>IF(A28="","",IFERROR(IF(N(INDEX('交易记录'!$G$5:$G$304,MATCH(A28,'交易记录'!$A$5:$A$304,0)))&gt;0,INDEX('交易记录'!$G$5:$G$304,MATCH(A28,'交易记录'!$A$5:$A$304,0)),1),1))</f>
        <v/>
      </c>
      <c r="J28" s="41" t="str">
        <f>IF(ISNUMBER(H28),ROUND('参数'!$C$11+H28*I28*'参数'!$C$12+F28*'参数'!$C$13,2),"")</f>
        <v/>
      </c>
      <c r="K28" s="22" t="n"/>
      <c r="L28" s="20" t="str">
        <f>IF(ISNUMBER(K28),K28,IF(ISNUMBER(H28),J28,""))</f>
        <v/>
      </c>
      <c r="M28" s="46" t="str">
        <f>IF(AND(ISNUMBER(E28),ISNUMBER(G28),ISNUMBER(F28)),(E28-G28)*IF(D28="卖",-1,1)*F28*I28,"")</f>
        <v/>
      </c>
      <c r="N28" s="38" t="str">
        <f>IF(A28="","",IFERROR(T(INDEX('交易记录'!$C$5:$C$304,MATCH(A28,'交易记录'!$A$5:$A$304,0))),"编号没找到"))</f>
        <v/>
      </c>
      <c r="O28" s="31" t="n"/>
    </row>
    <row r="29">
      <c r="A29" s="29" t="n"/>
      <c r="B29" s="30" t="n"/>
      <c r="C29" s="27" t="n"/>
      <c r="D29" s="32" t="n"/>
      <c r="E29" s="33" t="n"/>
      <c r="F29" s="36" t="n"/>
      <c r="G29" s="33" t="n"/>
      <c r="H29" s="20" t="str">
        <f>IF(AND(ISNUMBER(E29),ISNUMBER(F29)),E29*F29,"")</f>
        <v/>
      </c>
      <c r="I29" s="38" t="str">
        <f>IF(A29="","",IFERROR(IF(N(INDEX('交易记录'!$G$5:$G$304,MATCH(A29,'交易记录'!$A$5:$A$304,0)))&gt;0,INDEX('交易记录'!$G$5:$G$304,MATCH(A29,'交易记录'!$A$5:$A$304,0)),1),1))</f>
        <v/>
      </c>
      <c r="J29" s="41" t="str">
        <f>IF(ISNUMBER(H29),ROUND('参数'!$C$11+H29*I29*'参数'!$C$12+F29*'参数'!$C$13,2),"")</f>
        <v/>
      </c>
      <c r="K29" s="22" t="n"/>
      <c r="L29" s="20" t="str">
        <f>IF(ISNUMBER(K29),K29,IF(ISNUMBER(H29),J29,""))</f>
        <v/>
      </c>
      <c r="M29" s="46" t="str">
        <f>IF(AND(ISNUMBER(E29),ISNUMBER(G29),ISNUMBER(F29)),(E29-G29)*IF(D29="卖",-1,1)*F29*I29,"")</f>
        <v/>
      </c>
      <c r="N29" s="38" t="str">
        <f>IF(A29="","",IFERROR(T(INDEX('交易记录'!$C$5:$C$304,MATCH(A29,'交易记录'!$A$5:$A$304,0))),"编号没找到"))</f>
        <v/>
      </c>
      <c r="O29" s="31" t="n"/>
    </row>
    <row r="30">
      <c r="A30" s="29" t="n"/>
      <c r="B30" s="30" t="n"/>
      <c r="C30" s="27" t="n"/>
      <c r="D30" s="32" t="n"/>
      <c r="E30" s="33" t="n"/>
      <c r="F30" s="36" t="n"/>
      <c r="G30" s="33" t="n"/>
      <c r="H30" s="20" t="str">
        <f>IF(AND(ISNUMBER(E30),ISNUMBER(F30)),E30*F30,"")</f>
        <v/>
      </c>
      <c r="I30" s="38" t="str">
        <f>IF(A30="","",IFERROR(IF(N(INDEX('交易记录'!$G$5:$G$304,MATCH(A30,'交易记录'!$A$5:$A$304,0)))&gt;0,INDEX('交易记录'!$G$5:$G$304,MATCH(A30,'交易记录'!$A$5:$A$304,0)),1),1))</f>
        <v/>
      </c>
      <c r="J30" s="41" t="str">
        <f>IF(ISNUMBER(H30),ROUND('参数'!$C$11+H30*I30*'参数'!$C$12+F30*'参数'!$C$13,2),"")</f>
        <v/>
      </c>
      <c r="K30" s="22" t="n"/>
      <c r="L30" s="20" t="str">
        <f>IF(ISNUMBER(K30),K30,IF(ISNUMBER(H30),J30,""))</f>
        <v/>
      </c>
      <c r="M30" s="46" t="str">
        <f>IF(AND(ISNUMBER(E30),ISNUMBER(G30),ISNUMBER(F30)),(E30-G30)*IF(D30="卖",-1,1)*F30*I30,"")</f>
        <v/>
      </c>
      <c r="N30" s="38" t="str">
        <f>IF(A30="","",IFERROR(T(INDEX('交易记录'!$C$5:$C$304,MATCH(A30,'交易记录'!$A$5:$A$304,0))),"编号没找到"))</f>
        <v/>
      </c>
      <c r="O30" s="31" t="n"/>
    </row>
    <row r="31">
      <c r="A31" s="29" t="n"/>
      <c r="B31" s="30" t="n"/>
      <c r="C31" s="27" t="n"/>
      <c r="D31" s="32" t="n"/>
      <c r="E31" s="33" t="n"/>
      <c r="F31" s="36" t="n"/>
      <c r="G31" s="33" t="n"/>
      <c r="H31" s="20" t="str">
        <f>IF(AND(ISNUMBER(E31),ISNUMBER(F31)),E31*F31,"")</f>
        <v/>
      </c>
      <c r="I31" s="38" t="str">
        <f>IF(A31="","",IFERROR(IF(N(INDEX('交易记录'!$G$5:$G$304,MATCH(A31,'交易记录'!$A$5:$A$304,0)))&gt;0,INDEX('交易记录'!$G$5:$G$304,MATCH(A31,'交易记录'!$A$5:$A$304,0)),1),1))</f>
        <v/>
      </c>
      <c r="J31" s="41" t="str">
        <f>IF(ISNUMBER(H31),ROUND('参数'!$C$11+H31*I31*'参数'!$C$12+F31*'参数'!$C$13,2),"")</f>
        <v/>
      </c>
      <c r="K31" s="22" t="n"/>
      <c r="L31" s="20" t="str">
        <f>IF(ISNUMBER(K31),K31,IF(ISNUMBER(H31),J31,""))</f>
        <v/>
      </c>
      <c r="M31" s="46" t="str">
        <f>IF(AND(ISNUMBER(E31),ISNUMBER(G31),ISNUMBER(F31)),(E31-G31)*IF(D31="卖",-1,1)*F31*I31,"")</f>
        <v/>
      </c>
      <c r="N31" s="38" t="str">
        <f>IF(A31="","",IFERROR(T(INDEX('交易记录'!$C$5:$C$304,MATCH(A31,'交易记录'!$A$5:$A$304,0))),"编号没找到"))</f>
        <v/>
      </c>
      <c r="O31" s="31" t="n"/>
    </row>
    <row r="32">
      <c r="A32" s="29" t="n"/>
      <c r="B32" s="30" t="n"/>
      <c r="C32" s="27" t="n"/>
      <c r="D32" s="32" t="n"/>
      <c r="E32" s="33" t="n"/>
      <c r="F32" s="36" t="n"/>
      <c r="G32" s="33" t="n"/>
      <c r="H32" s="20" t="str">
        <f>IF(AND(ISNUMBER(E32),ISNUMBER(F32)),E32*F32,"")</f>
        <v/>
      </c>
      <c r="I32" s="38" t="str">
        <f>IF(A32="","",IFERROR(IF(N(INDEX('交易记录'!$G$5:$G$304,MATCH(A32,'交易记录'!$A$5:$A$304,0)))&gt;0,INDEX('交易记录'!$G$5:$G$304,MATCH(A32,'交易记录'!$A$5:$A$304,0)),1),1))</f>
        <v/>
      </c>
      <c r="J32" s="41" t="str">
        <f>IF(ISNUMBER(H32),ROUND('参数'!$C$11+H32*I32*'参数'!$C$12+F32*'参数'!$C$13,2),"")</f>
        <v/>
      </c>
      <c r="K32" s="22" t="n"/>
      <c r="L32" s="20" t="str">
        <f>IF(ISNUMBER(K32),K32,IF(ISNUMBER(H32),J32,""))</f>
        <v/>
      </c>
      <c r="M32" s="46" t="str">
        <f>IF(AND(ISNUMBER(E32),ISNUMBER(G32),ISNUMBER(F32)),(E32-G32)*IF(D32="卖",-1,1)*F32*I32,"")</f>
        <v/>
      </c>
      <c r="N32" s="38" t="str">
        <f>IF(A32="","",IFERROR(T(INDEX('交易记录'!$C$5:$C$304,MATCH(A32,'交易记录'!$A$5:$A$304,0))),"编号没找到"))</f>
        <v/>
      </c>
      <c r="O32" s="31" t="n"/>
    </row>
    <row r="33">
      <c r="A33" s="29" t="n"/>
      <c r="B33" s="30" t="n"/>
      <c r="C33" s="27" t="n"/>
      <c r="D33" s="32" t="n"/>
      <c r="E33" s="33" t="n"/>
      <c r="F33" s="36" t="n"/>
      <c r="G33" s="33" t="n"/>
      <c r="H33" s="20" t="str">
        <f>IF(AND(ISNUMBER(E33),ISNUMBER(F33)),E33*F33,"")</f>
        <v/>
      </c>
      <c r="I33" s="38" t="str">
        <f>IF(A33="","",IFERROR(IF(N(INDEX('交易记录'!$G$5:$G$304,MATCH(A33,'交易记录'!$A$5:$A$304,0)))&gt;0,INDEX('交易记录'!$G$5:$G$304,MATCH(A33,'交易记录'!$A$5:$A$304,0)),1),1))</f>
        <v/>
      </c>
      <c r="J33" s="41" t="str">
        <f>IF(ISNUMBER(H33),ROUND('参数'!$C$11+H33*I33*'参数'!$C$12+F33*'参数'!$C$13,2),"")</f>
        <v/>
      </c>
      <c r="K33" s="22" t="n"/>
      <c r="L33" s="20" t="str">
        <f>IF(ISNUMBER(K33),K33,IF(ISNUMBER(H33),J33,""))</f>
        <v/>
      </c>
      <c r="M33" s="46" t="str">
        <f>IF(AND(ISNUMBER(E33),ISNUMBER(G33),ISNUMBER(F33)),(E33-G33)*IF(D33="卖",-1,1)*F33*I33,"")</f>
        <v/>
      </c>
      <c r="N33" s="38" t="str">
        <f>IF(A33="","",IFERROR(T(INDEX('交易记录'!$C$5:$C$304,MATCH(A33,'交易记录'!$A$5:$A$304,0))),"编号没找到"))</f>
        <v/>
      </c>
      <c r="O33" s="31" t="n"/>
    </row>
    <row r="34">
      <c r="A34" s="29" t="n"/>
      <c r="B34" s="30" t="n"/>
      <c r="C34" s="27" t="n"/>
      <c r="D34" s="32" t="n"/>
      <c r="E34" s="33" t="n"/>
      <c r="F34" s="36" t="n"/>
      <c r="G34" s="33" t="n"/>
      <c r="H34" s="20" t="str">
        <f>IF(AND(ISNUMBER(E34),ISNUMBER(F34)),E34*F34,"")</f>
        <v/>
      </c>
      <c r="I34" s="38" t="str">
        <f>IF(A34="","",IFERROR(IF(N(INDEX('交易记录'!$G$5:$G$304,MATCH(A34,'交易记录'!$A$5:$A$304,0)))&gt;0,INDEX('交易记录'!$G$5:$G$304,MATCH(A34,'交易记录'!$A$5:$A$304,0)),1),1))</f>
        <v/>
      </c>
      <c r="J34" s="41" t="str">
        <f>IF(ISNUMBER(H34),ROUND('参数'!$C$11+H34*I34*'参数'!$C$12+F34*'参数'!$C$13,2),"")</f>
        <v/>
      </c>
      <c r="K34" s="22" t="n"/>
      <c r="L34" s="20" t="str">
        <f>IF(ISNUMBER(K34),K34,IF(ISNUMBER(H34),J34,""))</f>
        <v/>
      </c>
      <c r="M34" s="46" t="str">
        <f>IF(AND(ISNUMBER(E34),ISNUMBER(G34),ISNUMBER(F34)),(E34-G34)*IF(D34="卖",-1,1)*F34*I34,"")</f>
        <v/>
      </c>
      <c r="N34" s="38" t="str">
        <f>IF(A34="","",IFERROR(T(INDEX('交易记录'!$C$5:$C$304,MATCH(A34,'交易记录'!$A$5:$A$304,0))),"编号没找到"))</f>
        <v/>
      </c>
      <c r="O34" s="31" t="n"/>
    </row>
    <row r="35">
      <c r="A35" s="29" t="n"/>
      <c r="B35" s="30" t="n"/>
      <c r="C35" s="27" t="n"/>
      <c r="D35" s="32" t="n"/>
      <c r="E35" s="33" t="n"/>
      <c r="F35" s="36" t="n"/>
      <c r="G35" s="33" t="n"/>
      <c r="H35" s="20" t="str">
        <f>IF(AND(ISNUMBER(E35),ISNUMBER(F35)),E35*F35,"")</f>
        <v/>
      </c>
      <c r="I35" s="38" t="str">
        <f>IF(A35="","",IFERROR(IF(N(INDEX('交易记录'!$G$5:$G$304,MATCH(A35,'交易记录'!$A$5:$A$304,0)))&gt;0,INDEX('交易记录'!$G$5:$G$304,MATCH(A35,'交易记录'!$A$5:$A$304,0)),1),1))</f>
        <v/>
      </c>
      <c r="J35" s="41" t="str">
        <f>IF(ISNUMBER(H35),ROUND('参数'!$C$11+H35*I35*'参数'!$C$12+F35*'参数'!$C$13,2),"")</f>
        <v/>
      </c>
      <c r="K35" s="22" t="n"/>
      <c r="L35" s="20" t="str">
        <f>IF(ISNUMBER(K35),K35,IF(ISNUMBER(H35),J35,""))</f>
        <v/>
      </c>
      <c r="M35" s="46" t="str">
        <f>IF(AND(ISNUMBER(E35),ISNUMBER(G35),ISNUMBER(F35)),(E35-G35)*IF(D35="卖",-1,1)*F35*I35,"")</f>
        <v/>
      </c>
      <c r="N35" s="38" t="str">
        <f>IF(A35="","",IFERROR(T(INDEX('交易记录'!$C$5:$C$304,MATCH(A35,'交易记录'!$A$5:$A$304,0))),"编号没找到"))</f>
        <v/>
      </c>
      <c r="O35" s="31" t="n"/>
    </row>
    <row r="36">
      <c r="A36" s="29" t="n"/>
      <c r="B36" s="30" t="n"/>
      <c r="C36" s="27" t="n"/>
      <c r="D36" s="32" t="n"/>
      <c r="E36" s="33" t="n"/>
      <c r="F36" s="36" t="n"/>
      <c r="G36" s="33" t="n"/>
      <c r="H36" s="20" t="str">
        <f>IF(AND(ISNUMBER(E36),ISNUMBER(F36)),E36*F36,"")</f>
        <v/>
      </c>
      <c r="I36" s="38" t="str">
        <f>IF(A36="","",IFERROR(IF(N(INDEX('交易记录'!$G$5:$G$304,MATCH(A36,'交易记录'!$A$5:$A$304,0)))&gt;0,INDEX('交易记录'!$G$5:$G$304,MATCH(A36,'交易记录'!$A$5:$A$304,0)),1),1))</f>
        <v/>
      </c>
      <c r="J36" s="41" t="str">
        <f>IF(ISNUMBER(H36),ROUND('参数'!$C$11+H36*I36*'参数'!$C$12+F36*'参数'!$C$13,2),"")</f>
        <v/>
      </c>
      <c r="K36" s="22" t="n"/>
      <c r="L36" s="20" t="str">
        <f>IF(ISNUMBER(K36),K36,IF(ISNUMBER(H36),J36,""))</f>
        <v/>
      </c>
      <c r="M36" s="46" t="str">
        <f>IF(AND(ISNUMBER(E36),ISNUMBER(G36),ISNUMBER(F36)),(E36-G36)*IF(D36="卖",-1,1)*F36*I36,"")</f>
        <v/>
      </c>
      <c r="N36" s="38" t="str">
        <f>IF(A36="","",IFERROR(T(INDEX('交易记录'!$C$5:$C$304,MATCH(A36,'交易记录'!$A$5:$A$304,0))),"编号没找到"))</f>
        <v/>
      </c>
      <c r="O36" s="31" t="n"/>
    </row>
    <row r="37">
      <c r="A37" s="29" t="n"/>
      <c r="B37" s="30" t="n"/>
      <c r="C37" s="27" t="n"/>
      <c r="D37" s="32" t="n"/>
      <c r="E37" s="33" t="n"/>
      <c r="F37" s="36" t="n"/>
      <c r="G37" s="33" t="n"/>
      <c r="H37" s="20" t="str">
        <f>IF(AND(ISNUMBER(E37),ISNUMBER(F37)),E37*F37,"")</f>
        <v/>
      </c>
      <c r="I37" s="38" t="str">
        <f>IF(A37="","",IFERROR(IF(N(INDEX('交易记录'!$G$5:$G$304,MATCH(A37,'交易记录'!$A$5:$A$304,0)))&gt;0,INDEX('交易记录'!$G$5:$G$304,MATCH(A37,'交易记录'!$A$5:$A$304,0)),1),1))</f>
        <v/>
      </c>
      <c r="J37" s="41" t="str">
        <f>IF(ISNUMBER(H37),ROUND('参数'!$C$11+H37*I37*'参数'!$C$12+F37*'参数'!$C$13,2),"")</f>
        <v/>
      </c>
      <c r="K37" s="22" t="n"/>
      <c r="L37" s="20" t="str">
        <f>IF(ISNUMBER(K37),K37,IF(ISNUMBER(H37),J37,""))</f>
        <v/>
      </c>
      <c r="M37" s="46" t="str">
        <f>IF(AND(ISNUMBER(E37),ISNUMBER(G37),ISNUMBER(F37)),(E37-G37)*IF(D37="卖",-1,1)*F37*I37,"")</f>
        <v/>
      </c>
      <c r="N37" s="38" t="str">
        <f>IF(A37="","",IFERROR(T(INDEX('交易记录'!$C$5:$C$304,MATCH(A37,'交易记录'!$A$5:$A$304,0))),"编号没找到"))</f>
        <v/>
      </c>
      <c r="O37" s="31" t="n"/>
    </row>
    <row r="38">
      <c r="A38" s="29" t="n"/>
      <c r="B38" s="30" t="n"/>
      <c r="C38" s="27" t="n"/>
      <c r="D38" s="32" t="n"/>
      <c r="E38" s="33" t="n"/>
      <c r="F38" s="36" t="n"/>
      <c r="G38" s="33" t="n"/>
      <c r="H38" s="20" t="str">
        <f>IF(AND(ISNUMBER(E38),ISNUMBER(F38)),E38*F38,"")</f>
        <v/>
      </c>
      <c r="I38" s="38" t="str">
        <f>IF(A38="","",IFERROR(IF(N(INDEX('交易记录'!$G$5:$G$304,MATCH(A38,'交易记录'!$A$5:$A$304,0)))&gt;0,INDEX('交易记录'!$G$5:$G$304,MATCH(A38,'交易记录'!$A$5:$A$304,0)),1),1))</f>
        <v/>
      </c>
      <c r="J38" s="41" t="str">
        <f>IF(ISNUMBER(H38),ROUND('参数'!$C$11+H38*I38*'参数'!$C$12+F38*'参数'!$C$13,2),"")</f>
        <v/>
      </c>
      <c r="K38" s="22" t="n"/>
      <c r="L38" s="20" t="str">
        <f>IF(ISNUMBER(K38),K38,IF(ISNUMBER(H38),J38,""))</f>
        <v/>
      </c>
      <c r="M38" s="46" t="str">
        <f>IF(AND(ISNUMBER(E38),ISNUMBER(G38),ISNUMBER(F38)),(E38-G38)*IF(D38="卖",-1,1)*F38*I38,"")</f>
        <v/>
      </c>
      <c r="N38" s="38" t="str">
        <f>IF(A38="","",IFERROR(T(INDEX('交易记录'!$C$5:$C$304,MATCH(A38,'交易记录'!$A$5:$A$304,0))),"编号没找到"))</f>
        <v/>
      </c>
      <c r="O38" s="31" t="n"/>
    </row>
    <row r="39">
      <c r="A39" s="29" t="n"/>
      <c r="B39" s="30" t="n"/>
      <c r="C39" s="27" t="n"/>
      <c r="D39" s="32" t="n"/>
      <c r="E39" s="33" t="n"/>
      <c r="F39" s="36" t="n"/>
      <c r="G39" s="33" t="n"/>
      <c r="H39" s="20" t="str">
        <f>IF(AND(ISNUMBER(E39),ISNUMBER(F39)),E39*F39,"")</f>
        <v/>
      </c>
      <c r="I39" s="38" t="str">
        <f>IF(A39="","",IFERROR(IF(N(INDEX('交易记录'!$G$5:$G$304,MATCH(A39,'交易记录'!$A$5:$A$304,0)))&gt;0,INDEX('交易记录'!$G$5:$G$304,MATCH(A39,'交易记录'!$A$5:$A$304,0)),1),1))</f>
        <v/>
      </c>
      <c r="J39" s="41" t="str">
        <f>IF(ISNUMBER(H39),ROUND('参数'!$C$11+H39*I39*'参数'!$C$12+F39*'参数'!$C$13,2),"")</f>
        <v/>
      </c>
      <c r="K39" s="22" t="n"/>
      <c r="L39" s="20" t="str">
        <f>IF(ISNUMBER(K39),K39,IF(ISNUMBER(H39),J39,""))</f>
        <v/>
      </c>
      <c r="M39" s="46" t="str">
        <f>IF(AND(ISNUMBER(E39),ISNUMBER(G39),ISNUMBER(F39)),(E39-G39)*IF(D39="卖",-1,1)*F39*I39,"")</f>
        <v/>
      </c>
      <c r="N39" s="38" t="str">
        <f>IF(A39="","",IFERROR(T(INDEX('交易记录'!$C$5:$C$304,MATCH(A39,'交易记录'!$A$5:$A$304,0))),"编号没找到"))</f>
        <v/>
      </c>
      <c r="O39" s="31" t="n"/>
    </row>
    <row r="40">
      <c r="A40" s="29" t="n"/>
      <c r="B40" s="30" t="n"/>
      <c r="C40" s="27" t="n"/>
      <c r="D40" s="32" t="n"/>
      <c r="E40" s="33" t="n"/>
      <c r="F40" s="36" t="n"/>
      <c r="G40" s="33" t="n"/>
      <c r="H40" s="20" t="str">
        <f>IF(AND(ISNUMBER(E40),ISNUMBER(F40)),E40*F40,"")</f>
        <v/>
      </c>
      <c r="I40" s="38" t="str">
        <f>IF(A40="","",IFERROR(IF(N(INDEX('交易记录'!$G$5:$G$304,MATCH(A40,'交易记录'!$A$5:$A$304,0)))&gt;0,INDEX('交易记录'!$G$5:$G$304,MATCH(A40,'交易记录'!$A$5:$A$304,0)),1),1))</f>
        <v/>
      </c>
      <c r="J40" s="41" t="str">
        <f>IF(ISNUMBER(H40),ROUND('参数'!$C$11+H40*I40*'参数'!$C$12+F40*'参数'!$C$13,2),"")</f>
        <v/>
      </c>
      <c r="K40" s="22" t="n"/>
      <c r="L40" s="20" t="str">
        <f>IF(ISNUMBER(K40),K40,IF(ISNUMBER(H40),J40,""))</f>
        <v/>
      </c>
      <c r="M40" s="46" t="str">
        <f>IF(AND(ISNUMBER(E40),ISNUMBER(G40),ISNUMBER(F40)),(E40-G40)*IF(D40="卖",-1,1)*F40*I40,"")</f>
        <v/>
      </c>
      <c r="N40" s="38" t="str">
        <f>IF(A40="","",IFERROR(T(INDEX('交易记录'!$C$5:$C$304,MATCH(A40,'交易记录'!$A$5:$A$304,0))),"编号没找到"))</f>
        <v/>
      </c>
      <c r="O40" s="31" t="n"/>
    </row>
    <row r="41">
      <c r="A41" s="29" t="n"/>
      <c r="B41" s="30" t="n"/>
      <c r="C41" s="27" t="n"/>
      <c r="D41" s="32" t="n"/>
      <c r="E41" s="33" t="n"/>
      <c r="F41" s="36" t="n"/>
      <c r="G41" s="33" t="n"/>
      <c r="H41" s="20" t="str">
        <f>IF(AND(ISNUMBER(E41),ISNUMBER(F41)),E41*F41,"")</f>
        <v/>
      </c>
      <c r="I41" s="38" t="str">
        <f>IF(A41="","",IFERROR(IF(N(INDEX('交易记录'!$G$5:$G$304,MATCH(A41,'交易记录'!$A$5:$A$304,0)))&gt;0,INDEX('交易记录'!$G$5:$G$304,MATCH(A41,'交易记录'!$A$5:$A$304,0)),1),1))</f>
        <v/>
      </c>
      <c r="J41" s="41" t="str">
        <f>IF(ISNUMBER(H41),ROUND('参数'!$C$11+H41*I41*'参数'!$C$12+F41*'参数'!$C$13,2),"")</f>
        <v/>
      </c>
      <c r="K41" s="22" t="n"/>
      <c r="L41" s="20" t="str">
        <f>IF(ISNUMBER(K41),K41,IF(ISNUMBER(H41),J41,""))</f>
        <v/>
      </c>
      <c r="M41" s="46" t="str">
        <f>IF(AND(ISNUMBER(E41),ISNUMBER(G41),ISNUMBER(F41)),(E41-G41)*IF(D41="卖",-1,1)*F41*I41,"")</f>
        <v/>
      </c>
      <c r="N41" s="38" t="str">
        <f>IF(A41="","",IFERROR(T(INDEX('交易记录'!$C$5:$C$304,MATCH(A41,'交易记录'!$A$5:$A$304,0))),"编号没找到"))</f>
        <v/>
      </c>
      <c r="O41" s="31" t="n"/>
    </row>
    <row r="42">
      <c r="A42" s="29" t="n"/>
      <c r="B42" s="30" t="n"/>
      <c r="C42" s="27" t="n"/>
      <c r="D42" s="32" t="n"/>
      <c r="E42" s="33" t="n"/>
      <c r="F42" s="36" t="n"/>
      <c r="G42" s="33" t="n"/>
      <c r="H42" s="20" t="str">
        <f>IF(AND(ISNUMBER(E42),ISNUMBER(F42)),E42*F42,"")</f>
        <v/>
      </c>
      <c r="I42" s="38" t="str">
        <f>IF(A42="","",IFERROR(IF(N(INDEX('交易记录'!$G$5:$G$304,MATCH(A42,'交易记录'!$A$5:$A$304,0)))&gt;0,INDEX('交易记录'!$G$5:$G$304,MATCH(A42,'交易记录'!$A$5:$A$304,0)),1),1))</f>
        <v/>
      </c>
      <c r="J42" s="41" t="str">
        <f>IF(ISNUMBER(H42),ROUND('参数'!$C$11+H42*I42*'参数'!$C$12+F42*'参数'!$C$13,2),"")</f>
        <v/>
      </c>
      <c r="K42" s="22" t="n"/>
      <c r="L42" s="20" t="str">
        <f>IF(ISNUMBER(K42),K42,IF(ISNUMBER(H42),J42,""))</f>
        <v/>
      </c>
      <c r="M42" s="46" t="str">
        <f>IF(AND(ISNUMBER(E42),ISNUMBER(G42),ISNUMBER(F42)),(E42-G42)*IF(D42="卖",-1,1)*F42*I42,"")</f>
        <v/>
      </c>
      <c r="N42" s="38" t="str">
        <f>IF(A42="","",IFERROR(T(INDEX('交易记录'!$C$5:$C$304,MATCH(A42,'交易记录'!$A$5:$A$304,0))),"编号没找到"))</f>
        <v/>
      </c>
      <c r="O42" s="31" t="n"/>
    </row>
    <row r="43">
      <c r="A43" s="29" t="n"/>
      <c r="B43" s="30" t="n"/>
      <c r="C43" s="27" t="n"/>
      <c r="D43" s="32" t="n"/>
      <c r="E43" s="33" t="n"/>
      <c r="F43" s="36" t="n"/>
      <c r="G43" s="33" t="n"/>
      <c r="H43" s="20" t="str">
        <f>IF(AND(ISNUMBER(E43),ISNUMBER(F43)),E43*F43,"")</f>
        <v/>
      </c>
      <c r="I43" s="38" t="str">
        <f>IF(A43="","",IFERROR(IF(N(INDEX('交易记录'!$G$5:$G$304,MATCH(A43,'交易记录'!$A$5:$A$304,0)))&gt;0,INDEX('交易记录'!$G$5:$G$304,MATCH(A43,'交易记录'!$A$5:$A$304,0)),1),1))</f>
        <v/>
      </c>
      <c r="J43" s="41" t="str">
        <f>IF(ISNUMBER(H43),ROUND('参数'!$C$11+H43*I43*'参数'!$C$12+F43*'参数'!$C$13,2),"")</f>
        <v/>
      </c>
      <c r="K43" s="22" t="n"/>
      <c r="L43" s="20" t="str">
        <f>IF(ISNUMBER(K43),K43,IF(ISNUMBER(H43),J43,""))</f>
        <v/>
      </c>
      <c r="M43" s="46" t="str">
        <f>IF(AND(ISNUMBER(E43),ISNUMBER(G43),ISNUMBER(F43)),(E43-G43)*IF(D43="卖",-1,1)*F43*I43,"")</f>
        <v/>
      </c>
      <c r="N43" s="38" t="str">
        <f>IF(A43="","",IFERROR(T(INDEX('交易记录'!$C$5:$C$304,MATCH(A43,'交易记录'!$A$5:$A$304,0))),"编号没找到"))</f>
        <v/>
      </c>
      <c r="O43" s="31" t="n"/>
    </row>
    <row r="44">
      <c r="A44" s="29" t="n"/>
      <c r="B44" s="30" t="n"/>
      <c r="C44" s="27" t="n"/>
      <c r="D44" s="32" t="n"/>
      <c r="E44" s="33" t="n"/>
      <c r="F44" s="36" t="n"/>
      <c r="G44" s="33" t="n"/>
      <c r="H44" s="20" t="str">
        <f>IF(AND(ISNUMBER(E44),ISNUMBER(F44)),E44*F44,"")</f>
        <v/>
      </c>
      <c r="I44" s="38" t="str">
        <f>IF(A44="","",IFERROR(IF(N(INDEX('交易记录'!$G$5:$G$304,MATCH(A44,'交易记录'!$A$5:$A$304,0)))&gt;0,INDEX('交易记录'!$G$5:$G$304,MATCH(A44,'交易记录'!$A$5:$A$304,0)),1),1))</f>
        <v/>
      </c>
      <c r="J44" s="41" t="str">
        <f>IF(ISNUMBER(H44),ROUND('参数'!$C$11+H44*I44*'参数'!$C$12+F44*'参数'!$C$13,2),"")</f>
        <v/>
      </c>
      <c r="K44" s="22" t="n"/>
      <c r="L44" s="20" t="str">
        <f>IF(ISNUMBER(K44),K44,IF(ISNUMBER(H44),J44,""))</f>
        <v/>
      </c>
      <c r="M44" s="46" t="str">
        <f>IF(AND(ISNUMBER(E44),ISNUMBER(G44),ISNUMBER(F44)),(E44-G44)*IF(D44="卖",-1,1)*F44*I44,"")</f>
        <v/>
      </c>
      <c r="N44" s="38" t="str">
        <f>IF(A44="","",IFERROR(T(INDEX('交易记录'!$C$5:$C$304,MATCH(A44,'交易记录'!$A$5:$A$304,0))),"编号没找到"))</f>
        <v/>
      </c>
      <c r="O44" s="31" t="n"/>
    </row>
    <row r="45">
      <c r="A45" s="29" t="n"/>
      <c r="B45" s="30" t="n"/>
      <c r="C45" s="27" t="n"/>
      <c r="D45" s="32" t="n"/>
      <c r="E45" s="33" t="n"/>
      <c r="F45" s="36" t="n"/>
      <c r="G45" s="33" t="n"/>
      <c r="H45" s="20" t="str">
        <f>IF(AND(ISNUMBER(E45),ISNUMBER(F45)),E45*F45,"")</f>
        <v/>
      </c>
      <c r="I45" s="38" t="str">
        <f>IF(A45="","",IFERROR(IF(N(INDEX('交易记录'!$G$5:$G$304,MATCH(A45,'交易记录'!$A$5:$A$304,0)))&gt;0,INDEX('交易记录'!$G$5:$G$304,MATCH(A45,'交易记录'!$A$5:$A$304,0)),1),1))</f>
        <v/>
      </c>
      <c r="J45" s="41" t="str">
        <f>IF(ISNUMBER(H45),ROUND('参数'!$C$11+H45*I45*'参数'!$C$12+F45*'参数'!$C$13,2),"")</f>
        <v/>
      </c>
      <c r="K45" s="22" t="n"/>
      <c r="L45" s="20" t="str">
        <f>IF(ISNUMBER(K45),K45,IF(ISNUMBER(H45),J45,""))</f>
        <v/>
      </c>
      <c r="M45" s="46" t="str">
        <f>IF(AND(ISNUMBER(E45),ISNUMBER(G45),ISNUMBER(F45)),(E45-G45)*IF(D45="卖",-1,1)*F45*I45,"")</f>
        <v/>
      </c>
      <c r="N45" s="38" t="str">
        <f>IF(A45="","",IFERROR(T(INDEX('交易记录'!$C$5:$C$304,MATCH(A45,'交易记录'!$A$5:$A$304,0))),"编号没找到"))</f>
        <v/>
      </c>
      <c r="O45" s="31" t="n"/>
    </row>
    <row r="46">
      <c r="A46" s="29" t="n"/>
      <c r="B46" s="30" t="n"/>
      <c r="C46" s="27" t="n"/>
      <c r="D46" s="32" t="n"/>
      <c r="E46" s="33" t="n"/>
      <c r="F46" s="36" t="n"/>
      <c r="G46" s="33" t="n"/>
      <c r="H46" s="20" t="str">
        <f>IF(AND(ISNUMBER(E46),ISNUMBER(F46)),E46*F46,"")</f>
        <v/>
      </c>
      <c r="I46" s="38" t="str">
        <f>IF(A46="","",IFERROR(IF(N(INDEX('交易记录'!$G$5:$G$304,MATCH(A46,'交易记录'!$A$5:$A$304,0)))&gt;0,INDEX('交易记录'!$G$5:$G$304,MATCH(A46,'交易记录'!$A$5:$A$304,0)),1),1))</f>
        <v/>
      </c>
      <c r="J46" s="41" t="str">
        <f>IF(ISNUMBER(H46),ROUND('参数'!$C$11+H46*I46*'参数'!$C$12+F46*'参数'!$C$13,2),"")</f>
        <v/>
      </c>
      <c r="K46" s="22" t="n"/>
      <c r="L46" s="20" t="str">
        <f>IF(ISNUMBER(K46),K46,IF(ISNUMBER(H46),J46,""))</f>
        <v/>
      </c>
      <c r="M46" s="46" t="str">
        <f>IF(AND(ISNUMBER(E46),ISNUMBER(G46),ISNUMBER(F46)),(E46-G46)*IF(D46="卖",-1,1)*F46*I46,"")</f>
        <v/>
      </c>
      <c r="N46" s="38" t="str">
        <f>IF(A46="","",IFERROR(T(INDEX('交易记录'!$C$5:$C$304,MATCH(A46,'交易记录'!$A$5:$A$304,0))),"编号没找到"))</f>
        <v/>
      </c>
      <c r="O46" s="31" t="n"/>
    </row>
    <row r="47">
      <c r="A47" s="29" t="n"/>
      <c r="B47" s="30" t="n"/>
      <c r="C47" s="27" t="n"/>
      <c r="D47" s="32" t="n"/>
      <c r="E47" s="33" t="n"/>
      <c r="F47" s="36" t="n"/>
      <c r="G47" s="33" t="n"/>
      <c r="H47" s="20" t="str">
        <f>IF(AND(ISNUMBER(E47),ISNUMBER(F47)),E47*F47,"")</f>
        <v/>
      </c>
      <c r="I47" s="38" t="str">
        <f>IF(A47="","",IFERROR(IF(N(INDEX('交易记录'!$G$5:$G$304,MATCH(A47,'交易记录'!$A$5:$A$304,0)))&gt;0,INDEX('交易记录'!$G$5:$G$304,MATCH(A47,'交易记录'!$A$5:$A$304,0)),1),1))</f>
        <v/>
      </c>
      <c r="J47" s="41" t="str">
        <f>IF(ISNUMBER(H47),ROUND('参数'!$C$11+H47*I47*'参数'!$C$12+F47*'参数'!$C$13,2),"")</f>
        <v/>
      </c>
      <c r="K47" s="22" t="n"/>
      <c r="L47" s="20" t="str">
        <f>IF(ISNUMBER(K47),K47,IF(ISNUMBER(H47),J47,""))</f>
        <v/>
      </c>
      <c r="M47" s="46" t="str">
        <f>IF(AND(ISNUMBER(E47),ISNUMBER(G47),ISNUMBER(F47)),(E47-G47)*IF(D47="卖",-1,1)*F47*I47,"")</f>
        <v/>
      </c>
      <c r="N47" s="38" t="str">
        <f>IF(A47="","",IFERROR(T(INDEX('交易记录'!$C$5:$C$304,MATCH(A47,'交易记录'!$A$5:$A$304,0))),"编号没找到"))</f>
        <v/>
      </c>
      <c r="O47" s="31" t="n"/>
    </row>
    <row r="48">
      <c r="A48" s="29" t="n"/>
      <c r="B48" s="30" t="n"/>
      <c r="C48" s="27" t="n"/>
      <c r="D48" s="32" t="n"/>
      <c r="E48" s="33" t="n"/>
      <c r="F48" s="36" t="n"/>
      <c r="G48" s="33" t="n"/>
      <c r="H48" s="20" t="str">
        <f>IF(AND(ISNUMBER(E48),ISNUMBER(F48)),E48*F48,"")</f>
        <v/>
      </c>
      <c r="I48" s="38" t="str">
        <f>IF(A48="","",IFERROR(IF(N(INDEX('交易记录'!$G$5:$G$304,MATCH(A48,'交易记录'!$A$5:$A$304,0)))&gt;0,INDEX('交易记录'!$G$5:$G$304,MATCH(A48,'交易记录'!$A$5:$A$304,0)),1),1))</f>
        <v/>
      </c>
      <c r="J48" s="41" t="str">
        <f>IF(ISNUMBER(H48),ROUND('参数'!$C$11+H48*I48*'参数'!$C$12+F48*'参数'!$C$13,2),"")</f>
        <v/>
      </c>
      <c r="K48" s="22" t="n"/>
      <c r="L48" s="20" t="str">
        <f>IF(ISNUMBER(K48),K48,IF(ISNUMBER(H48),J48,""))</f>
        <v/>
      </c>
      <c r="M48" s="46" t="str">
        <f>IF(AND(ISNUMBER(E48),ISNUMBER(G48),ISNUMBER(F48)),(E48-G48)*IF(D48="卖",-1,1)*F48*I48,"")</f>
        <v/>
      </c>
      <c r="N48" s="38" t="str">
        <f>IF(A48="","",IFERROR(T(INDEX('交易记录'!$C$5:$C$304,MATCH(A48,'交易记录'!$A$5:$A$304,0))),"编号没找到"))</f>
        <v/>
      </c>
      <c r="O48" s="31" t="n"/>
    </row>
    <row r="49">
      <c r="A49" s="29" t="n"/>
      <c r="B49" s="30" t="n"/>
      <c r="C49" s="27" t="n"/>
      <c r="D49" s="32" t="n"/>
      <c r="E49" s="33" t="n"/>
      <c r="F49" s="36" t="n"/>
      <c r="G49" s="33" t="n"/>
      <c r="H49" s="20" t="str">
        <f>IF(AND(ISNUMBER(E49),ISNUMBER(F49)),E49*F49,"")</f>
        <v/>
      </c>
      <c r="I49" s="38" t="str">
        <f>IF(A49="","",IFERROR(IF(N(INDEX('交易记录'!$G$5:$G$304,MATCH(A49,'交易记录'!$A$5:$A$304,0)))&gt;0,INDEX('交易记录'!$G$5:$G$304,MATCH(A49,'交易记录'!$A$5:$A$304,0)),1),1))</f>
        <v/>
      </c>
      <c r="J49" s="41" t="str">
        <f>IF(ISNUMBER(H49),ROUND('参数'!$C$11+H49*I49*'参数'!$C$12+F49*'参数'!$C$13,2),"")</f>
        <v/>
      </c>
      <c r="K49" s="22" t="n"/>
      <c r="L49" s="20" t="str">
        <f>IF(ISNUMBER(K49),K49,IF(ISNUMBER(H49),J49,""))</f>
        <v/>
      </c>
      <c r="M49" s="46" t="str">
        <f>IF(AND(ISNUMBER(E49),ISNUMBER(G49),ISNUMBER(F49)),(E49-G49)*IF(D49="卖",-1,1)*F49*I49,"")</f>
        <v/>
      </c>
      <c r="N49" s="38" t="str">
        <f>IF(A49="","",IFERROR(T(INDEX('交易记录'!$C$5:$C$304,MATCH(A49,'交易记录'!$A$5:$A$304,0))),"编号没找到"))</f>
        <v/>
      </c>
      <c r="O49" s="31" t="n"/>
    </row>
    <row r="50">
      <c r="A50" s="29" t="n"/>
      <c r="B50" s="30" t="n"/>
      <c r="C50" s="27" t="n"/>
      <c r="D50" s="32" t="n"/>
      <c r="E50" s="33" t="n"/>
      <c r="F50" s="36" t="n"/>
      <c r="G50" s="33" t="n"/>
      <c r="H50" s="20" t="str">
        <f>IF(AND(ISNUMBER(E50),ISNUMBER(F50)),E50*F50,"")</f>
        <v/>
      </c>
      <c r="I50" s="38" t="str">
        <f>IF(A50="","",IFERROR(IF(N(INDEX('交易记录'!$G$5:$G$304,MATCH(A50,'交易记录'!$A$5:$A$304,0)))&gt;0,INDEX('交易记录'!$G$5:$G$304,MATCH(A50,'交易记录'!$A$5:$A$304,0)),1),1))</f>
        <v/>
      </c>
      <c r="J50" s="41" t="str">
        <f>IF(ISNUMBER(H50),ROUND('参数'!$C$11+H50*I50*'参数'!$C$12+F50*'参数'!$C$13,2),"")</f>
        <v/>
      </c>
      <c r="K50" s="22" t="n"/>
      <c r="L50" s="20" t="str">
        <f>IF(ISNUMBER(K50),K50,IF(ISNUMBER(H50),J50,""))</f>
        <v/>
      </c>
      <c r="M50" s="46" t="str">
        <f>IF(AND(ISNUMBER(E50),ISNUMBER(G50),ISNUMBER(F50)),(E50-G50)*IF(D50="卖",-1,1)*F50*I50,"")</f>
        <v/>
      </c>
      <c r="N50" s="38" t="str">
        <f>IF(A50="","",IFERROR(T(INDEX('交易记录'!$C$5:$C$304,MATCH(A50,'交易记录'!$A$5:$A$304,0))),"编号没找到"))</f>
        <v/>
      </c>
      <c r="O50" s="31" t="n"/>
    </row>
    <row r="51">
      <c r="A51" s="29" t="n"/>
      <c r="B51" s="30" t="n"/>
      <c r="C51" s="27" t="n"/>
      <c r="D51" s="32" t="n"/>
      <c r="E51" s="33" t="n"/>
      <c r="F51" s="36" t="n"/>
      <c r="G51" s="33" t="n"/>
      <c r="H51" s="20" t="str">
        <f>IF(AND(ISNUMBER(E51),ISNUMBER(F51)),E51*F51,"")</f>
        <v/>
      </c>
      <c r="I51" s="38" t="str">
        <f>IF(A51="","",IFERROR(IF(N(INDEX('交易记录'!$G$5:$G$304,MATCH(A51,'交易记录'!$A$5:$A$304,0)))&gt;0,INDEX('交易记录'!$G$5:$G$304,MATCH(A51,'交易记录'!$A$5:$A$304,0)),1),1))</f>
        <v/>
      </c>
      <c r="J51" s="41" t="str">
        <f>IF(ISNUMBER(H51),ROUND('参数'!$C$11+H51*I51*'参数'!$C$12+F51*'参数'!$C$13,2),"")</f>
        <v/>
      </c>
      <c r="K51" s="22" t="n"/>
      <c r="L51" s="20" t="str">
        <f>IF(ISNUMBER(K51),K51,IF(ISNUMBER(H51),J51,""))</f>
        <v/>
      </c>
      <c r="M51" s="46" t="str">
        <f>IF(AND(ISNUMBER(E51),ISNUMBER(G51),ISNUMBER(F51)),(E51-G51)*IF(D51="卖",-1,1)*F51*I51,"")</f>
        <v/>
      </c>
      <c r="N51" s="38" t="str">
        <f>IF(A51="","",IFERROR(T(INDEX('交易记录'!$C$5:$C$304,MATCH(A51,'交易记录'!$A$5:$A$304,0))),"编号没找到"))</f>
        <v/>
      </c>
      <c r="O51" s="31" t="n"/>
    </row>
    <row r="52">
      <c r="A52" s="29" t="n"/>
      <c r="B52" s="30" t="n"/>
      <c r="C52" s="27" t="n"/>
      <c r="D52" s="32" t="n"/>
      <c r="E52" s="33" t="n"/>
      <c r="F52" s="36" t="n"/>
      <c r="G52" s="33" t="n"/>
      <c r="H52" s="20" t="str">
        <f>IF(AND(ISNUMBER(E52),ISNUMBER(F52)),E52*F52,"")</f>
        <v/>
      </c>
      <c r="I52" s="38" t="str">
        <f>IF(A52="","",IFERROR(IF(N(INDEX('交易记录'!$G$5:$G$304,MATCH(A52,'交易记录'!$A$5:$A$304,0)))&gt;0,INDEX('交易记录'!$G$5:$G$304,MATCH(A52,'交易记录'!$A$5:$A$304,0)),1),1))</f>
        <v/>
      </c>
      <c r="J52" s="41" t="str">
        <f>IF(ISNUMBER(H52),ROUND('参数'!$C$11+H52*I52*'参数'!$C$12+F52*'参数'!$C$13,2),"")</f>
        <v/>
      </c>
      <c r="K52" s="22" t="n"/>
      <c r="L52" s="20" t="str">
        <f>IF(ISNUMBER(K52),K52,IF(ISNUMBER(H52),J52,""))</f>
        <v/>
      </c>
      <c r="M52" s="46" t="str">
        <f>IF(AND(ISNUMBER(E52),ISNUMBER(G52),ISNUMBER(F52)),(E52-G52)*IF(D52="卖",-1,1)*F52*I52,"")</f>
        <v/>
      </c>
      <c r="N52" s="38" t="str">
        <f>IF(A52="","",IFERROR(T(INDEX('交易记录'!$C$5:$C$304,MATCH(A52,'交易记录'!$A$5:$A$304,0))),"编号没找到"))</f>
        <v/>
      </c>
      <c r="O52" s="31" t="n"/>
    </row>
    <row r="53">
      <c r="A53" s="29" t="n"/>
      <c r="B53" s="30" t="n"/>
      <c r="C53" s="27" t="n"/>
      <c r="D53" s="32" t="n"/>
      <c r="E53" s="33" t="n"/>
      <c r="F53" s="36" t="n"/>
      <c r="G53" s="33" t="n"/>
      <c r="H53" s="20" t="str">
        <f>IF(AND(ISNUMBER(E53),ISNUMBER(F53)),E53*F53,"")</f>
        <v/>
      </c>
      <c r="I53" s="38" t="str">
        <f>IF(A53="","",IFERROR(IF(N(INDEX('交易记录'!$G$5:$G$304,MATCH(A53,'交易记录'!$A$5:$A$304,0)))&gt;0,INDEX('交易记录'!$G$5:$G$304,MATCH(A53,'交易记录'!$A$5:$A$304,0)),1),1))</f>
        <v/>
      </c>
      <c r="J53" s="41" t="str">
        <f>IF(ISNUMBER(H53),ROUND('参数'!$C$11+H53*I53*'参数'!$C$12+F53*'参数'!$C$13,2),"")</f>
        <v/>
      </c>
      <c r="K53" s="22" t="n"/>
      <c r="L53" s="20" t="str">
        <f>IF(ISNUMBER(K53),K53,IF(ISNUMBER(H53),J53,""))</f>
        <v/>
      </c>
      <c r="M53" s="46" t="str">
        <f>IF(AND(ISNUMBER(E53),ISNUMBER(G53),ISNUMBER(F53)),(E53-G53)*IF(D53="卖",-1,1)*F53*I53,"")</f>
        <v/>
      </c>
      <c r="N53" s="38" t="str">
        <f>IF(A53="","",IFERROR(T(INDEX('交易记录'!$C$5:$C$304,MATCH(A53,'交易记录'!$A$5:$A$304,0))),"编号没找到"))</f>
        <v/>
      </c>
      <c r="O53" s="31" t="n"/>
    </row>
    <row r="54">
      <c r="A54" s="29" t="n"/>
      <c r="B54" s="30" t="n"/>
      <c r="C54" s="27" t="n"/>
      <c r="D54" s="32" t="n"/>
      <c r="E54" s="33" t="n"/>
      <c r="F54" s="36" t="n"/>
      <c r="G54" s="33" t="n"/>
      <c r="H54" s="20" t="str">
        <f>IF(AND(ISNUMBER(E54),ISNUMBER(F54)),E54*F54,"")</f>
        <v/>
      </c>
      <c r="I54" s="38" t="str">
        <f>IF(A54="","",IFERROR(IF(N(INDEX('交易记录'!$G$5:$G$304,MATCH(A54,'交易记录'!$A$5:$A$304,0)))&gt;0,INDEX('交易记录'!$G$5:$G$304,MATCH(A54,'交易记录'!$A$5:$A$304,0)),1),1))</f>
        <v/>
      </c>
      <c r="J54" s="41" t="str">
        <f>IF(ISNUMBER(H54),ROUND('参数'!$C$11+H54*I54*'参数'!$C$12+F54*'参数'!$C$13,2),"")</f>
        <v/>
      </c>
      <c r="K54" s="22" t="n"/>
      <c r="L54" s="20" t="str">
        <f>IF(ISNUMBER(K54),K54,IF(ISNUMBER(H54),J54,""))</f>
        <v/>
      </c>
      <c r="M54" s="46" t="str">
        <f>IF(AND(ISNUMBER(E54),ISNUMBER(G54),ISNUMBER(F54)),(E54-G54)*IF(D54="卖",-1,1)*F54*I54,"")</f>
        <v/>
      </c>
      <c r="N54" s="38" t="str">
        <f>IF(A54="","",IFERROR(T(INDEX('交易记录'!$C$5:$C$304,MATCH(A54,'交易记录'!$A$5:$A$304,0))),"编号没找到"))</f>
        <v/>
      </c>
      <c r="O54" s="31" t="n"/>
    </row>
    <row r="55">
      <c r="A55" s="29" t="n"/>
      <c r="B55" s="30" t="n"/>
      <c r="C55" s="27" t="n"/>
      <c r="D55" s="32" t="n"/>
      <c r="E55" s="33" t="n"/>
      <c r="F55" s="36" t="n"/>
      <c r="G55" s="33" t="n"/>
      <c r="H55" s="20" t="str">
        <f>IF(AND(ISNUMBER(E55),ISNUMBER(F55)),E55*F55,"")</f>
        <v/>
      </c>
      <c r="I55" s="38" t="str">
        <f>IF(A55="","",IFERROR(IF(N(INDEX('交易记录'!$G$5:$G$304,MATCH(A55,'交易记录'!$A$5:$A$304,0)))&gt;0,INDEX('交易记录'!$G$5:$G$304,MATCH(A55,'交易记录'!$A$5:$A$304,0)),1),1))</f>
        <v/>
      </c>
      <c r="J55" s="41" t="str">
        <f>IF(ISNUMBER(H55),ROUND('参数'!$C$11+H55*I55*'参数'!$C$12+F55*'参数'!$C$13,2),"")</f>
        <v/>
      </c>
      <c r="K55" s="22" t="n"/>
      <c r="L55" s="20" t="str">
        <f>IF(ISNUMBER(K55),K55,IF(ISNUMBER(H55),J55,""))</f>
        <v/>
      </c>
      <c r="M55" s="46" t="str">
        <f>IF(AND(ISNUMBER(E55),ISNUMBER(G55),ISNUMBER(F55)),(E55-G55)*IF(D55="卖",-1,1)*F55*I55,"")</f>
        <v/>
      </c>
      <c r="N55" s="38" t="str">
        <f>IF(A55="","",IFERROR(T(INDEX('交易记录'!$C$5:$C$304,MATCH(A55,'交易记录'!$A$5:$A$304,0))),"编号没找到"))</f>
        <v/>
      </c>
      <c r="O55" s="31" t="n"/>
    </row>
    <row r="56">
      <c r="A56" s="29" t="n"/>
      <c r="B56" s="30" t="n"/>
      <c r="C56" s="27" t="n"/>
      <c r="D56" s="32" t="n"/>
      <c r="E56" s="33" t="n"/>
      <c r="F56" s="36" t="n"/>
      <c r="G56" s="33" t="n"/>
      <c r="H56" s="20" t="str">
        <f>IF(AND(ISNUMBER(E56),ISNUMBER(F56)),E56*F56,"")</f>
        <v/>
      </c>
      <c r="I56" s="38" t="str">
        <f>IF(A56="","",IFERROR(IF(N(INDEX('交易记录'!$G$5:$G$304,MATCH(A56,'交易记录'!$A$5:$A$304,0)))&gt;0,INDEX('交易记录'!$G$5:$G$304,MATCH(A56,'交易记录'!$A$5:$A$304,0)),1),1))</f>
        <v/>
      </c>
      <c r="J56" s="41" t="str">
        <f>IF(ISNUMBER(H56),ROUND('参数'!$C$11+H56*I56*'参数'!$C$12+F56*'参数'!$C$13,2),"")</f>
        <v/>
      </c>
      <c r="K56" s="22" t="n"/>
      <c r="L56" s="20" t="str">
        <f>IF(ISNUMBER(K56),K56,IF(ISNUMBER(H56),J56,""))</f>
        <v/>
      </c>
      <c r="M56" s="46" t="str">
        <f>IF(AND(ISNUMBER(E56),ISNUMBER(G56),ISNUMBER(F56)),(E56-G56)*IF(D56="卖",-1,1)*F56*I56,"")</f>
        <v/>
      </c>
      <c r="N56" s="38" t="str">
        <f>IF(A56="","",IFERROR(T(INDEX('交易记录'!$C$5:$C$304,MATCH(A56,'交易记录'!$A$5:$A$304,0))),"编号没找到"))</f>
        <v/>
      </c>
      <c r="O56" s="31" t="n"/>
    </row>
    <row r="57">
      <c r="A57" s="29" t="n"/>
      <c r="B57" s="30" t="n"/>
      <c r="C57" s="27" t="n"/>
      <c r="D57" s="32" t="n"/>
      <c r="E57" s="33" t="n"/>
      <c r="F57" s="36" t="n"/>
      <c r="G57" s="33" t="n"/>
      <c r="H57" s="20" t="str">
        <f>IF(AND(ISNUMBER(E57),ISNUMBER(F57)),E57*F57,"")</f>
        <v/>
      </c>
      <c r="I57" s="38" t="str">
        <f>IF(A57="","",IFERROR(IF(N(INDEX('交易记录'!$G$5:$G$304,MATCH(A57,'交易记录'!$A$5:$A$304,0)))&gt;0,INDEX('交易记录'!$G$5:$G$304,MATCH(A57,'交易记录'!$A$5:$A$304,0)),1),1))</f>
        <v/>
      </c>
      <c r="J57" s="41" t="str">
        <f>IF(ISNUMBER(H57),ROUND('参数'!$C$11+H57*I57*'参数'!$C$12+F57*'参数'!$C$13,2),"")</f>
        <v/>
      </c>
      <c r="K57" s="22" t="n"/>
      <c r="L57" s="20" t="str">
        <f>IF(ISNUMBER(K57),K57,IF(ISNUMBER(H57),J57,""))</f>
        <v/>
      </c>
      <c r="M57" s="46" t="str">
        <f>IF(AND(ISNUMBER(E57),ISNUMBER(G57),ISNUMBER(F57)),(E57-G57)*IF(D57="卖",-1,1)*F57*I57,"")</f>
        <v/>
      </c>
      <c r="N57" s="38" t="str">
        <f>IF(A57="","",IFERROR(T(INDEX('交易记录'!$C$5:$C$304,MATCH(A57,'交易记录'!$A$5:$A$304,0))),"编号没找到"))</f>
        <v/>
      </c>
      <c r="O57" s="31" t="n"/>
    </row>
    <row r="58">
      <c r="A58" s="29" t="n"/>
      <c r="B58" s="30" t="n"/>
      <c r="C58" s="27" t="n"/>
      <c r="D58" s="32" t="n"/>
      <c r="E58" s="33" t="n"/>
      <c r="F58" s="36" t="n"/>
      <c r="G58" s="33" t="n"/>
      <c r="H58" s="20" t="str">
        <f>IF(AND(ISNUMBER(E58),ISNUMBER(F58)),E58*F58,"")</f>
        <v/>
      </c>
      <c r="I58" s="38" t="str">
        <f>IF(A58="","",IFERROR(IF(N(INDEX('交易记录'!$G$5:$G$304,MATCH(A58,'交易记录'!$A$5:$A$304,0)))&gt;0,INDEX('交易记录'!$G$5:$G$304,MATCH(A58,'交易记录'!$A$5:$A$304,0)),1),1))</f>
        <v/>
      </c>
      <c r="J58" s="41" t="str">
        <f>IF(ISNUMBER(H58),ROUND('参数'!$C$11+H58*I58*'参数'!$C$12+F58*'参数'!$C$13,2),"")</f>
        <v/>
      </c>
      <c r="K58" s="22" t="n"/>
      <c r="L58" s="20" t="str">
        <f>IF(ISNUMBER(K58),K58,IF(ISNUMBER(H58),J58,""))</f>
        <v/>
      </c>
      <c r="M58" s="46" t="str">
        <f>IF(AND(ISNUMBER(E58),ISNUMBER(G58),ISNUMBER(F58)),(E58-G58)*IF(D58="卖",-1,1)*F58*I58,"")</f>
        <v/>
      </c>
      <c r="N58" s="38" t="str">
        <f>IF(A58="","",IFERROR(T(INDEX('交易记录'!$C$5:$C$304,MATCH(A58,'交易记录'!$A$5:$A$304,0))),"编号没找到"))</f>
        <v/>
      </c>
      <c r="O58" s="31" t="n"/>
    </row>
    <row r="59">
      <c r="A59" s="29" t="n"/>
      <c r="B59" s="30" t="n"/>
      <c r="C59" s="27" t="n"/>
      <c r="D59" s="32" t="n"/>
      <c r="E59" s="33" t="n"/>
      <c r="F59" s="36" t="n"/>
      <c r="G59" s="33" t="n"/>
      <c r="H59" s="20" t="str">
        <f>IF(AND(ISNUMBER(E59),ISNUMBER(F59)),E59*F59,"")</f>
        <v/>
      </c>
      <c r="I59" s="38" t="str">
        <f>IF(A59="","",IFERROR(IF(N(INDEX('交易记录'!$G$5:$G$304,MATCH(A59,'交易记录'!$A$5:$A$304,0)))&gt;0,INDEX('交易记录'!$G$5:$G$304,MATCH(A59,'交易记录'!$A$5:$A$304,0)),1),1))</f>
        <v/>
      </c>
      <c r="J59" s="41" t="str">
        <f>IF(ISNUMBER(H59),ROUND('参数'!$C$11+H59*I59*'参数'!$C$12+F59*'参数'!$C$13,2),"")</f>
        <v/>
      </c>
      <c r="K59" s="22" t="n"/>
      <c r="L59" s="20" t="str">
        <f>IF(ISNUMBER(K59),K59,IF(ISNUMBER(H59),J59,""))</f>
        <v/>
      </c>
      <c r="M59" s="46" t="str">
        <f>IF(AND(ISNUMBER(E59),ISNUMBER(G59),ISNUMBER(F59)),(E59-G59)*IF(D59="卖",-1,1)*F59*I59,"")</f>
        <v/>
      </c>
      <c r="N59" s="38" t="str">
        <f>IF(A59="","",IFERROR(T(INDEX('交易记录'!$C$5:$C$304,MATCH(A59,'交易记录'!$A$5:$A$304,0))),"编号没找到"))</f>
        <v/>
      </c>
      <c r="O59" s="31" t="n"/>
    </row>
    <row r="60">
      <c r="A60" s="29" t="n"/>
      <c r="B60" s="30" t="n"/>
      <c r="C60" s="27" t="n"/>
      <c r="D60" s="32" t="n"/>
      <c r="E60" s="33" t="n"/>
      <c r="F60" s="36" t="n"/>
      <c r="G60" s="33" t="n"/>
      <c r="H60" s="20" t="str">
        <f>IF(AND(ISNUMBER(E60),ISNUMBER(F60)),E60*F60,"")</f>
        <v/>
      </c>
      <c r="I60" s="38" t="str">
        <f>IF(A60="","",IFERROR(IF(N(INDEX('交易记录'!$G$5:$G$304,MATCH(A60,'交易记录'!$A$5:$A$304,0)))&gt;0,INDEX('交易记录'!$G$5:$G$304,MATCH(A60,'交易记录'!$A$5:$A$304,0)),1),1))</f>
        <v/>
      </c>
      <c r="J60" s="41" t="str">
        <f>IF(ISNUMBER(H60),ROUND('参数'!$C$11+H60*I60*'参数'!$C$12+F60*'参数'!$C$13,2),"")</f>
        <v/>
      </c>
      <c r="K60" s="22" t="n"/>
      <c r="L60" s="20" t="str">
        <f>IF(ISNUMBER(K60),K60,IF(ISNUMBER(H60),J60,""))</f>
        <v/>
      </c>
      <c r="M60" s="46" t="str">
        <f>IF(AND(ISNUMBER(E60),ISNUMBER(G60),ISNUMBER(F60)),(E60-G60)*IF(D60="卖",-1,1)*F60*I60,"")</f>
        <v/>
      </c>
      <c r="N60" s="38" t="str">
        <f>IF(A60="","",IFERROR(T(INDEX('交易记录'!$C$5:$C$304,MATCH(A60,'交易记录'!$A$5:$A$304,0))),"编号没找到"))</f>
        <v/>
      </c>
      <c r="O60" s="31" t="n"/>
    </row>
    <row r="61">
      <c r="A61" s="29" t="n"/>
      <c r="B61" s="30" t="n"/>
      <c r="C61" s="27" t="n"/>
      <c r="D61" s="32" t="n"/>
      <c r="E61" s="33" t="n"/>
      <c r="F61" s="36" t="n"/>
      <c r="G61" s="33" t="n"/>
      <c r="H61" s="20" t="str">
        <f>IF(AND(ISNUMBER(E61),ISNUMBER(F61)),E61*F61,"")</f>
        <v/>
      </c>
      <c r="I61" s="38" t="str">
        <f>IF(A61="","",IFERROR(IF(N(INDEX('交易记录'!$G$5:$G$304,MATCH(A61,'交易记录'!$A$5:$A$304,0)))&gt;0,INDEX('交易记录'!$G$5:$G$304,MATCH(A61,'交易记录'!$A$5:$A$304,0)),1),1))</f>
        <v/>
      </c>
      <c r="J61" s="41" t="str">
        <f>IF(ISNUMBER(H61),ROUND('参数'!$C$11+H61*I61*'参数'!$C$12+F61*'参数'!$C$13,2),"")</f>
        <v/>
      </c>
      <c r="K61" s="22" t="n"/>
      <c r="L61" s="20" t="str">
        <f>IF(ISNUMBER(K61),K61,IF(ISNUMBER(H61),J61,""))</f>
        <v/>
      </c>
      <c r="M61" s="46" t="str">
        <f>IF(AND(ISNUMBER(E61),ISNUMBER(G61),ISNUMBER(F61)),(E61-G61)*IF(D61="卖",-1,1)*F61*I61,"")</f>
        <v/>
      </c>
      <c r="N61" s="38" t="str">
        <f>IF(A61="","",IFERROR(T(INDEX('交易记录'!$C$5:$C$304,MATCH(A61,'交易记录'!$A$5:$A$304,0))),"编号没找到"))</f>
        <v/>
      </c>
      <c r="O61" s="31" t="n"/>
    </row>
    <row r="62">
      <c r="A62" s="29" t="n"/>
      <c r="B62" s="30" t="n"/>
      <c r="C62" s="27" t="n"/>
      <c r="D62" s="32" t="n"/>
      <c r="E62" s="33" t="n"/>
      <c r="F62" s="36" t="n"/>
      <c r="G62" s="33" t="n"/>
      <c r="H62" s="20" t="str">
        <f>IF(AND(ISNUMBER(E62),ISNUMBER(F62)),E62*F62,"")</f>
        <v/>
      </c>
      <c r="I62" s="38" t="str">
        <f>IF(A62="","",IFERROR(IF(N(INDEX('交易记录'!$G$5:$G$304,MATCH(A62,'交易记录'!$A$5:$A$304,0)))&gt;0,INDEX('交易记录'!$G$5:$G$304,MATCH(A62,'交易记录'!$A$5:$A$304,0)),1),1))</f>
        <v/>
      </c>
      <c r="J62" s="41" t="str">
        <f>IF(ISNUMBER(H62),ROUND('参数'!$C$11+H62*I62*'参数'!$C$12+F62*'参数'!$C$13,2),"")</f>
        <v/>
      </c>
      <c r="K62" s="22" t="n"/>
      <c r="L62" s="20" t="str">
        <f>IF(ISNUMBER(K62),K62,IF(ISNUMBER(H62),J62,""))</f>
        <v/>
      </c>
      <c r="M62" s="46" t="str">
        <f>IF(AND(ISNUMBER(E62),ISNUMBER(G62),ISNUMBER(F62)),(E62-G62)*IF(D62="卖",-1,1)*F62*I62,"")</f>
        <v/>
      </c>
      <c r="N62" s="38" t="str">
        <f>IF(A62="","",IFERROR(T(INDEX('交易记录'!$C$5:$C$304,MATCH(A62,'交易记录'!$A$5:$A$304,0))),"编号没找到"))</f>
        <v/>
      </c>
      <c r="O62" s="31" t="n"/>
    </row>
    <row r="63">
      <c r="A63" s="29" t="n"/>
      <c r="B63" s="30" t="n"/>
      <c r="C63" s="27" t="n"/>
      <c r="D63" s="32" t="n"/>
      <c r="E63" s="33" t="n"/>
      <c r="F63" s="36" t="n"/>
      <c r="G63" s="33" t="n"/>
      <c r="H63" s="20" t="str">
        <f>IF(AND(ISNUMBER(E63),ISNUMBER(F63)),E63*F63,"")</f>
        <v/>
      </c>
      <c r="I63" s="38" t="str">
        <f>IF(A63="","",IFERROR(IF(N(INDEX('交易记录'!$G$5:$G$304,MATCH(A63,'交易记录'!$A$5:$A$304,0)))&gt;0,INDEX('交易记录'!$G$5:$G$304,MATCH(A63,'交易记录'!$A$5:$A$304,0)),1),1))</f>
        <v/>
      </c>
      <c r="J63" s="41" t="str">
        <f>IF(ISNUMBER(H63),ROUND('参数'!$C$11+H63*I63*'参数'!$C$12+F63*'参数'!$C$13,2),"")</f>
        <v/>
      </c>
      <c r="K63" s="22" t="n"/>
      <c r="L63" s="20" t="str">
        <f>IF(ISNUMBER(K63),K63,IF(ISNUMBER(H63),J63,""))</f>
        <v/>
      </c>
      <c r="M63" s="46" t="str">
        <f>IF(AND(ISNUMBER(E63),ISNUMBER(G63),ISNUMBER(F63)),(E63-G63)*IF(D63="卖",-1,1)*F63*I63,"")</f>
        <v/>
      </c>
      <c r="N63" s="38" t="str">
        <f>IF(A63="","",IFERROR(T(INDEX('交易记录'!$C$5:$C$304,MATCH(A63,'交易记录'!$A$5:$A$304,0))),"编号没找到"))</f>
        <v/>
      </c>
      <c r="O63" s="31" t="n"/>
    </row>
    <row r="64">
      <c r="A64" s="29" t="n"/>
      <c r="B64" s="30" t="n"/>
      <c r="C64" s="27" t="n"/>
      <c r="D64" s="32" t="n"/>
      <c r="E64" s="33" t="n"/>
      <c r="F64" s="36" t="n"/>
      <c r="G64" s="33" t="n"/>
      <c r="H64" s="20" t="str">
        <f>IF(AND(ISNUMBER(E64),ISNUMBER(F64)),E64*F64,"")</f>
        <v/>
      </c>
      <c r="I64" s="38" t="str">
        <f>IF(A64="","",IFERROR(IF(N(INDEX('交易记录'!$G$5:$G$304,MATCH(A64,'交易记录'!$A$5:$A$304,0)))&gt;0,INDEX('交易记录'!$G$5:$G$304,MATCH(A64,'交易记录'!$A$5:$A$304,0)),1),1))</f>
        <v/>
      </c>
      <c r="J64" s="41" t="str">
        <f>IF(ISNUMBER(H64),ROUND('参数'!$C$11+H64*I64*'参数'!$C$12+F64*'参数'!$C$13,2),"")</f>
        <v/>
      </c>
      <c r="K64" s="22" t="n"/>
      <c r="L64" s="20" t="str">
        <f>IF(ISNUMBER(K64),K64,IF(ISNUMBER(H64),J64,""))</f>
        <v/>
      </c>
      <c r="M64" s="46" t="str">
        <f>IF(AND(ISNUMBER(E64),ISNUMBER(G64),ISNUMBER(F64)),(E64-G64)*IF(D64="卖",-1,1)*F64*I64,"")</f>
        <v/>
      </c>
      <c r="N64" s="38" t="str">
        <f>IF(A64="","",IFERROR(T(INDEX('交易记录'!$C$5:$C$304,MATCH(A64,'交易记录'!$A$5:$A$304,0))),"编号没找到"))</f>
        <v/>
      </c>
      <c r="O64" s="31" t="n"/>
    </row>
    <row r="65">
      <c r="A65" s="29" t="n"/>
      <c r="B65" s="30" t="n"/>
      <c r="C65" s="27" t="n"/>
      <c r="D65" s="32" t="n"/>
      <c r="E65" s="33" t="n"/>
      <c r="F65" s="36" t="n"/>
      <c r="G65" s="33" t="n"/>
      <c r="H65" s="20" t="str">
        <f>IF(AND(ISNUMBER(E65),ISNUMBER(F65)),E65*F65,"")</f>
        <v/>
      </c>
      <c r="I65" s="38" t="str">
        <f>IF(A65="","",IFERROR(IF(N(INDEX('交易记录'!$G$5:$G$304,MATCH(A65,'交易记录'!$A$5:$A$304,0)))&gt;0,INDEX('交易记录'!$G$5:$G$304,MATCH(A65,'交易记录'!$A$5:$A$304,0)),1),1))</f>
        <v/>
      </c>
      <c r="J65" s="41" t="str">
        <f>IF(ISNUMBER(H65),ROUND('参数'!$C$11+H65*I65*'参数'!$C$12+F65*'参数'!$C$13,2),"")</f>
        <v/>
      </c>
      <c r="K65" s="22" t="n"/>
      <c r="L65" s="20" t="str">
        <f>IF(ISNUMBER(K65),K65,IF(ISNUMBER(H65),J65,""))</f>
        <v/>
      </c>
      <c r="M65" s="46" t="str">
        <f>IF(AND(ISNUMBER(E65),ISNUMBER(G65),ISNUMBER(F65)),(E65-G65)*IF(D65="卖",-1,1)*F65*I65,"")</f>
        <v/>
      </c>
      <c r="N65" s="38" t="str">
        <f>IF(A65="","",IFERROR(T(INDEX('交易记录'!$C$5:$C$304,MATCH(A65,'交易记录'!$A$5:$A$304,0))),"编号没找到"))</f>
        <v/>
      </c>
      <c r="O65" s="31" t="n"/>
    </row>
    <row r="66">
      <c r="A66" s="29" t="n"/>
      <c r="B66" s="30" t="n"/>
      <c r="C66" s="27" t="n"/>
      <c r="D66" s="32" t="n"/>
      <c r="E66" s="33" t="n"/>
      <c r="F66" s="36" t="n"/>
      <c r="G66" s="33" t="n"/>
      <c r="H66" s="20" t="str">
        <f>IF(AND(ISNUMBER(E66),ISNUMBER(F66)),E66*F66,"")</f>
        <v/>
      </c>
      <c r="I66" s="38" t="str">
        <f>IF(A66="","",IFERROR(IF(N(INDEX('交易记录'!$G$5:$G$304,MATCH(A66,'交易记录'!$A$5:$A$304,0)))&gt;0,INDEX('交易记录'!$G$5:$G$304,MATCH(A66,'交易记录'!$A$5:$A$304,0)),1),1))</f>
        <v/>
      </c>
      <c r="J66" s="41" t="str">
        <f>IF(ISNUMBER(H66),ROUND('参数'!$C$11+H66*I66*'参数'!$C$12+F66*'参数'!$C$13,2),"")</f>
        <v/>
      </c>
      <c r="K66" s="22" t="n"/>
      <c r="L66" s="20" t="str">
        <f>IF(ISNUMBER(K66),K66,IF(ISNUMBER(H66),J66,""))</f>
        <v/>
      </c>
      <c r="M66" s="46" t="str">
        <f>IF(AND(ISNUMBER(E66),ISNUMBER(G66),ISNUMBER(F66)),(E66-G66)*IF(D66="卖",-1,1)*F66*I66,"")</f>
        <v/>
      </c>
      <c r="N66" s="38" t="str">
        <f>IF(A66="","",IFERROR(T(INDEX('交易记录'!$C$5:$C$304,MATCH(A66,'交易记录'!$A$5:$A$304,0))),"编号没找到"))</f>
        <v/>
      </c>
      <c r="O66" s="31" t="n"/>
    </row>
    <row r="67">
      <c r="A67" s="29" t="n"/>
      <c r="B67" s="30" t="n"/>
      <c r="C67" s="27" t="n"/>
      <c r="D67" s="32" t="n"/>
      <c r="E67" s="33" t="n"/>
      <c r="F67" s="36" t="n"/>
      <c r="G67" s="33" t="n"/>
      <c r="H67" s="20" t="str">
        <f>IF(AND(ISNUMBER(E67),ISNUMBER(F67)),E67*F67,"")</f>
        <v/>
      </c>
      <c r="I67" s="38" t="str">
        <f>IF(A67="","",IFERROR(IF(N(INDEX('交易记录'!$G$5:$G$304,MATCH(A67,'交易记录'!$A$5:$A$304,0)))&gt;0,INDEX('交易记录'!$G$5:$G$304,MATCH(A67,'交易记录'!$A$5:$A$304,0)),1),1))</f>
        <v/>
      </c>
      <c r="J67" s="41" t="str">
        <f>IF(ISNUMBER(H67),ROUND('参数'!$C$11+H67*I67*'参数'!$C$12+F67*'参数'!$C$13,2),"")</f>
        <v/>
      </c>
      <c r="K67" s="22" t="n"/>
      <c r="L67" s="20" t="str">
        <f>IF(ISNUMBER(K67),K67,IF(ISNUMBER(H67),J67,""))</f>
        <v/>
      </c>
      <c r="M67" s="46" t="str">
        <f>IF(AND(ISNUMBER(E67),ISNUMBER(G67),ISNUMBER(F67)),(E67-G67)*IF(D67="卖",-1,1)*F67*I67,"")</f>
        <v/>
      </c>
      <c r="N67" s="38" t="str">
        <f>IF(A67="","",IFERROR(T(INDEX('交易记录'!$C$5:$C$304,MATCH(A67,'交易记录'!$A$5:$A$304,0))),"编号没找到"))</f>
        <v/>
      </c>
      <c r="O67" s="31" t="n"/>
    </row>
    <row r="68">
      <c r="A68" s="29" t="n"/>
      <c r="B68" s="30" t="n"/>
      <c r="C68" s="27" t="n"/>
      <c r="D68" s="32" t="n"/>
      <c r="E68" s="33" t="n"/>
      <c r="F68" s="36" t="n"/>
      <c r="G68" s="33" t="n"/>
      <c r="H68" s="20" t="str">
        <f>IF(AND(ISNUMBER(E68),ISNUMBER(F68)),E68*F68,"")</f>
        <v/>
      </c>
      <c r="I68" s="38" t="str">
        <f>IF(A68="","",IFERROR(IF(N(INDEX('交易记录'!$G$5:$G$304,MATCH(A68,'交易记录'!$A$5:$A$304,0)))&gt;0,INDEX('交易记录'!$G$5:$G$304,MATCH(A68,'交易记录'!$A$5:$A$304,0)),1),1))</f>
        <v/>
      </c>
      <c r="J68" s="41" t="str">
        <f>IF(ISNUMBER(H68),ROUND('参数'!$C$11+H68*I68*'参数'!$C$12+F68*'参数'!$C$13,2),"")</f>
        <v/>
      </c>
      <c r="K68" s="22" t="n"/>
      <c r="L68" s="20" t="str">
        <f>IF(ISNUMBER(K68),K68,IF(ISNUMBER(H68),J68,""))</f>
        <v/>
      </c>
      <c r="M68" s="46" t="str">
        <f>IF(AND(ISNUMBER(E68),ISNUMBER(G68),ISNUMBER(F68)),(E68-G68)*IF(D68="卖",-1,1)*F68*I68,"")</f>
        <v/>
      </c>
      <c r="N68" s="38" t="str">
        <f>IF(A68="","",IFERROR(T(INDEX('交易记录'!$C$5:$C$304,MATCH(A68,'交易记录'!$A$5:$A$304,0))),"编号没找到"))</f>
        <v/>
      </c>
      <c r="O68" s="31" t="n"/>
    </row>
    <row r="69">
      <c r="A69" s="29" t="n"/>
      <c r="B69" s="30" t="n"/>
      <c r="C69" s="27" t="n"/>
      <c r="D69" s="32" t="n"/>
      <c r="E69" s="33" t="n"/>
      <c r="F69" s="36" t="n"/>
      <c r="G69" s="33" t="n"/>
      <c r="H69" s="20" t="str">
        <f>IF(AND(ISNUMBER(E69),ISNUMBER(F69)),E69*F69,"")</f>
        <v/>
      </c>
      <c r="I69" s="38" t="str">
        <f>IF(A69="","",IFERROR(IF(N(INDEX('交易记录'!$G$5:$G$304,MATCH(A69,'交易记录'!$A$5:$A$304,0)))&gt;0,INDEX('交易记录'!$G$5:$G$304,MATCH(A69,'交易记录'!$A$5:$A$304,0)),1),1))</f>
        <v/>
      </c>
      <c r="J69" s="41" t="str">
        <f>IF(ISNUMBER(H69),ROUND('参数'!$C$11+H69*I69*'参数'!$C$12+F69*'参数'!$C$13,2),"")</f>
        <v/>
      </c>
      <c r="K69" s="22" t="n"/>
      <c r="L69" s="20" t="str">
        <f>IF(ISNUMBER(K69),K69,IF(ISNUMBER(H69),J69,""))</f>
        <v/>
      </c>
      <c r="M69" s="46" t="str">
        <f>IF(AND(ISNUMBER(E69),ISNUMBER(G69),ISNUMBER(F69)),(E69-G69)*IF(D69="卖",-1,1)*F69*I69,"")</f>
        <v/>
      </c>
      <c r="N69" s="38" t="str">
        <f>IF(A69="","",IFERROR(T(INDEX('交易记录'!$C$5:$C$304,MATCH(A69,'交易记录'!$A$5:$A$304,0))),"编号没找到"))</f>
        <v/>
      </c>
      <c r="O69" s="31" t="n"/>
    </row>
    <row r="70">
      <c r="A70" s="29" t="n"/>
      <c r="B70" s="30" t="n"/>
      <c r="C70" s="27" t="n"/>
      <c r="D70" s="32" t="n"/>
      <c r="E70" s="33" t="n"/>
      <c r="F70" s="36" t="n"/>
      <c r="G70" s="33" t="n"/>
      <c r="H70" s="20" t="str">
        <f>IF(AND(ISNUMBER(E70),ISNUMBER(F70)),E70*F70,"")</f>
        <v/>
      </c>
      <c r="I70" s="38" t="str">
        <f>IF(A70="","",IFERROR(IF(N(INDEX('交易记录'!$G$5:$G$304,MATCH(A70,'交易记录'!$A$5:$A$304,0)))&gt;0,INDEX('交易记录'!$G$5:$G$304,MATCH(A70,'交易记录'!$A$5:$A$304,0)),1),1))</f>
        <v/>
      </c>
      <c r="J70" s="41" t="str">
        <f>IF(ISNUMBER(H70),ROUND('参数'!$C$11+H70*I70*'参数'!$C$12+F70*'参数'!$C$13,2),"")</f>
        <v/>
      </c>
      <c r="K70" s="22" t="n"/>
      <c r="L70" s="20" t="str">
        <f>IF(ISNUMBER(K70),K70,IF(ISNUMBER(H70),J70,""))</f>
        <v/>
      </c>
      <c r="M70" s="46" t="str">
        <f>IF(AND(ISNUMBER(E70),ISNUMBER(G70),ISNUMBER(F70)),(E70-G70)*IF(D70="卖",-1,1)*F70*I70,"")</f>
        <v/>
      </c>
      <c r="N70" s="38" t="str">
        <f>IF(A70="","",IFERROR(T(INDEX('交易记录'!$C$5:$C$304,MATCH(A70,'交易记录'!$A$5:$A$304,0))),"编号没找到"))</f>
        <v/>
      </c>
      <c r="O70" s="31" t="n"/>
    </row>
    <row r="71">
      <c r="A71" s="29" t="n"/>
      <c r="B71" s="30" t="n"/>
      <c r="C71" s="27" t="n"/>
      <c r="D71" s="32" t="n"/>
      <c r="E71" s="33" t="n"/>
      <c r="F71" s="36" t="n"/>
      <c r="G71" s="33" t="n"/>
      <c r="H71" s="20" t="str">
        <f>IF(AND(ISNUMBER(E71),ISNUMBER(F71)),E71*F71,"")</f>
        <v/>
      </c>
      <c r="I71" s="38" t="str">
        <f>IF(A71="","",IFERROR(IF(N(INDEX('交易记录'!$G$5:$G$304,MATCH(A71,'交易记录'!$A$5:$A$304,0)))&gt;0,INDEX('交易记录'!$G$5:$G$304,MATCH(A71,'交易记录'!$A$5:$A$304,0)),1),1))</f>
        <v/>
      </c>
      <c r="J71" s="41" t="str">
        <f>IF(ISNUMBER(H71),ROUND('参数'!$C$11+H71*I71*'参数'!$C$12+F71*'参数'!$C$13,2),"")</f>
        <v/>
      </c>
      <c r="K71" s="22" t="n"/>
      <c r="L71" s="20" t="str">
        <f>IF(ISNUMBER(K71),K71,IF(ISNUMBER(H71),J71,""))</f>
        <v/>
      </c>
      <c r="M71" s="46" t="str">
        <f>IF(AND(ISNUMBER(E71),ISNUMBER(G71),ISNUMBER(F71)),(E71-G71)*IF(D71="卖",-1,1)*F71*I71,"")</f>
        <v/>
      </c>
      <c r="N71" s="38" t="str">
        <f>IF(A71="","",IFERROR(T(INDEX('交易记录'!$C$5:$C$304,MATCH(A71,'交易记录'!$A$5:$A$304,0))),"编号没找到"))</f>
        <v/>
      </c>
      <c r="O71" s="31" t="n"/>
    </row>
    <row r="72">
      <c r="A72" s="29" t="n"/>
      <c r="B72" s="30" t="n"/>
      <c r="C72" s="27" t="n"/>
      <c r="D72" s="32" t="n"/>
      <c r="E72" s="33" t="n"/>
      <c r="F72" s="36" t="n"/>
      <c r="G72" s="33" t="n"/>
      <c r="H72" s="20" t="str">
        <f>IF(AND(ISNUMBER(E72),ISNUMBER(F72)),E72*F72,"")</f>
        <v/>
      </c>
      <c r="I72" s="38" t="str">
        <f>IF(A72="","",IFERROR(IF(N(INDEX('交易记录'!$G$5:$G$304,MATCH(A72,'交易记录'!$A$5:$A$304,0)))&gt;0,INDEX('交易记录'!$G$5:$G$304,MATCH(A72,'交易记录'!$A$5:$A$304,0)),1),1))</f>
        <v/>
      </c>
      <c r="J72" s="41" t="str">
        <f>IF(ISNUMBER(H72),ROUND('参数'!$C$11+H72*I72*'参数'!$C$12+F72*'参数'!$C$13,2),"")</f>
        <v/>
      </c>
      <c r="K72" s="22" t="n"/>
      <c r="L72" s="20" t="str">
        <f>IF(ISNUMBER(K72),K72,IF(ISNUMBER(H72),J72,""))</f>
        <v/>
      </c>
      <c r="M72" s="46" t="str">
        <f>IF(AND(ISNUMBER(E72),ISNUMBER(G72),ISNUMBER(F72)),(E72-G72)*IF(D72="卖",-1,1)*F72*I72,"")</f>
        <v/>
      </c>
      <c r="N72" s="38" t="str">
        <f>IF(A72="","",IFERROR(T(INDEX('交易记录'!$C$5:$C$304,MATCH(A72,'交易记录'!$A$5:$A$304,0))),"编号没找到"))</f>
        <v/>
      </c>
      <c r="O72" s="31" t="n"/>
    </row>
    <row r="73">
      <c r="A73" s="29" t="n"/>
      <c r="B73" s="30" t="n"/>
      <c r="C73" s="27" t="n"/>
      <c r="D73" s="32" t="n"/>
      <c r="E73" s="33" t="n"/>
      <c r="F73" s="36" t="n"/>
      <c r="G73" s="33" t="n"/>
      <c r="H73" s="20" t="str">
        <f>IF(AND(ISNUMBER(E73),ISNUMBER(F73)),E73*F73,"")</f>
        <v/>
      </c>
      <c r="I73" s="38" t="str">
        <f>IF(A73="","",IFERROR(IF(N(INDEX('交易记录'!$G$5:$G$304,MATCH(A73,'交易记录'!$A$5:$A$304,0)))&gt;0,INDEX('交易记录'!$G$5:$G$304,MATCH(A73,'交易记录'!$A$5:$A$304,0)),1),1))</f>
        <v/>
      </c>
      <c r="J73" s="41" t="str">
        <f>IF(ISNUMBER(H73),ROUND('参数'!$C$11+H73*I73*'参数'!$C$12+F73*'参数'!$C$13,2),"")</f>
        <v/>
      </c>
      <c r="K73" s="22" t="n"/>
      <c r="L73" s="20" t="str">
        <f>IF(ISNUMBER(K73),K73,IF(ISNUMBER(H73),J73,""))</f>
        <v/>
      </c>
      <c r="M73" s="46" t="str">
        <f>IF(AND(ISNUMBER(E73),ISNUMBER(G73),ISNUMBER(F73)),(E73-G73)*IF(D73="卖",-1,1)*F73*I73,"")</f>
        <v/>
      </c>
      <c r="N73" s="38" t="str">
        <f>IF(A73="","",IFERROR(T(INDEX('交易记录'!$C$5:$C$304,MATCH(A73,'交易记录'!$A$5:$A$304,0))),"编号没找到"))</f>
        <v/>
      </c>
      <c r="O73" s="31" t="n"/>
    </row>
    <row r="74">
      <c r="A74" s="29" t="n"/>
      <c r="B74" s="30" t="n"/>
      <c r="C74" s="27" t="n"/>
      <c r="D74" s="32" t="n"/>
      <c r="E74" s="33" t="n"/>
      <c r="F74" s="36" t="n"/>
      <c r="G74" s="33" t="n"/>
      <c r="H74" s="20" t="str">
        <f>IF(AND(ISNUMBER(E74),ISNUMBER(F74)),E74*F74,"")</f>
        <v/>
      </c>
      <c r="I74" s="38" t="str">
        <f>IF(A74="","",IFERROR(IF(N(INDEX('交易记录'!$G$5:$G$304,MATCH(A74,'交易记录'!$A$5:$A$304,0)))&gt;0,INDEX('交易记录'!$G$5:$G$304,MATCH(A74,'交易记录'!$A$5:$A$304,0)),1),1))</f>
        <v/>
      </c>
      <c r="J74" s="41" t="str">
        <f>IF(ISNUMBER(H74),ROUND('参数'!$C$11+H74*I74*'参数'!$C$12+F74*'参数'!$C$13,2),"")</f>
        <v/>
      </c>
      <c r="K74" s="22" t="n"/>
      <c r="L74" s="20" t="str">
        <f>IF(ISNUMBER(K74),K74,IF(ISNUMBER(H74),J74,""))</f>
        <v/>
      </c>
      <c r="M74" s="46" t="str">
        <f>IF(AND(ISNUMBER(E74),ISNUMBER(G74),ISNUMBER(F74)),(E74-G74)*IF(D74="卖",-1,1)*F74*I74,"")</f>
        <v/>
      </c>
      <c r="N74" s="38" t="str">
        <f>IF(A74="","",IFERROR(T(INDEX('交易记录'!$C$5:$C$304,MATCH(A74,'交易记录'!$A$5:$A$304,0))),"编号没找到"))</f>
        <v/>
      </c>
      <c r="O74" s="31" t="n"/>
    </row>
    <row r="75">
      <c r="A75" s="29" t="n"/>
      <c r="B75" s="30" t="n"/>
      <c r="C75" s="27" t="n"/>
      <c r="D75" s="32" t="n"/>
      <c r="E75" s="33" t="n"/>
      <c r="F75" s="36" t="n"/>
      <c r="G75" s="33" t="n"/>
      <c r="H75" s="20" t="str">
        <f>IF(AND(ISNUMBER(E75),ISNUMBER(F75)),E75*F75,"")</f>
        <v/>
      </c>
      <c r="I75" s="38" t="str">
        <f>IF(A75="","",IFERROR(IF(N(INDEX('交易记录'!$G$5:$G$304,MATCH(A75,'交易记录'!$A$5:$A$304,0)))&gt;0,INDEX('交易记录'!$G$5:$G$304,MATCH(A75,'交易记录'!$A$5:$A$304,0)),1),1))</f>
        <v/>
      </c>
      <c r="J75" s="41" t="str">
        <f>IF(ISNUMBER(H75),ROUND('参数'!$C$11+H75*I75*'参数'!$C$12+F75*'参数'!$C$13,2),"")</f>
        <v/>
      </c>
      <c r="K75" s="22" t="n"/>
      <c r="L75" s="20" t="str">
        <f>IF(ISNUMBER(K75),K75,IF(ISNUMBER(H75),J75,""))</f>
        <v/>
      </c>
      <c r="M75" s="46" t="str">
        <f>IF(AND(ISNUMBER(E75),ISNUMBER(G75),ISNUMBER(F75)),(E75-G75)*IF(D75="卖",-1,1)*F75*I75,"")</f>
        <v/>
      </c>
      <c r="N75" s="38" t="str">
        <f>IF(A75="","",IFERROR(T(INDEX('交易记录'!$C$5:$C$304,MATCH(A75,'交易记录'!$A$5:$A$304,0))),"编号没找到"))</f>
        <v/>
      </c>
      <c r="O75" s="31" t="n"/>
    </row>
    <row r="76">
      <c r="A76" s="29" t="n"/>
      <c r="B76" s="30" t="n"/>
      <c r="C76" s="27" t="n"/>
      <c r="D76" s="32" t="n"/>
      <c r="E76" s="33" t="n"/>
      <c r="F76" s="36" t="n"/>
      <c r="G76" s="33" t="n"/>
      <c r="H76" s="20" t="str">
        <f>IF(AND(ISNUMBER(E76),ISNUMBER(F76)),E76*F76,"")</f>
        <v/>
      </c>
      <c r="I76" s="38" t="str">
        <f>IF(A76="","",IFERROR(IF(N(INDEX('交易记录'!$G$5:$G$304,MATCH(A76,'交易记录'!$A$5:$A$304,0)))&gt;0,INDEX('交易记录'!$G$5:$G$304,MATCH(A76,'交易记录'!$A$5:$A$304,0)),1),1))</f>
        <v/>
      </c>
      <c r="J76" s="41" t="str">
        <f>IF(ISNUMBER(H76),ROUND('参数'!$C$11+H76*I76*'参数'!$C$12+F76*'参数'!$C$13,2),"")</f>
        <v/>
      </c>
      <c r="K76" s="22" t="n"/>
      <c r="L76" s="20" t="str">
        <f>IF(ISNUMBER(K76),K76,IF(ISNUMBER(H76),J76,""))</f>
        <v/>
      </c>
      <c r="M76" s="46" t="str">
        <f>IF(AND(ISNUMBER(E76),ISNUMBER(G76),ISNUMBER(F76)),(E76-G76)*IF(D76="卖",-1,1)*F76*I76,"")</f>
        <v/>
      </c>
      <c r="N76" s="38" t="str">
        <f>IF(A76="","",IFERROR(T(INDEX('交易记录'!$C$5:$C$304,MATCH(A76,'交易记录'!$A$5:$A$304,0))),"编号没找到"))</f>
        <v/>
      </c>
      <c r="O76" s="31" t="n"/>
    </row>
    <row r="77">
      <c r="A77" s="29" t="n"/>
      <c r="B77" s="30" t="n"/>
      <c r="C77" s="27" t="n"/>
      <c r="D77" s="32" t="n"/>
      <c r="E77" s="33" t="n"/>
      <c r="F77" s="36" t="n"/>
      <c r="G77" s="33" t="n"/>
      <c r="H77" s="20" t="str">
        <f>IF(AND(ISNUMBER(E77),ISNUMBER(F77)),E77*F77,"")</f>
        <v/>
      </c>
      <c r="I77" s="38" t="str">
        <f>IF(A77="","",IFERROR(IF(N(INDEX('交易记录'!$G$5:$G$304,MATCH(A77,'交易记录'!$A$5:$A$304,0)))&gt;0,INDEX('交易记录'!$G$5:$G$304,MATCH(A77,'交易记录'!$A$5:$A$304,0)),1),1))</f>
        <v/>
      </c>
      <c r="J77" s="41" t="str">
        <f>IF(ISNUMBER(H77),ROUND('参数'!$C$11+H77*I77*'参数'!$C$12+F77*'参数'!$C$13,2),"")</f>
        <v/>
      </c>
      <c r="K77" s="22" t="n"/>
      <c r="L77" s="20" t="str">
        <f>IF(ISNUMBER(K77),K77,IF(ISNUMBER(H77),J77,""))</f>
        <v/>
      </c>
      <c r="M77" s="46" t="str">
        <f>IF(AND(ISNUMBER(E77),ISNUMBER(G77),ISNUMBER(F77)),(E77-G77)*IF(D77="卖",-1,1)*F77*I77,"")</f>
        <v/>
      </c>
      <c r="N77" s="38" t="str">
        <f>IF(A77="","",IFERROR(T(INDEX('交易记录'!$C$5:$C$304,MATCH(A77,'交易记录'!$A$5:$A$304,0))),"编号没找到"))</f>
        <v/>
      </c>
      <c r="O77" s="31" t="n"/>
    </row>
    <row r="78">
      <c r="A78" s="29" t="n"/>
      <c r="B78" s="30" t="n"/>
      <c r="C78" s="27" t="n"/>
      <c r="D78" s="32" t="n"/>
      <c r="E78" s="33" t="n"/>
      <c r="F78" s="36" t="n"/>
      <c r="G78" s="33" t="n"/>
      <c r="H78" s="20" t="str">
        <f>IF(AND(ISNUMBER(E78),ISNUMBER(F78)),E78*F78,"")</f>
        <v/>
      </c>
      <c r="I78" s="38" t="str">
        <f>IF(A78="","",IFERROR(IF(N(INDEX('交易记录'!$G$5:$G$304,MATCH(A78,'交易记录'!$A$5:$A$304,0)))&gt;0,INDEX('交易记录'!$G$5:$G$304,MATCH(A78,'交易记录'!$A$5:$A$304,0)),1),1))</f>
        <v/>
      </c>
      <c r="J78" s="41" t="str">
        <f>IF(ISNUMBER(H78),ROUND('参数'!$C$11+H78*I78*'参数'!$C$12+F78*'参数'!$C$13,2),"")</f>
        <v/>
      </c>
      <c r="K78" s="22" t="n"/>
      <c r="L78" s="20" t="str">
        <f>IF(ISNUMBER(K78),K78,IF(ISNUMBER(H78),J78,""))</f>
        <v/>
      </c>
      <c r="M78" s="46" t="str">
        <f>IF(AND(ISNUMBER(E78),ISNUMBER(G78),ISNUMBER(F78)),(E78-G78)*IF(D78="卖",-1,1)*F78*I78,"")</f>
        <v/>
      </c>
      <c r="N78" s="38" t="str">
        <f>IF(A78="","",IFERROR(T(INDEX('交易记录'!$C$5:$C$304,MATCH(A78,'交易记录'!$A$5:$A$304,0))),"编号没找到"))</f>
        <v/>
      </c>
      <c r="O78" s="31" t="n"/>
    </row>
    <row r="79">
      <c r="A79" s="29" t="n"/>
      <c r="B79" s="30" t="n"/>
      <c r="C79" s="27" t="n"/>
      <c r="D79" s="32" t="n"/>
      <c r="E79" s="33" t="n"/>
      <c r="F79" s="36" t="n"/>
      <c r="G79" s="33" t="n"/>
      <c r="H79" s="20" t="str">
        <f>IF(AND(ISNUMBER(E79),ISNUMBER(F79)),E79*F79,"")</f>
        <v/>
      </c>
      <c r="I79" s="38" t="str">
        <f>IF(A79="","",IFERROR(IF(N(INDEX('交易记录'!$G$5:$G$304,MATCH(A79,'交易记录'!$A$5:$A$304,0)))&gt;0,INDEX('交易记录'!$G$5:$G$304,MATCH(A79,'交易记录'!$A$5:$A$304,0)),1),1))</f>
        <v/>
      </c>
      <c r="J79" s="41" t="str">
        <f>IF(ISNUMBER(H79),ROUND('参数'!$C$11+H79*I79*'参数'!$C$12+F79*'参数'!$C$13,2),"")</f>
        <v/>
      </c>
      <c r="K79" s="22" t="n"/>
      <c r="L79" s="20" t="str">
        <f>IF(ISNUMBER(K79),K79,IF(ISNUMBER(H79),J79,""))</f>
        <v/>
      </c>
      <c r="M79" s="46" t="str">
        <f>IF(AND(ISNUMBER(E79),ISNUMBER(G79),ISNUMBER(F79)),(E79-G79)*IF(D79="卖",-1,1)*F79*I79,"")</f>
        <v/>
      </c>
      <c r="N79" s="38" t="str">
        <f>IF(A79="","",IFERROR(T(INDEX('交易记录'!$C$5:$C$304,MATCH(A79,'交易记录'!$A$5:$A$304,0))),"编号没找到"))</f>
        <v/>
      </c>
      <c r="O79" s="31" t="n"/>
    </row>
    <row r="80">
      <c r="A80" s="29" t="n"/>
      <c r="B80" s="30" t="n"/>
      <c r="C80" s="27" t="n"/>
      <c r="D80" s="32" t="n"/>
      <c r="E80" s="33" t="n"/>
      <c r="F80" s="36" t="n"/>
      <c r="G80" s="33" t="n"/>
      <c r="H80" s="20" t="str">
        <f>IF(AND(ISNUMBER(E80),ISNUMBER(F80)),E80*F80,"")</f>
        <v/>
      </c>
      <c r="I80" s="38" t="str">
        <f>IF(A80="","",IFERROR(IF(N(INDEX('交易记录'!$G$5:$G$304,MATCH(A80,'交易记录'!$A$5:$A$304,0)))&gt;0,INDEX('交易记录'!$G$5:$G$304,MATCH(A80,'交易记录'!$A$5:$A$304,0)),1),1))</f>
        <v/>
      </c>
      <c r="J80" s="41" t="str">
        <f>IF(ISNUMBER(H80),ROUND('参数'!$C$11+H80*I80*'参数'!$C$12+F80*'参数'!$C$13,2),"")</f>
        <v/>
      </c>
      <c r="K80" s="22" t="n"/>
      <c r="L80" s="20" t="str">
        <f>IF(ISNUMBER(K80),K80,IF(ISNUMBER(H80),J80,""))</f>
        <v/>
      </c>
      <c r="M80" s="46" t="str">
        <f>IF(AND(ISNUMBER(E80),ISNUMBER(G80),ISNUMBER(F80)),(E80-G80)*IF(D80="卖",-1,1)*F80*I80,"")</f>
        <v/>
      </c>
      <c r="N80" s="38" t="str">
        <f>IF(A80="","",IFERROR(T(INDEX('交易记录'!$C$5:$C$304,MATCH(A80,'交易记录'!$A$5:$A$304,0))),"编号没找到"))</f>
        <v/>
      </c>
      <c r="O80" s="31" t="n"/>
    </row>
    <row r="81">
      <c r="A81" s="29" t="n"/>
      <c r="B81" s="30" t="n"/>
      <c r="C81" s="27" t="n"/>
      <c r="D81" s="32" t="n"/>
      <c r="E81" s="33" t="n"/>
      <c r="F81" s="36" t="n"/>
      <c r="G81" s="33" t="n"/>
      <c r="H81" s="20" t="str">
        <f>IF(AND(ISNUMBER(E81),ISNUMBER(F81)),E81*F81,"")</f>
        <v/>
      </c>
      <c r="I81" s="38" t="str">
        <f>IF(A81="","",IFERROR(IF(N(INDEX('交易记录'!$G$5:$G$304,MATCH(A81,'交易记录'!$A$5:$A$304,0)))&gt;0,INDEX('交易记录'!$G$5:$G$304,MATCH(A81,'交易记录'!$A$5:$A$304,0)),1),1))</f>
        <v/>
      </c>
      <c r="J81" s="41" t="str">
        <f>IF(ISNUMBER(H81),ROUND('参数'!$C$11+H81*I81*'参数'!$C$12+F81*'参数'!$C$13,2),"")</f>
        <v/>
      </c>
      <c r="K81" s="22" t="n"/>
      <c r="L81" s="20" t="str">
        <f>IF(ISNUMBER(K81),K81,IF(ISNUMBER(H81),J81,""))</f>
        <v/>
      </c>
      <c r="M81" s="46" t="str">
        <f>IF(AND(ISNUMBER(E81),ISNUMBER(G81),ISNUMBER(F81)),(E81-G81)*IF(D81="卖",-1,1)*F81*I81,"")</f>
        <v/>
      </c>
      <c r="N81" s="38" t="str">
        <f>IF(A81="","",IFERROR(T(INDEX('交易记录'!$C$5:$C$304,MATCH(A81,'交易记录'!$A$5:$A$304,0))),"编号没找到"))</f>
        <v/>
      </c>
      <c r="O81" s="31" t="n"/>
    </row>
    <row r="82">
      <c r="A82" s="29" t="n"/>
      <c r="B82" s="30" t="n"/>
      <c r="C82" s="27" t="n"/>
      <c r="D82" s="32" t="n"/>
      <c r="E82" s="33" t="n"/>
      <c r="F82" s="36" t="n"/>
      <c r="G82" s="33" t="n"/>
      <c r="H82" s="20" t="str">
        <f>IF(AND(ISNUMBER(E82),ISNUMBER(F82)),E82*F82,"")</f>
        <v/>
      </c>
      <c r="I82" s="38" t="str">
        <f>IF(A82="","",IFERROR(IF(N(INDEX('交易记录'!$G$5:$G$304,MATCH(A82,'交易记录'!$A$5:$A$304,0)))&gt;0,INDEX('交易记录'!$G$5:$G$304,MATCH(A82,'交易记录'!$A$5:$A$304,0)),1),1))</f>
        <v/>
      </c>
      <c r="J82" s="41" t="str">
        <f>IF(ISNUMBER(H82),ROUND('参数'!$C$11+H82*I82*'参数'!$C$12+F82*'参数'!$C$13,2),"")</f>
        <v/>
      </c>
      <c r="K82" s="22" t="n"/>
      <c r="L82" s="20" t="str">
        <f>IF(ISNUMBER(K82),K82,IF(ISNUMBER(H82),J82,""))</f>
        <v/>
      </c>
      <c r="M82" s="46" t="str">
        <f>IF(AND(ISNUMBER(E82),ISNUMBER(G82),ISNUMBER(F82)),(E82-G82)*IF(D82="卖",-1,1)*F82*I82,"")</f>
        <v/>
      </c>
      <c r="N82" s="38" t="str">
        <f>IF(A82="","",IFERROR(T(INDEX('交易记录'!$C$5:$C$304,MATCH(A82,'交易记录'!$A$5:$A$304,0))),"编号没找到"))</f>
        <v/>
      </c>
      <c r="O82" s="31" t="n"/>
    </row>
    <row r="83">
      <c r="A83" s="29" t="n"/>
      <c r="B83" s="30" t="n"/>
      <c r="C83" s="27" t="n"/>
      <c r="D83" s="32" t="n"/>
      <c r="E83" s="33" t="n"/>
      <c r="F83" s="36" t="n"/>
      <c r="G83" s="33" t="n"/>
      <c r="H83" s="20" t="str">
        <f>IF(AND(ISNUMBER(E83),ISNUMBER(F83)),E83*F83,"")</f>
        <v/>
      </c>
      <c r="I83" s="38" t="str">
        <f>IF(A83="","",IFERROR(IF(N(INDEX('交易记录'!$G$5:$G$304,MATCH(A83,'交易记录'!$A$5:$A$304,0)))&gt;0,INDEX('交易记录'!$G$5:$G$304,MATCH(A83,'交易记录'!$A$5:$A$304,0)),1),1))</f>
        <v/>
      </c>
      <c r="J83" s="41" t="str">
        <f>IF(ISNUMBER(H83),ROUND('参数'!$C$11+H83*I83*'参数'!$C$12+F83*'参数'!$C$13,2),"")</f>
        <v/>
      </c>
      <c r="K83" s="22" t="n"/>
      <c r="L83" s="20" t="str">
        <f>IF(ISNUMBER(K83),K83,IF(ISNUMBER(H83),J83,""))</f>
        <v/>
      </c>
      <c r="M83" s="46" t="str">
        <f>IF(AND(ISNUMBER(E83),ISNUMBER(G83),ISNUMBER(F83)),(E83-G83)*IF(D83="卖",-1,1)*F83*I83,"")</f>
        <v/>
      </c>
      <c r="N83" s="38" t="str">
        <f>IF(A83="","",IFERROR(T(INDEX('交易记录'!$C$5:$C$304,MATCH(A83,'交易记录'!$A$5:$A$304,0))),"编号没找到"))</f>
        <v/>
      </c>
      <c r="O83" s="31" t="n"/>
    </row>
    <row r="84">
      <c r="A84" s="29" t="n"/>
      <c r="B84" s="30" t="n"/>
      <c r="C84" s="27" t="n"/>
      <c r="D84" s="32" t="n"/>
      <c r="E84" s="33" t="n"/>
      <c r="F84" s="36" t="n"/>
      <c r="G84" s="33" t="n"/>
      <c r="H84" s="20" t="str">
        <f>IF(AND(ISNUMBER(E84),ISNUMBER(F84)),E84*F84,"")</f>
        <v/>
      </c>
      <c r="I84" s="38" t="str">
        <f>IF(A84="","",IFERROR(IF(N(INDEX('交易记录'!$G$5:$G$304,MATCH(A84,'交易记录'!$A$5:$A$304,0)))&gt;0,INDEX('交易记录'!$G$5:$G$304,MATCH(A84,'交易记录'!$A$5:$A$304,0)),1),1))</f>
        <v/>
      </c>
      <c r="J84" s="41" t="str">
        <f>IF(ISNUMBER(H84),ROUND('参数'!$C$11+H84*I84*'参数'!$C$12+F84*'参数'!$C$13,2),"")</f>
        <v/>
      </c>
      <c r="K84" s="22" t="n"/>
      <c r="L84" s="20" t="str">
        <f>IF(ISNUMBER(K84),K84,IF(ISNUMBER(H84),J84,""))</f>
        <v/>
      </c>
      <c r="M84" s="46" t="str">
        <f>IF(AND(ISNUMBER(E84),ISNUMBER(G84),ISNUMBER(F84)),(E84-G84)*IF(D84="卖",-1,1)*F84*I84,"")</f>
        <v/>
      </c>
      <c r="N84" s="38" t="str">
        <f>IF(A84="","",IFERROR(T(INDEX('交易记录'!$C$5:$C$304,MATCH(A84,'交易记录'!$A$5:$A$304,0))),"编号没找到"))</f>
        <v/>
      </c>
      <c r="O84" s="31" t="n"/>
    </row>
    <row r="85">
      <c r="A85" s="29" t="n"/>
      <c r="B85" s="30" t="n"/>
      <c r="C85" s="27" t="n"/>
      <c r="D85" s="32" t="n"/>
      <c r="E85" s="33" t="n"/>
      <c r="F85" s="36" t="n"/>
      <c r="G85" s="33" t="n"/>
      <c r="H85" s="20" t="str">
        <f>IF(AND(ISNUMBER(E85),ISNUMBER(F85)),E85*F85,"")</f>
        <v/>
      </c>
      <c r="I85" s="38" t="str">
        <f>IF(A85="","",IFERROR(IF(N(INDEX('交易记录'!$G$5:$G$304,MATCH(A85,'交易记录'!$A$5:$A$304,0)))&gt;0,INDEX('交易记录'!$G$5:$G$304,MATCH(A85,'交易记录'!$A$5:$A$304,0)),1),1))</f>
        <v/>
      </c>
      <c r="J85" s="41" t="str">
        <f>IF(ISNUMBER(H85),ROUND('参数'!$C$11+H85*I85*'参数'!$C$12+F85*'参数'!$C$13,2),"")</f>
        <v/>
      </c>
      <c r="K85" s="22" t="n"/>
      <c r="L85" s="20" t="str">
        <f>IF(ISNUMBER(K85),K85,IF(ISNUMBER(H85),J85,""))</f>
        <v/>
      </c>
      <c r="M85" s="46" t="str">
        <f>IF(AND(ISNUMBER(E85),ISNUMBER(G85),ISNUMBER(F85)),(E85-G85)*IF(D85="卖",-1,1)*F85*I85,"")</f>
        <v/>
      </c>
      <c r="N85" s="38" t="str">
        <f>IF(A85="","",IFERROR(T(INDEX('交易记录'!$C$5:$C$304,MATCH(A85,'交易记录'!$A$5:$A$304,0))),"编号没找到"))</f>
        <v/>
      </c>
      <c r="O85" s="31" t="n"/>
    </row>
    <row r="86">
      <c r="A86" s="29" t="n"/>
      <c r="B86" s="30" t="n"/>
      <c r="C86" s="27" t="n"/>
      <c r="D86" s="32" t="n"/>
      <c r="E86" s="33" t="n"/>
      <c r="F86" s="36" t="n"/>
      <c r="G86" s="33" t="n"/>
      <c r="H86" s="20" t="str">
        <f>IF(AND(ISNUMBER(E86),ISNUMBER(F86)),E86*F86,"")</f>
        <v/>
      </c>
      <c r="I86" s="38" t="str">
        <f>IF(A86="","",IFERROR(IF(N(INDEX('交易记录'!$G$5:$G$304,MATCH(A86,'交易记录'!$A$5:$A$304,0)))&gt;0,INDEX('交易记录'!$G$5:$G$304,MATCH(A86,'交易记录'!$A$5:$A$304,0)),1),1))</f>
        <v/>
      </c>
      <c r="J86" s="41" t="str">
        <f>IF(ISNUMBER(H86),ROUND('参数'!$C$11+H86*I86*'参数'!$C$12+F86*'参数'!$C$13,2),"")</f>
        <v/>
      </c>
      <c r="K86" s="22" t="n"/>
      <c r="L86" s="20" t="str">
        <f>IF(ISNUMBER(K86),K86,IF(ISNUMBER(H86),J86,""))</f>
        <v/>
      </c>
      <c r="M86" s="46" t="str">
        <f>IF(AND(ISNUMBER(E86),ISNUMBER(G86),ISNUMBER(F86)),(E86-G86)*IF(D86="卖",-1,1)*F86*I86,"")</f>
        <v/>
      </c>
      <c r="N86" s="38" t="str">
        <f>IF(A86="","",IFERROR(T(INDEX('交易记录'!$C$5:$C$304,MATCH(A86,'交易记录'!$A$5:$A$304,0))),"编号没找到"))</f>
        <v/>
      </c>
      <c r="O86" s="31" t="n"/>
    </row>
    <row r="87">
      <c r="A87" s="29" t="n"/>
      <c r="B87" s="30" t="n"/>
      <c r="C87" s="27" t="n"/>
      <c r="D87" s="32" t="n"/>
      <c r="E87" s="33" t="n"/>
      <c r="F87" s="36" t="n"/>
      <c r="G87" s="33" t="n"/>
      <c r="H87" s="20" t="str">
        <f>IF(AND(ISNUMBER(E87),ISNUMBER(F87)),E87*F87,"")</f>
        <v/>
      </c>
      <c r="I87" s="38" t="str">
        <f>IF(A87="","",IFERROR(IF(N(INDEX('交易记录'!$G$5:$G$304,MATCH(A87,'交易记录'!$A$5:$A$304,0)))&gt;0,INDEX('交易记录'!$G$5:$G$304,MATCH(A87,'交易记录'!$A$5:$A$304,0)),1),1))</f>
        <v/>
      </c>
      <c r="J87" s="41" t="str">
        <f>IF(ISNUMBER(H87),ROUND('参数'!$C$11+H87*I87*'参数'!$C$12+F87*'参数'!$C$13,2),"")</f>
        <v/>
      </c>
      <c r="K87" s="22" t="n"/>
      <c r="L87" s="20" t="str">
        <f>IF(ISNUMBER(K87),K87,IF(ISNUMBER(H87),J87,""))</f>
        <v/>
      </c>
      <c r="M87" s="46" t="str">
        <f>IF(AND(ISNUMBER(E87),ISNUMBER(G87),ISNUMBER(F87)),(E87-G87)*IF(D87="卖",-1,1)*F87*I87,"")</f>
        <v/>
      </c>
      <c r="N87" s="38" t="str">
        <f>IF(A87="","",IFERROR(T(INDEX('交易记录'!$C$5:$C$304,MATCH(A87,'交易记录'!$A$5:$A$304,0))),"编号没找到"))</f>
        <v/>
      </c>
      <c r="O87" s="31" t="n"/>
    </row>
    <row r="88">
      <c r="A88" s="29" t="n"/>
      <c r="B88" s="30" t="n"/>
      <c r="C88" s="27" t="n"/>
      <c r="D88" s="32" t="n"/>
      <c r="E88" s="33" t="n"/>
      <c r="F88" s="36" t="n"/>
      <c r="G88" s="33" t="n"/>
      <c r="H88" s="20" t="str">
        <f>IF(AND(ISNUMBER(E88),ISNUMBER(F88)),E88*F88,"")</f>
        <v/>
      </c>
      <c r="I88" s="38" t="str">
        <f>IF(A88="","",IFERROR(IF(N(INDEX('交易记录'!$G$5:$G$304,MATCH(A88,'交易记录'!$A$5:$A$304,0)))&gt;0,INDEX('交易记录'!$G$5:$G$304,MATCH(A88,'交易记录'!$A$5:$A$304,0)),1),1))</f>
        <v/>
      </c>
      <c r="J88" s="41" t="str">
        <f>IF(ISNUMBER(H88),ROUND('参数'!$C$11+H88*I88*'参数'!$C$12+F88*'参数'!$C$13,2),"")</f>
        <v/>
      </c>
      <c r="K88" s="22" t="n"/>
      <c r="L88" s="20" t="str">
        <f>IF(ISNUMBER(K88),K88,IF(ISNUMBER(H88),J88,""))</f>
        <v/>
      </c>
      <c r="M88" s="46" t="str">
        <f>IF(AND(ISNUMBER(E88),ISNUMBER(G88),ISNUMBER(F88)),(E88-G88)*IF(D88="卖",-1,1)*F88*I88,"")</f>
        <v/>
      </c>
      <c r="N88" s="38" t="str">
        <f>IF(A88="","",IFERROR(T(INDEX('交易记录'!$C$5:$C$304,MATCH(A88,'交易记录'!$A$5:$A$304,0))),"编号没找到"))</f>
        <v/>
      </c>
      <c r="O88" s="31" t="n"/>
    </row>
    <row r="89">
      <c r="A89" s="29" t="n"/>
      <c r="B89" s="30" t="n"/>
      <c r="C89" s="27" t="n"/>
      <c r="D89" s="32" t="n"/>
      <c r="E89" s="33" t="n"/>
      <c r="F89" s="36" t="n"/>
      <c r="G89" s="33" t="n"/>
      <c r="H89" s="20" t="str">
        <f>IF(AND(ISNUMBER(E89),ISNUMBER(F89)),E89*F89,"")</f>
        <v/>
      </c>
      <c r="I89" s="38" t="str">
        <f>IF(A89="","",IFERROR(IF(N(INDEX('交易记录'!$G$5:$G$304,MATCH(A89,'交易记录'!$A$5:$A$304,0)))&gt;0,INDEX('交易记录'!$G$5:$G$304,MATCH(A89,'交易记录'!$A$5:$A$304,0)),1),1))</f>
        <v/>
      </c>
      <c r="J89" s="41" t="str">
        <f>IF(ISNUMBER(H89),ROUND('参数'!$C$11+H89*I89*'参数'!$C$12+F89*'参数'!$C$13,2),"")</f>
        <v/>
      </c>
      <c r="K89" s="22" t="n"/>
      <c r="L89" s="20" t="str">
        <f>IF(ISNUMBER(K89),K89,IF(ISNUMBER(H89),J89,""))</f>
        <v/>
      </c>
      <c r="M89" s="46" t="str">
        <f>IF(AND(ISNUMBER(E89),ISNUMBER(G89),ISNUMBER(F89)),(E89-G89)*IF(D89="卖",-1,1)*F89*I89,"")</f>
        <v/>
      </c>
      <c r="N89" s="38" t="str">
        <f>IF(A89="","",IFERROR(T(INDEX('交易记录'!$C$5:$C$304,MATCH(A89,'交易记录'!$A$5:$A$304,0))),"编号没找到"))</f>
        <v/>
      </c>
      <c r="O89" s="31" t="n"/>
    </row>
    <row r="90">
      <c r="A90" s="29" t="n"/>
      <c r="B90" s="30" t="n"/>
      <c r="C90" s="27" t="n"/>
      <c r="D90" s="32" t="n"/>
      <c r="E90" s="33" t="n"/>
      <c r="F90" s="36" t="n"/>
      <c r="G90" s="33" t="n"/>
      <c r="H90" s="20" t="str">
        <f>IF(AND(ISNUMBER(E90),ISNUMBER(F90)),E90*F90,"")</f>
        <v/>
      </c>
      <c r="I90" s="38" t="str">
        <f>IF(A90="","",IFERROR(IF(N(INDEX('交易记录'!$G$5:$G$304,MATCH(A90,'交易记录'!$A$5:$A$304,0)))&gt;0,INDEX('交易记录'!$G$5:$G$304,MATCH(A90,'交易记录'!$A$5:$A$304,0)),1),1))</f>
        <v/>
      </c>
      <c r="J90" s="41" t="str">
        <f>IF(ISNUMBER(H90),ROUND('参数'!$C$11+H90*I90*'参数'!$C$12+F90*'参数'!$C$13,2),"")</f>
        <v/>
      </c>
      <c r="K90" s="22" t="n"/>
      <c r="L90" s="20" t="str">
        <f>IF(ISNUMBER(K90),K90,IF(ISNUMBER(H90),J90,""))</f>
        <v/>
      </c>
      <c r="M90" s="46" t="str">
        <f>IF(AND(ISNUMBER(E90),ISNUMBER(G90),ISNUMBER(F90)),(E90-G90)*IF(D90="卖",-1,1)*F90*I90,"")</f>
        <v/>
      </c>
      <c r="N90" s="38" t="str">
        <f>IF(A90="","",IFERROR(T(INDEX('交易记录'!$C$5:$C$304,MATCH(A90,'交易记录'!$A$5:$A$304,0))),"编号没找到"))</f>
        <v/>
      </c>
      <c r="O90" s="31" t="n"/>
    </row>
    <row r="91">
      <c r="A91" s="29" t="n"/>
      <c r="B91" s="30" t="n"/>
      <c r="C91" s="27" t="n"/>
      <c r="D91" s="32" t="n"/>
      <c r="E91" s="33" t="n"/>
      <c r="F91" s="36" t="n"/>
      <c r="G91" s="33" t="n"/>
      <c r="H91" s="20" t="str">
        <f>IF(AND(ISNUMBER(E91),ISNUMBER(F91)),E91*F91,"")</f>
        <v/>
      </c>
      <c r="I91" s="38" t="str">
        <f>IF(A91="","",IFERROR(IF(N(INDEX('交易记录'!$G$5:$G$304,MATCH(A91,'交易记录'!$A$5:$A$304,0)))&gt;0,INDEX('交易记录'!$G$5:$G$304,MATCH(A91,'交易记录'!$A$5:$A$304,0)),1),1))</f>
        <v/>
      </c>
      <c r="J91" s="41" t="str">
        <f>IF(ISNUMBER(H91),ROUND('参数'!$C$11+H91*I91*'参数'!$C$12+F91*'参数'!$C$13,2),"")</f>
        <v/>
      </c>
      <c r="K91" s="22" t="n"/>
      <c r="L91" s="20" t="str">
        <f>IF(ISNUMBER(K91),K91,IF(ISNUMBER(H91),J91,""))</f>
        <v/>
      </c>
      <c r="M91" s="46" t="str">
        <f>IF(AND(ISNUMBER(E91),ISNUMBER(G91),ISNUMBER(F91)),(E91-G91)*IF(D91="卖",-1,1)*F91*I91,"")</f>
        <v/>
      </c>
      <c r="N91" s="38" t="str">
        <f>IF(A91="","",IFERROR(T(INDEX('交易记录'!$C$5:$C$304,MATCH(A91,'交易记录'!$A$5:$A$304,0))),"编号没找到"))</f>
        <v/>
      </c>
      <c r="O91" s="31" t="n"/>
    </row>
    <row r="92">
      <c r="A92" s="29" t="n"/>
      <c r="B92" s="30" t="n"/>
      <c r="C92" s="27" t="n"/>
      <c r="D92" s="32" t="n"/>
      <c r="E92" s="33" t="n"/>
      <c r="F92" s="36" t="n"/>
      <c r="G92" s="33" t="n"/>
      <c r="H92" s="20" t="str">
        <f>IF(AND(ISNUMBER(E92),ISNUMBER(F92)),E92*F92,"")</f>
        <v/>
      </c>
      <c r="I92" s="38" t="str">
        <f>IF(A92="","",IFERROR(IF(N(INDEX('交易记录'!$G$5:$G$304,MATCH(A92,'交易记录'!$A$5:$A$304,0)))&gt;0,INDEX('交易记录'!$G$5:$G$304,MATCH(A92,'交易记录'!$A$5:$A$304,0)),1),1))</f>
        <v/>
      </c>
      <c r="J92" s="41" t="str">
        <f>IF(ISNUMBER(H92),ROUND('参数'!$C$11+H92*I92*'参数'!$C$12+F92*'参数'!$C$13,2),"")</f>
        <v/>
      </c>
      <c r="K92" s="22" t="n"/>
      <c r="L92" s="20" t="str">
        <f>IF(ISNUMBER(K92),K92,IF(ISNUMBER(H92),J92,""))</f>
        <v/>
      </c>
      <c r="M92" s="46" t="str">
        <f>IF(AND(ISNUMBER(E92),ISNUMBER(G92),ISNUMBER(F92)),(E92-G92)*IF(D92="卖",-1,1)*F92*I92,"")</f>
        <v/>
      </c>
      <c r="N92" s="38" t="str">
        <f>IF(A92="","",IFERROR(T(INDEX('交易记录'!$C$5:$C$304,MATCH(A92,'交易记录'!$A$5:$A$304,0))),"编号没找到"))</f>
        <v/>
      </c>
      <c r="O92" s="31" t="n"/>
    </row>
    <row r="93">
      <c r="A93" s="29" t="n"/>
      <c r="B93" s="30" t="n"/>
      <c r="C93" s="27" t="n"/>
      <c r="D93" s="32" t="n"/>
      <c r="E93" s="33" t="n"/>
      <c r="F93" s="36" t="n"/>
      <c r="G93" s="33" t="n"/>
      <c r="H93" s="20" t="str">
        <f>IF(AND(ISNUMBER(E93),ISNUMBER(F93)),E93*F93,"")</f>
        <v/>
      </c>
      <c r="I93" s="38" t="str">
        <f>IF(A93="","",IFERROR(IF(N(INDEX('交易记录'!$G$5:$G$304,MATCH(A93,'交易记录'!$A$5:$A$304,0)))&gt;0,INDEX('交易记录'!$G$5:$G$304,MATCH(A93,'交易记录'!$A$5:$A$304,0)),1),1))</f>
        <v/>
      </c>
      <c r="J93" s="41" t="str">
        <f>IF(ISNUMBER(H93),ROUND('参数'!$C$11+H93*I93*'参数'!$C$12+F93*'参数'!$C$13,2),"")</f>
        <v/>
      </c>
      <c r="K93" s="22" t="n"/>
      <c r="L93" s="20" t="str">
        <f>IF(ISNUMBER(K93),K93,IF(ISNUMBER(H93),J93,""))</f>
        <v/>
      </c>
      <c r="M93" s="46" t="str">
        <f>IF(AND(ISNUMBER(E93),ISNUMBER(G93),ISNUMBER(F93)),(E93-G93)*IF(D93="卖",-1,1)*F93*I93,"")</f>
        <v/>
      </c>
      <c r="N93" s="38" t="str">
        <f>IF(A93="","",IFERROR(T(INDEX('交易记录'!$C$5:$C$304,MATCH(A93,'交易记录'!$A$5:$A$304,0))),"编号没找到"))</f>
        <v/>
      </c>
      <c r="O93" s="31" t="n"/>
    </row>
    <row r="94">
      <c r="A94" s="29" t="n"/>
      <c r="B94" s="30" t="n"/>
      <c r="C94" s="27" t="n"/>
      <c r="D94" s="32" t="n"/>
      <c r="E94" s="33" t="n"/>
      <c r="F94" s="36" t="n"/>
      <c r="G94" s="33" t="n"/>
      <c r="H94" s="20" t="str">
        <f>IF(AND(ISNUMBER(E94),ISNUMBER(F94)),E94*F94,"")</f>
        <v/>
      </c>
      <c r="I94" s="38" t="str">
        <f>IF(A94="","",IFERROR(IF(N(INDEX('交易记录'!$G$5:$G$304,MATCH(A94,'交易记录'!$A$5:$A$304,0)))&gt;0,INDEX('交易记录'!$G$5:$G$304,MATCH(A94,'交易记录'!$A$5:$A$304,0)),1),1))</f>
        <v/>
      </c>
      <c r="J94" s="41" t="str">
        <f>IF(ISNUMBER(H94),ROUND('参数'!$C$11+H94*I94*'参数'!$C$12+F94*'参数'!$C$13,2),"")</f>
        <v/>
      </c>
      <c r="K94" s="22" t="n"/>
      <c r="L94" s="20" t="str">
        <f>IF(ISNUMBER(K94),K94,IF(ISNUMBER(H94),J94,""))</f>
        <v/>
      </c>
      <c r="M94" s="46" t="str">
        <f>IF(AND(ISNUMBER(E94),ISNUMBER(G94),ISNUMBER(F94)),(E94-G94)*IF(D94="卖",-1,1)*F94*I94,"")</f>
        <v/>
      </c>
      <c r="N94" s="38" t="str">
        <f>IF(A94="","",IFERROR(T(INDEX('交易记录'!$C$5:$C$304,MATCH(A94,'交易记录'!$A$5:$A$304,0))),"编号没找到"))</f>
        <v/>
      </c>
      <c r="O94" s="31" t="n"/>
    </row>
    <row r="95">
      <c r="A95" s="29" t="n"/>
      <c r="B95" s="30" t="n"/>
      <c r="C95" s="27" t="n"/>
      <c r="D95" s="32" t="n"/>
      <c r="E95" s="33" t="n"/>
      <c r="F95" s="36" t="n"/>
      <c r="G95" s="33" t="n"/>
      <c r="H95" s="20" t="str">
        <f>IF(AND(ISNUMBER(E95),ISNUMBER(F95)),E95*F95,"")</f>
        <v/>
      </c>
      <c r="I95" s="38" t="str">
        <f>IF(A95="","",IFERROR(IF(N(INDEX('交易记录'!$G$5:$G$304,MATCH(A95,'交易记录'!$A$5:$A$304,0)))&gt;0,INDEX('交易记录'!$G$5:$G$304,MATCH(A95,'交易记录'!$A$5:$A$304,0)),1),1))</f>
        <v/>
      </c>
      <c r="J95" s="41" t="str">
        <f>IF(ISNUMBER(H95),ROUND('参数'!$C$11+H95*I95*'参数'!$C$12+F95*'参数'!$C$13,2),"")</f>
        <v/>
      </c>
      <c r="K95" s="22" t="n"/>
      <c r="L95" s="20" t="str">
        <f>IF(ISNUMBER(K95),K95,IF(ISNUMBER(H95),J95,""))</f>
        <v/>
      </c>
      <c r="M95" s="46" t="str">
        <f>IF(AND(ISNUMBER(E95),ISNUMBER(G95),ISNUMBER(F95)),(E95-G95)*IF(D95="卖",-1,1)*F95*I95,"")</f>
        <v/>
      </c>
      <c r="N95" s="38" t="str">
        <f>IF(A95="","",IFERROR(T(INDEX('交易记录'!$C$5:$C$304,MATCH(A95,'交易记录'!$A$5:$A$304,0))),"编号没找到"))</f>
        <v/>
      </c>
      <c r="O95" s="31" t="n"/>
    </row>
    <row r="96">
      <c r="A96" s="29" t="n"/>
      <c r="B96" s="30" t="n"/>
      <c r="C96" s="27" t="n"/>
      <c r="D96" s="32" t="n"/>
      <c r="E96" s="33" t="n"/>
      <c r="F96" s="36" t="n"/>
      <c r="G96" s="33" t="n"/>
      <c r="H96" s="20" t="str">
        <f>IF(AND(ISNUMBER(E96),ISNUMBER(F96)),E96*F96,"")</f>
        <v/>
      </c>
      <c r="I96" s="38" t="str">
        <f>IF(A96="","",IFERROR(IF(N(INDEX('交易记录'!$G$5:$G$304,MATCH(A96,'交易记录'!$A$5:$A$304,0)))&gt;0,INDEX('交易记录'!$G$5:$G$304,MATCH(A96,'交易记录'!$A$5:$A$304,0)),1),1))</f>
        <v/>
      </c>
      <c r="J96" s="41" t="str">
        <f>IF(ISNUMBER(H96),ROUND('参数'!$C$11+H96*I96*'参数'!$C$12+F96*'参数'!$C$13,2),"")</f>
        <v/>
      </c>
      <c r="K96" s="22" t="n"/>
      <c r="L96" s="20" t="str">
        <f>IF(ISNUMBER(K96),K96,IF(ISNUMBER(H96),J96,""))</f>
        <v/>
      </c>
      <c r="M96" s="46" t="str">
        <f>IF(AND(ISNUMBER(E96),ISNUMBER(G96),ISNUMBER(F96)),(E96-G96)*IF(D96="卖",-1,1)*F96*I96,"")</f>
        <v/>
      </c>
      <c r="N96" s="38" t="str">
        <f>IF(A96="","",IFERROR(T(INDEX('交易记录'!$C$5:$C$304,MATCH(A96,'交易记录'!$A$5:$A$304,0))),"编号没找到"))</f>
        <v/>
      </c>
      <c r="O96" s="31" t="n"/>
    </row>
    <row r="97">
      <c r="A97" s="29" t="n"/>
      <c r="B97" s="30" t="n"/>
      <c r="C97" s="27" t="n"/>
      <c r="D97" s="32" t="n"/>
      <c r="E97" s="33" t="n"/>
      <c r="F97" s="36" t="n"/>
      <c r="G97" s="33" t="n"/>
      <c r="H97" s="20" t="str">
        <f>IF(AND(ISNUMBER(E97),ISNUMBER(F97)),E97*F97,"")</f>
        <v/>
      </c>
      <c r="I97" s="38" t="str">
        <f>IF(A97="","",IFERROR(IF(N(INDEX('交易记录'!$G$5:$G$304,MATCH(A97,'交易记录'!$A$5:$A$304,0)))&gt;0,INDEX('交易记录'!$G$5:$G$304,MATCH(A97,'交易记录'!$A$5:$A$304,0)),1),1))</f>
        <v/>
      </c>
      <c r="J97" s="41" t="str">
        <f>IF(ISNUMBER(H97),ROUND('参数'!$C$11+H97*I97*'参数'!$C$12+F97*'参数'!$C$13,2),"")</f>
        <v/>
      </c>
      <c r="K97" s="22" t="n"/>
      <c r="L97" s="20" t="str">
        <f>IF(ISNUMBER(K97),K97,IF(ISNUMBER(H97),J97,""))</f>
        <v/>
      </c>
      <c r="M97" s="46" t="str">
        <f>IF(AND(ISNUMBER(E97),ISNUMBER(G97),ISNUMBER(F97)),(E97-G97)*IF(D97="卖",-1,1)*F97*I97,"")</f>
        <v/>
      </c>
      <c r="N97" s="38" t="str">
        <f>IF(A97="","",IFERROR(T(INDEX('交易记录'!$C$5:$C$304,MATCH(A97,'交易记录'!$A$5:$A$304,0))),"编号没找到"))</f>
        <v/>
      </c>
      <c r="O97" s="31" t="n"/>
    </row>
    <row r="98">
      <c r="A98" s="29" t="n"/>
      <c r="B98" s="30" t="n"/>
      <c r="C98" s="27" t="n"/>
      <c r="D98" s="32" t="n"/>
      <c r="E98" s="33" t="n"/>
      <c r="F98" s="36" t="n"/>
      <c r="G98" s="33" t="n"/>
      <c r="H98" s="20" t="str">
        <f>IF(AND(ISNUMBER(E98),ISNUMBER(F98)),E98*F98,"")</f>
        <v/>
      </c>
      <c r="I98" s="38" t="str">
        <f>IF(A98="","",IFERROR(IF(N(INDEX('交易记录'!$G$5:$G$304,MATCH(A98,'交易记录'!$A$5:$A$304,0)))&gt;0,INDEX('交易记录'!$G$5:$G$304,MATCH(A98,'交易记录'!$A$5:$A$304,0)),1),1))</f>
        <v/>
      </c>
      <c r="J98" s="41" t="str">
        <f>IF(ISNUMBER(H98),ROUND('参数'!$C$11+H98*I98*'参数'!$C$12+F98*'参数'!$C$13,2),"")</f>
        <v/>
      </c>
      <c r="K98" s="22" t="n"/>
      <c r="L98" s="20" t="str">
        <f>IF(ISNUMBER(K98),K98,IF(ISNUMBER(H98),J98,""))</f>
        <v/>
      </c>
      <c r="M98" s="46" t="str">
        <f>IF(AND(ISNUMBER(E98),ISNUMBER(G98),ISNUMBER(F98)),(E98-G98)*IF(D98="卖",-1,1)*F98*I98,"")</f>
        <v/>
      </c>
      <c r="N98" s="38" t="str">
        <f>IF(A98="","",IFERROR(T(INDEX('交易记录'!$C$5:$C$304,MATCH(A98,'交易记录'!$A$5:$A$304,0))),"编号没找到"))</f>
        <v/>
      </c>
      <c r="O98" s="31" t="n"/>
    </row>
    <row r="99">
      <c r="A99" s="29" t="n"/>
      <c r="B99" s="30" t="n"/>
      <c r="C99" s="27" t="n"/>
      <c r="D99" s="32" t="n"/>
      <c r="E99" s="33" t="n"/>
      <c r="F99" s="36" t="n"/>
      <c r="G99" s="33" t="n"/>
      <c r="H99" s="20" t="str">
        <f>IF(AND(ISNUMBER(E99),ISNUMBER(F99)),E99*F99,"")</f>
        <v/>
      </c>
      <c r="I99" s="38" t="str">
        <f>IF(A99="","",IFERROR(IF(N(INDEX('交易记录'!$G$5:$G$304,MATCH(A99,'交易记录'!$A$5:$A$304,0)))&gt;0,INDEX('交易记录'!$G$5:$G$304,MATCH(A99,'交易记录'!$A$5:$A$304,0)),1),1))</f>
        <v/>
      </c>
      <c r="J99" s="41" t="str">
        <f>IF(ISNUMBER(H99),ROUND('参数'!$C$11+H99*I99*'参数'!$C$12+F99*'参数'!$C$13,2),"")</f>
        <v/>
      </c>
      <c r="K99" s="22" t="n"/>
      <c r="L99" s="20" t="str">
        <f>IF(ISNUMBER(K99),K99,IF(ISNUMBER(H99),J99,""))</f>
        <v/>
      </c>
      <c r="M99" s="46" t="str">
        <f>IF(AND(ISNUMBER(E99),ISNUMBER(G99),ISNUMBER(F99)),(E99-G99)*IF(D99="卖",-1,1)*F99*I99,"")</f>
        <v/>
      </c>
      <c r="N99" s="38" t="str">
        <f>IF(A99="","",IFERROR(T(INDEX('交易记录'!$C$5:$C$304,MATCH(A99,'交易记录'!$A$5:$A$304,0))),"编号没找到"))</f>
        <v/>
      </c>
      <c r="O99" s="31" t="n"/>
    </row>
    <row r="100">
      <c r="A100" s="29" t="n"/>
      <c r="B100" s="30" t="n"/>
      <c r="C100" s="27" t="n"/>
      <c r="D100" s="32" t="n"/>
      <c r="E100" s="33" t="n"/>
      <c r="F100" s="36" t="n"/>
      <c r="G100" s="33" t="n"/>
      <c r="H100" s="20" t="str">
        <f>IF(AND(ISNUMBER(E100),ISNUMBER(F100)),E100*F100,"")</f>
        <v/>
      </c>
      <c r="I100" s="38" t="str">
        <f>IF(A100="","",IFERROR(IF(N(INDEX('交易记录'!$G$5:$G$304,MATCH(A100,'交易记录'!$A$5:$A$304,0)))&gt;0,INDEX('交易记录'!$G$5:$G$304,MATCH(A100,'交易记录'!$A$5:$A$304,0)),1),1))</f>
        <v/>
      </c>
      <c r="J100" s="41" t="str">
        <f>IF(ISNUMBER(H100),ROUND('参数'!$C$11+H100*I100*'参数'!$C$12+F100*'参数'!$C$13,2),"")</f>
        <v/>
      </c>
      <c r="K100" s="22" t="n"/>
      <c r="L100" s="20" t="str">
        <f>IF(ISNUMBER(K100),K100,IF(ISNUMBER(H100),J100,""))</f>
        <v/>
      </c>
      <c r="M100" s="46" t="str">
        <f>IF(AND(ISNUMBER(E100),ISNUMBER(G100),ISNUMBER(F100)),(E100-G100)*IF(D100="卖",-1,1)*F100*I100,"")</f>
        <v/>
      </c>
      <c r="N100" s="38" t="str">
        <f>IF(A100="","",IFERROR(T(INDEX('交易记录'!$C$5:$C$304,MATCH(A100,'交易记录'!$A$5:$A$304,0))),"编号没找到"))</f>
        <v/>
      </c>
      <c r="O100" s="31" t="n"/>
    </row>
    <row r="101">
      <c r="A101" s="29" t="n"/>
      <c r="B101" s="30" t="n"/>
      <c r="C101" s="27" t="n"/>
      <c r="D101" s="32" t="n"/>
      <c r="E101" s="33" t="n"/>
      <c r="F101" s="36" t="n"/>
      <c r="G101" s="33" t="n"/>
      <c r="H101" s="20" t="str">
        <f>IF(AND(ISNUMBER(E101),ISNUMBER(F101)),E101*F101,"")</f>
        <v/>
      </c>
      <c r="I101" s="38" t="str">
        <f>IF(A101="","",IFERROR(IF(N(INDEX('交易记录'!$G$5:$G$304,MATCH(A101,'交易记录'!$A$5:$A$304,0)))&gt;0,INDEX('交易记录'!$G$5:$G$304,MATCH(A101,'交易记录'!$A$5:$A$304,0)),1),1))</f>
        <v/>
      </c>
      <c r="J101" s="41" t="str">
        <f>IF(ISNUMBER(H101),ROUND('参数'!$C$11+H101*I101*'参数'!$C$12+F101*'参数'!$C$13,2),"")</f>
        <v/>
      </c>
      <c r="K101" s="22" t="n"/>
      <c r="L101" s="20" t="str">
        <f>IF(ISNUMBER(K101),K101,IF(ISNUMBER(H101),J101,""))</f>
        <v/>
      </c>
      <c r="M101" s="46" t="str">
        <f>IF(AND(ISNUMBER(E101),ISNUMBER(G101),ISNUMBER(F101)),(E101-G101)*IF(D101="卖",-1,1)*F101*I101,"")</f>
        <v/>
      </c>
      <c r="N101" s="38" t="str">
        <f>IF(A101="","",IFERROR(T(INDEX('交易记录'!$C$5:$C$304,MATCH(A101,'交易记录'!$A$5:$A$304,0))),"编号没找到"))</f>
        <v/>
      </c>
      <c r="O101" s="31" t="n"/>
    </row>
    <row r="102">
      <c r="A102" s="29" t="n"/>
      <c r="B102" s="30" t="n"/>
      <c r="C102" s="27" t="n"/>
      <c r="D102" s="32" t="n"/>
      <c r="E102" s="33" t="n"/>
      <c r="F102" s="36" t="n"/>
      <c r="G102" s="33" t="n"/>
      <c r="H102" s="20" t="str">
        <f>IF(AND(ISNUMBER(E102),ISNUMBER(F102)),E102*F102,"")</f>
        <v/>
      </c>
      <c r="I102" s="38" t="str">
        <f>IF(A102="","",IFERROR(IF(N(INDEX('交易记录'!$G$5:$G$304,MATCH(A102,'交易记录'!$A$5:$A$304,0)))&gt;0,INDEX('交易记录'!$G$5:$G$304,MATCH(A102,'交易记录'!$A$5:$A$304,0)),1),1))</f>
        <v/>
      </c>
      <c r="J102" s="41" t="str">
        <f>IF(ISNUMBER(H102),ROUND('参数'!$C$11+H102*I102*'参数'!$C$12+F102*'参数'!$C$13,2),"")</f>
        <v/>
      </c>
      <c r="K102" s="22" t="n"/>
      <c r="L102" s="20" t="str">
        <f>IF(ISNUMBER(K102),K102,IF(ISNUMBER(H102),J102,""))</f>
        <v/>
      </c>
      <c r="M102" s="46" t="str">
        <f>IF(AND(ISNUMBER(E102),ISNUMBER(G102),ISNUMBER(F102)),(E102-G102)*IF(D102="卖",-1,1)*F102*I102,"")</f>
        <v/>
      </c>
      <c r="N102" s="38" t="str">
        <f>IF(A102="","",IFERROR(T(INDEX('交易记录'!$C$5:$C$304,MATCH(A102,'交易记录'!$A$5:$A$304,0))),"编号没找到"))</f>
        <v/>
      </c>
      <c r="O102" s="31" t="n"/>
    </row>
    <row r="103">
      <c r="A103" s="29" t="n"/>
      <c r="B103" s="30" t="n"/>
      <c r="C103" s="27" t="n"/>
      <c r="D103" s="32" t="n"/>
      <c r="E103" s="33" t="n"/>
      <c r="F103" s="36" t="n"/>
      <c r="G103" s="33" t="n"/>
      <c r="H103" s="20" t="str">
        <f>IF(AND(ISNUMBER(E103),ISNUMBER(F103)),E103*F103,"")</f>
        <v/>
      </c>
      <c r="I103" s="38" t="str">
        <f>IF(A103="","",IFERROR(IF(N(INDEX('交易记录'!$G$5:$G$304,MATCH(A103,'交易记录'!$A$5:$A$304,0)))&gt;0,INDEX('交易记录'!$G$5:$G$304,MATCH(A103,'交易记录'!$A$5:$A$304,0)),1),1))</f>
        <v/>
      </c>
      <c r="J103" s="41" t="str">
        <f>IF(ISNUMBER(H103),ROUND('参数'!$C$11+H103*I103*'参数'!$C$12+F103*'参数'!$C$13,2),"")</f>
        <v/>
      </c>
      <c r="K103" s="22" t="n"/>
      <c r="L103" s="20" t="str">
        <f>IF(ISNUMBER(K103),K103,IF(ISNUMBER(H103),J103,""))</f>
        <v/>
      </c>
      <c r="M103" s="46" t="str">
        <f>IF(AND(ISNUMBER(E103),ISNUMBER(G103),ISNUMBER(F103)),(E103-G103)*IF(D103="卖",-1,1)*F103*I103,"")</f>
        <v/>
      </c>
      <c r="N103" s="38" t="str">
        <f>IF(A103="","",IFERROR(T(INDEX('交易记录'!$C$5:$C$304,MATCH(A103,'交易记录'!$A$5:$A$304,0))),"编号没找到"))</f>
        <v/>
      </c>
      <c r="O103" s="31" t="n"/>
    </row>
    <row r="104">
      <c r="A104" s="29" t="n"/>
      <c r="B104" s="30" t="n"/>
      <c r="C104" s="27" t="n"/>
      <c r="D104" s="32" t="n"/>
      <c r="E104" s="33" t="n"/>
      <c r="F104" s="36" t="n"/>
      <c r="G104" s="33" t="n"/>
      <c r="H104" s="20" t="str">
        <f>IF(AND(ISNUMBER(E104),ISNUMBER(F104)),E104*F104,"")</f>
        <v/>
      </c>
      <c r="I104" s="38" t="str">
        <f>IF(A104="","",IFERROR(IF(N(INDEX('交易记录'!$G$5:$G$304,MATCH(A104,'交易记录'!$A$5:$A$304,0)))&gt;0,INDEX('交易记录'!$G$5:$G$304,MATCH(A104,'交易记录'!$A$5:$A$304,0)),1),1))</f>
        <v/>
      </c>
      <c r="J104" s="41" t="str">
        <f>IF(ISNUMBER(H104),ROUND('参数'!$C$11+H104*I104*'参数'!$C$12+F104*'参数'!$C$13,2),"")</f>
        <v/>
      </c>
      <c r="K104" s="22" t="n"/>
      <c r="L104" s="20" t="str">
        <f>IF(ISNUMBER(K104),K104,IF(ISNUMBER(H104),J104,""))</f>
        <v/>
      </c>
      <c r="M104" s="46" t="str">
        <f>IF(AND(ISNUMBER(E104),ISNUMBER(G104),ISNUMBER(F104)),(E104-G104)*IF(D104="卖",-1,1)*F104*I104,"")</f>
        <v/>
      </c>
      <c r="N104" s="38" t="str">
        <f>IF(A104="","",IFERROR(T(INDEX('交易记录'!$C$5:$C$304,MATCH(A104,'交易记录'!$A$5:$A$304,0))),"编号没找到"))</f>
        <v/>
      </c>
      <c r="O104" s="31" t="n"/>
    </row>
    <row r="105">
      <c r="A105" s="29" t="n"/>
      <c r="B105" s="30" t="n"/>
      <c r="C105" s="27" t="n"/>
      <c r="D105" s="32" t="n"/>
      <c r="E105" s="33" t="n"/>
      <c r="F105" s="36" t="n"/>
      <c r="G105" s="33" t="n"/>
      <c r="H105" s="20" t="str">
        <f>IF(AND(ISNUMBER(E105),ISNUMBER(F105)),E105*F105,"")</f>
        <v/>
      </c>
      <c r="I105" s="38" t="str">
        <f>IF(A105="","",IFERROR(IF(N(INDEX('交易记录'!$G$5:$G$304,MATCH(A105,'交易记录'!$A$5:$A$304,0)))&gt;0,INDEX('交易记录'!$G$5:$G$304,MATCH(A105,'交易记录'!$A$5:$A$304,0)),1),1))</f>
        <v/>
      </c>
      <c r="J105" s="41" t="str">
        <f>IF(ISNUMBER(H105),ROUND('参数'!$C$11+H105*I105*'参数'!$C$12+F105*'参数'!$C$13,2),"")</f>
        <v/>
      </c>
      <c r="K105" s="22" t="n"/>
      <c r="L105" s="20" t="str">
        <f>IF(ISNUMBER(K105),K105,IF(ISNUMBER(H105),J105,""))</f>
        <v/>
      </c>
      <c r="M105" s="46" t="str">
        <f>IF(AND(ISNUMBER(E105),ISNUMBER(G105),ISNUMBER(F105)),(E105-G105)*IF(D105="卖",-1,1)*F105*I105,"")</f>
        <v/>
      </c>
      <c r="N105" s="38" t="str">
        <f>IF(A105="","",IFERROR(T(INDEX('交易记录'!$C$5:$C$304,MATCH(A105,'交易记录'!$A$5:$A$304,0))),"编号没找到"))</f>
        <v/>
      </c>
      <c r="O105" s="31" t="n"/>
    </row>
    <row r="106">
      <c r="A106" s="29" t="n"/>
      <c r="B106" s="30" t="n"/>
      <c r="C106" s="27" t="n"/>
      <c r="D106" s="32" t="n"/>
      <c r="E106" s="33" t="n"/>
      <c r="F106" s="36" t="n"/>
      <c r="G106" s="33" t="n"/>
      <c r="H106" s="20" t="str">
        <f>IF(AND(ISNUMBER(E106),ISNUMBER(F106)),E106*F106,"")</f>
        <v/>
      </c>
      <c r="I106" s="38" t="str">
        <f>IF(A106="","",IFERROR(IF(N(INDEX('交易记录'!$G$5:$G$304,MATCH(A106,'交易记录'!$A$5:$A$304,0)))&gt;0,INDEX('交易记录'!$G$5:$G$304,MATCH(A106,'交易记录'!$A$5:$A$304,0)),1),1))</f>
        <v/>
      </c>
      <c r="J106" s="41" t="str">
        <f>IF(ISNUMBER(H106),ROUND('参数'!$C$11+H106*I106*'参数'!$C$12+F106*'参数'!$C$13,2),"")</f>
        <v/>
      </c>
      <c r="K106" s="22" t="n"/>
      <c r="L106" s="20" t="str">
        <f>IF(ISNUMBER(K106),K106,IF(ISNUMBER(H106),J106,""))</f>
        <v/>
      </c>
      <c r="M106" s="46" t="str">
        <f>IF(AND(ISNUMBER(E106),ISNUMBER(G106),ISNUMBER(F106)),(E106-G106)*IF(D106="卖",-1,1)*F106*I106,"")</f>
        <v/>
      </c>
      <c r="N106" s="38" t="str">
        <f>IF(A106="","",IFERROR(T(INDEX('交易记录'!$C$5:$C$304,MATCH(A106,'交易记录'!$A$5:$A$304,0))),"编号没找到"))</f>
        <v/>
      </c>
      <c r="O106" s="31" t="n"/>
    </row>
    <row r="107">
      <c r="A107" s="29" t="n"/>
      <c r="B107" s="30" t="n"/>
      <c r="C107" s="27" t="n"/>
      <c r="D107" s="32" t="n"/>
      <c r="E107" s="33" t="n"/>
      <c r="F107" s="36" t="n"/>
      <c r="G107" s="33" t="n"/>
      <c r="H107" s="20" t="str">
        <f>IF(AND(ISNUMBER(E107),ISNUMBER(F107)),E107*F107,"")</f>
        <v/>
      </c>
      <c r="I107" s="38" t="str">
        <f>IF(A107="","",IFERROR(IF(N(INDEX('交易记录'!$G$5:$G$304,MATCH(A107,'交易记录'!$A$5:$A$304,0)))&gt;0,INDEX('交易记录'!$G$5:$G$304,MATCH(A107,'交易记录'!$A$5:$A$304,0)),1),1))</f>
        <v/>
      </c>
      <c r="J107" s="41" t="str">
        <f>IF(ISNUMBER(H107),ROUND('参数'!$C$11+H107*I107*'参数'!$C$12+F107*'参数'!$C$13,2),"")</f>
        <v/>
      </c>
      <c r="K107" s="22" t="n"/>
      <c r="L107" s="20" t="str">
        <f>IF(ISNUMBER(K107),K107,IF(ISNUMBER(H107),J107,""))</f>
        <v/>
      </c>
      <c r="M107" s="46" t="str">
        <f>IF(AND(ISNUMBER(E107),ISNUMBER(G107),ISNUMBER(F107)),(E107-G107)*IF(D107="卖",-1,1)*F107*I107,"")</f>
        <v/>
      </c>
      <c r="N107" s="38" t="str">
        <f>IF(A107="","",IFERROR(T(INDEX('交易记录'!$C$5:$C$304,MATCH(A107,'交易记录'!$A$5:$A$304,0))),"编号没找到"))</f>
        <v/>
      </c>
      <c r="O107" s="31" t="n"/>
    </row>
    <row r="108">
      <c r="A108" s="29" t="n"/>
      <c r="B108" s="30" t="n"/>
      <c r="C108" s="27" t="n"/>
      <c r="D108" s="32" t="n"/>
      <c r="E108" s="33" t="n"/>
      <c r="F108" s="36" t="n"/>
      <c r="G108" s="33" t="n"/>
      <c r="H108" s="20" t="str">
        <f>IF(AND(ISNUMBER(E108),ISNUMBER(F108)),E108*F108,"")</f>
        <v/>
      </c>
      <c r="I108" s="38" t="str">
        <f>IF(A108="","",IFERROR(IF(N(INDEX('交易记录'!$G$5:$G$304,MATCH(A108,'交易记录'!$A$5:$A$304,0)))&gt;0,INDEX('交易记录'!$G$5:$G$304,MATCH(A108,'交易记录'!$A$5:$A$304,0)),1),1))</f>
        <v/>
      </c>
      <c r="J108" s="41" t="str">
        <f>IF(ISNUMBER(H108),ROUND('参数'!$C$11+H108*I108*'参数'!$C$12+F108*'参数'!$C$13,2),"")</f>
        <v/>
      </c>
      <c r="K108" s="22" t="n"/>
      <c r="L108" s="20" t="str">
        <f>IF(ISNUMBER(K108),K108,IF(ISNUMBER(H108),J108,""))</f>
        <v/>
      </c>
      <c r="M108" s="46" t="str">
        <f>IF(AND(ISNUMBER(E108),ISNUMBER(G108),ISNUMBER(F108)),(E108-G108)*IF(D108="卖",-1,1)*F108*I108,"")</f>
        <v/>
      </c>
      <c r="N108" s="38" t="str">
        <f>IF(A108="","",IFERROR(T(INDEX('交易记录'!$C$5:$C$304,MATCH(A108,'交易记录'!$A$5:$A$304,0))),"编号没找到"))</f>
        <v/>
      </c>
      <c r="O108" s="31" t="n"/>
    </row>
    <row r="109">
      <c r="A109" s="29" t="n"/>
      <c r="B109" s="30" t="n"/>
      <c r="C109" s="27" t="n"/>
      <c r="D109" s="32" t="n"/>
      <c r="E109" s="33" t="n"/>
      <c r="F109" s="36" t="n"/>
      <c r="G109" s="33" t="n"/>
      <c r="H109" s="20" t="str">
        <f>IF(AND(ISNUMBER(E109),ISNUMBER(F109)),E109*F109,"")</f>
        <v/>
      </c>
      <c r="I109" s="38" t="str">
        <f>IF(A109="","",IFERROR(IF(N(INDEX('交易记录'!$G$5:$G$304,MATCH(A109,'交易记录'!$A$5:$A$304,0)))&gt;0,INDEX('交易记录'!$G$5:$G$304,MATCH(A109,'交易记录'!$A$5:$A$304,0)),1),1))</f>
        <v/>
      </c>
      <c r="J109" s="41" t="str">
        <f>IF(ISNUMBER(H109),ROUND('参数'!$C$11+H109*I109*'参数'!$C$12+F109*'参数'!$C$13,2),"")</f>
        <v/>
      </c>
      <c r="K109" s="22" t="n"/>
      <c r="L109" s="20" t="str">
        <f>IF(ISNUMBER(K109),K109,IF(ISNUMBER(H109),J109,""))</f>
        <v/>
      </c>
      <c r="M109" s="46" t="str">
        <f>IF(AND(ISNUMBER(E109),ISNUMBER(G109),ISNUMBER(F109)),(E109-G109)*IF(D109="卖",-1,1)*F109*I109,"")</f>
        <v/>
      </c>
      <c r="N109" s="38" t="str">
        <f>IF(A109="","",IFERROR(T(INDEX('交易记录'!$C$5:$C$304,MATCH(A109,'交易记录'!$A$5:$A$304,0))),"编号没找到"))</f>
        <v/>
      </c>
      <c r="O109" s="31" t="n"/>
    </row>
    <row r="110">
      <c r="A110" s="29" t="n"/>
      <c r="B110" s="30" t="n"/>
      <c r="C110" s="27" t="n"/>
      <c r="D110" s="32" t="n"/>
      <c r="E110" s="33" t="n"/>
      <c r="F110" s="36" t="n"/>
      <c r="G110" s="33" t="n"/>
      <c r="H110" s="20" t="str">
        <f>IF(AND(ISNUMBER(E110),ISNUMBER(F110)),E110*F110,"")</f>
        <v/>
      </c>
      <c r="I110" s="38" t="str">
        <f>IF(A110="","",IFERROR(IF(N(INDEX('交易记录'!$G$5:$G$304,MATCH(A110,'交易记录'!$A$5:$A$304,0)))&gt;0,INDEX('交易记录'!$G$5:$G$304,MATCH(A110,'交易记录'!$A$5:$A$304,0)),1),1))</f>
        <v/>
      </c>
      <c r="J110" s="41" t="str">
        <f>IF(ISNUMBER(H110),ROUND('参数'!$C$11+H110*I110*'参数'!$C$12+F110*'参数'!$C$13,2),"")</f>
        <v/>
      </c>
      <c r="K110" s="22" t="n"/>
      <c r="L110" s="20" t="str">
        <f>IF(ISNUMBER(K110),K110,IF(ISNUMBER(H110),J110,""))</f>
        <v/>
      </c>
      <c r="M110" s="46" t="str">
        <f>IF(AND(ISNUMBER(E110),ISNUMBER(G110),ISNUMBER(F110)),(E110-G110)*IF(D110="卖",-1,1)*F110*I110,"")</f>
        <v/>
      </c>
      <c r="N110" s="38" t="str">
        <f>IF(A110="","",IFERROR(T(INDEX('交易记录'!$C$5:$C$304,MATCH(A110,'交易记录'!$A$5:$A$304,0))),"编号没找到"))</f>
        <v/>
      </c>
      <c r="O110" s="31" t="n"/>
    </row>
    <row r="111">
      <c r="A111" s="29" t="n"/>
      <c r="B111" s="30" t="n"/>
      <c r="C111" s="27" t="n"/>
      <c r="D111" s="32" t="n"/>
      <c r="E111" s="33" t="n"/>
      <c r="F111" s="36" t="n"/>
      <c r="G111" s="33" t="n"/>
      <c r="H111" s="20" t="str">
        <f>IF(AND(ISNUMBER(E111),ISNUMBER(F111)),E111*F111,"")</f>
        <v/>
      </c>
      <c r="I111" s="38" t="str">
        <f>IF(A111="","",IFERROR(IF(N(INDEX('交易记录'!$G$5:$G$304,MATCH(A111,'交易记录'!$A$5:$A$304,0)))&gt;0,INDEX('交易记录'!$G$5:$G$304,MATCH(A111,'交易记录'!$A$5:$A$304,0)),1),1))</f>
        <v/>
      </c>
      <c r="J111" s="41" t="str">
        <f>IF(ISNUMBER(H111),ROUND('参数'!$C$11+H111*I111*'参数'!$C$12+F111*'参数'!$C$13,2),"")</f>
        <v/>
      </c>
      <c r="K111" s="22" t="n"/>
      <c r="L111" s="20" t="str">
        <f>IF(ISNUMBER(K111),K111,IF(ISNUMBER(H111),J111,""))</f>
        <v/>
      </c>
      <c r="M111" s="46" t="str">
        <f>IF(AND(ISNUMBER(E111),ISNUMBER(G111),ISNUMBER(F111)),(E111-G111)*IF(D111="卖",-1,1)*F111*I111,"")</f>
        <v/>
      </c>
      <c r="N111" s="38" t="str">
        <f>IF(A111="","",IFERROR(T(INDEX('交易记录'!$C$5:$C$304,MATCH(A111,'交易记录'!$A$5:$A$304,0))),"编号没找到"))</f>
        <v/>
      </c>
      <c r="O111" s="31" t="n"/>
    </row>
    <row r="112">
      <c r="A112" s="29" t="n"/>
      <c r="B112" s="30" t="n"/>
      <c r="C112" s="27" t="n"/>
      <c r="D112" s="32" t="n"/>
      <c r="E112" s="33" t="n"/>
      <c r="F112" s="36" t="n"/>
      <c r="G112" s="33" t="n"/>
      <c r="H112" s="20" t="str">
        <f>IF(AND(ISNUMBER(E112),ISNUMBER(F112)),E112*F112,"")</f>
        <v/>
      </c>
      <c r="I112" s="38" t="str">
        <f>IF(A112="","",IFERROR(IF(N(INDEX('交易记录'!$G$5:$G$304,MATCH(A112,'交易记录'!$A$5:$A$304,0)))&gt;0,INDEX('交易记录'!$G$5:$G$304,MATCH(A112,'交易记录'!$A$5:$A$304,0)),1),1))</f>
        <v/>
      </c>
      <c r="J112" s="41" t="str">
        <f>IF(ISNUMBER(H112),ROUND('参数'!$C$11+H112*I112*'参数'!$C$12+F112*'参数'!$C$13,2),"")</f>
        <v/>
      </c>
      <c r="K112" s="22" t="n"/>
      <c r="L112" s="20" t="str">
        <f>IF(ISNUMBER(K112),K112,IF(ISNUMBER(H112),J112,""))</f>
        <v/>
      </c>
      <c r="M112" s="46" t="str">
        <f>IF(AND(ISNUMBER(E112),ISNUMBER(G112),ISNUMBER(F112)),(E112-G112)*IF(D112="卖",-1,1)*F112*I112,"")</f>
        <v/>
      </c>
      <c r="N112" s="38" t="str">
        <f>IF(A112="","",IFERROR(T(INDEX('交易记录'!$C$5:$C$304,MATCH(A112,'交易记录'!$A$5:$A$304,0))),"编号没找到"))</f>
        <v/>
      </c>
      <c r="O112" s="31" t="n"/>
    </row>
    <row r="113">
      <c r="A113" s="29" t="n"/>
      <c r="B113" s="30" t="n"/>
      <c r="C113" s="27" t="n"/>
      <c r="D113" s="32" t="n"/>
      <c r="E113" s="33" t="n"/>
      <c r="F113" s="36" t="n"/>
      <c r="G113" s="33" t="n"/>
      <c r="H113" s="20" t="str">
        <f>IF(AND(ISNUMBER(E113),ISNUMBER(F113)),E113*F113,"")</f>
        <v/>
      </c>
      <c r="I113" s="38" t="str">
        <f>IF(A113="","",IFERROR(IF(N(INDEX('交易记录'!$G$5:$G$304,MATCH(A113,'交易记录'!$A$5:$A$304,0)))&gt;0,INDEX('交易记录'!$G$5:$G$304,MATCH(A113,'交易记录'!$A$5:$A$304,0)),1),1))</f>
        <v/>
      </c>
      <c r="J113" s="41" t="str">
        <f>IF(ISNUMBER(H113),ROUND('参数'!$C$11+H113*I113*'参数'!$C$12+F113*'参数'!$C$13,2),"")</f>
        <v/>
      </c>
      <c r="K113" s="22" t="n"/>
      <c r="L113" s="20" t="str">
        <f>IF(ISNUMBER(K113),K113,IF(ISNUMBER(H113),J113,""))</f>
        <v/>
      </c>
      <c r="M113" s="46" t="str">
        <f>IF(AND(ISNUMBER(E113),ISNUMBER(G113),ISNUMBER(F113)),(E113-G113)*IF(D113="卖",-1,1)*F113*I113,"")</f>
        <v/>
      </c>
      <c r="N113" s="38" t="str">
        <f>IF(A113="","",IFERROR(T(INDEX('交易记录'!$C$5:$C$304,MATCH(A113,'交易记录'!$A$5:$A$304,0))),"编号没找到"))</f>
        <v/>
      </c>
      <c r="O113" s="31" t="n"/>
    </row>
    <row r="114">
      <c r="A114" s="29" t="n"/>
      <c r="B114" s="30" t="n"/>
      <c r="C114" s="27" t="n"/>
      <c r="D114" s="32" t="n"/>
      <c r="E114" s="33" t="n"/>
      <c r="F114" s="36" t="n"/>
      <c r="G114" s="33" t="n"/>
      <c r="H114" s="20" t="str">
        <f>IF(AND(ISNUMBER(E114),ISNUMBER(F114)),E114*F114,"")</f>
        <v/>
      </c>
      <c r="I114" s="38" t="str">
        <f>IF(A114="","",IFERROR(IF(N(INDEX('交易记录'!$G$5:$G$304,MATCH(A114,'交易记录'!$A$5:$A$304,0)))&gt;0,INDEX('交易记录'!$G$5:$G$304,MATCH(A114,'交易记录'!$A$5:$A$304,0)),1),1))</f>
        <v/>
      </c>
      <c r="J114" s="41" t="str">
        <f>IF(ISNUMBER(H114),ROUND('参数'!$C$11+H114*I114*'参数'!$C$12+F114*'参数'!$C$13,2),"")</f>
        <v/>
      </c>
      <c r="K114" s="22" t="n"/>
      <c r="L114" s="20" t="str">
        <f>IF(ISNUMBER(K114),K114,IF(ISNUMBER(H114),J114,""))</f>
        <v/>
      </c>
      <c r="M114" s="46" t="str">
        <f>IF(AND(ISNUMBER(E114),ISNUMBER(G114),ISNUMBER(F114)),(E114-G114)*IF(D114="卖",-1,1)*F114*I114,"")</f>
        <v/>
      </c>
      <c r="N114" s="38" t="str">
        <f>IF(A114="","",IFERROR(T(INDEX('交易记录'!$C$5:$C$304,MATCH(A114,'交易记录'!$A$5:$A$304,0))),"编号没找到"))</f>
        <v/>
      </c>
      <c r="O114" s="31" t="n"/>
    </row>
    <row r="115">
      <c r="A115" s="29" t="n"/>
      <c r="B115" s="30" t="n"/>
      <c r="C115" s="27" t="n"/>
      <c r="D115" s="32" t="n"/>
      <c r="E115" s="33" t="n"/>
      <c r="F115" s="36" t="n"/>
      <c r="G115" s="33" t="n"/>
      <c r="H115" s="20" t="str">
        <f>IF(AND(ISNUMBER(E115),ISNUMBER(F115)),E115*F115,"")</f>
        <v/>
      </c>
      <c r="I115" s="38" t="str">
        <f>IF(A115="","",IFERROR(IF(N(INDEX('交易记录'!$G$5:$G$304,MATCH(A115,'交易记录'!$A$5:$A$304,0)))&gt;0,INDEX('交易记录'!$G$5:$G$304,MATCH(A115,'交易记录'!$A$5:$A$304,0)),1),1))</f>
        <v/>
      </c>
      <c r="J115" s="41" t="str">
        <f>IF(ISNUMBER(H115),ROUND('参数'!$C$11+H115*I115*'参数'!$C$12+F115*'参数'!$C$13,2),"")</f>
        <v/>
      </c>
      <c r="K115" s="22" t="n"/>
      <c r="L115" s="20" t="str">
        <f>IF(ISNUMBER(K115),K115,IF(ISNUMBER(H115),J115,""))</f>
        <v/>
      </c>
      <c r="M115" s="46" t="str">
        <f>IF(AND(ISNUMBER(E115),ISNUMBER(G115),ISNUMBER(F115)),(E115-G115)*IF(D115="卖",-1,1)*F115*I115,"")</f>
        <v/>
      </c>
      <c r="N115" s="38" t="str">
        <f>IF(A115="","",IFERROR(T(INDEX('交易记录'!$C$5:$C$304,MATCH(A115,'交易记录'!$A$5:$A$304,0))),"编号没找到"))</f>
        <v/>
      </c>
      <c r="O115" s="31" t="n"/>
    </row>
    <row r="116">
      <c r="A116" s="29" t="n"/>
      <c r="B116" s="30" t="n"/>
      <c r="C116" s="27" t="n"/>
      <c r="D116" s="32" t="n"/>
      <c r="E116" s="33" t="n"/>
      <c r="F116" s="36" t="n"/>
      <c r="G116" s="33" t="n"/>
      <c r="H116" s="20" t="str">
        <f>IF(AND(ISNUMBER(E116),ISNUMBER(F116)),E116*F116,"")</f>
        <v/>
      </c>
      <c r="I116" s="38" t="str">
        <f>IF(A116="","",IFERROR(IF(N(INDEX('交易记录'!$G$5:$G$304,MATCH(A116,'交易记录'!$A$5:$A$304,0)))&gt;0,INDEX('交易记录'!$G$5:$G$304,MATCH(A116,'交易记录'!$A$5:$A$304,0)),1),1))</f>
        <v/>
      </c>
      <c r="J116" s="41" t="str">
        <f>IF(ISNUMBER(H116),ROUND('参数'!$C$11+H116*I116*'参数'!$C$12+F116*'参数'!$C$13,2),"")</f>
        <v/>
      </c>
      <c r="K116" s="22" t="n"/>
      <c r="L116" s="20" t="str">
        <f>IF(ISNUMBER(K116),K116,IF(ISNUMBER(H116),J116,""))</f>
        <v/>
      </c>
      <c r="M116" s="46" t="str">
        <f>IF(AND(ISNUMBER(E116),ISNUMBER(G116),ISNUMBER(F116)),(E116-G116)*IF(D116="卖",-1,1)*F116*I116,"")</f>
        <v/>
      </c>
      <c r="N116" s="38" t="str">
        <f>IF(A116="","",IFERROR(T(INDEX('交易记录'!$C$5:$C$304,MATCH(A116,'交易记录'!$A$5:$A$304,0))),"编号没找到"))</f>
        <v/>
      </c>
      <c r="O116" s="31" t="n"/>
    </row>
    <row r="117">
      <c r="A117" s="29" t="n"/>
      <c r="B117" s="30" t="n"/>
      <c r="C117" s="27" t="n"/>
      <c r="D117" s="32" t="n"/>
      <c r="E117" s="33" t="n"/>
      <c r="F117" s="36" t="n"/>
      <c r="G117" s="33" t="n"/>
      <c r="H117" s="20" t="str">
        <f>IF(AND(ISNUMBER(E117),ISNUMBER(F117)),E117*F117,"")</f>
        <v/>
      </c>
      <c r="I117" s="38" t="str">
        <f>IF(A117="","",IFERROR(IF(N(INDEX('交易记录'!$G$5:$G$304,MATCH(A117,'交易记录'!$A$5:$A$304,0)))&gt;0,INDEX('交易记录'!$G$5:$G$304,MATCH(A117,'交易记录'!$A$5:$A$304,0)),1),1))</f>
        <v/>
      </c>
      <c r="J117" s="41" t="str">
        <f>IF(ISNUMBER(H117),ROUND('参数'!$C$11+H117*I117*'参数'!$C$12+F117*'参数'!$C$13,2),"")</f>
        <v/>
      </c>
      <c r="K117" s="22" t="n"/>
      <c r="L117" s="20" t="str">
        <f>IF(ISNUMBER(K117),K117,IF(ISNUMBER(H117),J117,""))</f>
        <v/>
      </c>
      <c r="M117" s="46" t="str">
        <f>IF(AND(ISNUMBER(E117),ISNUMBER(G117),ISNUMBER(F117)),(E117-G117)*IF(D117="卖",-1,1)*F117*I117,"")</f>
        <v/>
      </c>
      <c r="N117" s="38" t="str">
        <f>IF(A117="","",IFERROR(T(INDEX('交易记录'!$C$5:$C$304,MATCH(A117,'交易记录'!$A$5:$A$304,0))),"编号没找到"))</f>
        <v/>
      </c>
      <c r="O117" s="31" t="n"/>
    </row>
    <row r="118">
      <c r="A118" s="29" t="n"/>
      <c r="B118" s="30" t="n"/>
      <c r="C118" s="27" t="n"/>
      <c r="D118" s="32" t="n"/>
      <c r="E118" s="33" t="n"/>
      <c r="F118" s="36" t="n"/>
      <c r="G118" s="33" t="n"/>
      <c r="H118" s="20" t="str">
        <f>IF(AND(ISNUMBER(E118),ISNUMBER(F118)),E118*F118,"")</f>
        <v/>
      </c>
      <c r="I118" s="38" t="str">
        <f>IF(A118="","",IFERROR(IF(N(INDEX('交易记录'!$G$5:$G$304,MATCH(A118,'交易记录'!$A$5:$A$304,0)))&gt;0,INDEX('交易记录'!$G$5:$G$304,MATCH(A118,'交易记录'!$A$5:$A$304,0)),1),1))</f>
        <v/>
      </c>
      <c r="J118" s="41" t="str">
        <f>IF(ISNUMBER(H118),ROUND('参数'!$C$11+H118*I118*'参数'!$C$12+F118*'参数'!$C$13,2),"")</f>
        <v/>
      </c>
      <c r="K118" s="22" t="n"/>
      <c r="L118" s="20" t="str">
        <f>IF(ISNUMBER(K118),K118,IF(ISNUMBER(H118),J118,""))</f>
        <v/>
      </c>
      <c r="M118" s="46" t="str">
        <f>IF(AND(ISNUMBER(E118),ISNUMBER(G118),ISNUMBER(F118)),(E118-G118)*IF(D118="卖",-1,1)*F118*I118,"")</f>
        <v/>
      </c>
      <c r="N118" s="38" t="str">
        <f>IF(A118="","",IFERROR(T(INDEX('交易记录'!$C$5:$C$304,MATCH(A118,'交易记录'!$A$5:$A$304,0))),"编号没找到"))</f>
        <v/>
      </c>
      <c r="O118" s="31" t="n"/>
    </row>
    <row r="119">
      <c r="A119" s="29" t="n"/>
      <c r="B119" s="30" t="n"/>
      <c r="C119" s="27" t="n"/>
      <c r="D119" s="32" t="n"/>
      <c r="E119" s="33" t="n"/>
      <c r="F119" s="36" t="n"/>
      <c r="G119" s="33" t="n"/>
      <c r="H119" s="20" t="str">
        <f>IF(AND(ISNUMBER(E119),ISNUMBER(F119)),E119*F119,"")</f>
        <v/>
      </c>
      <c r="I119" s="38" t="str">
        <f>IF(A119="","",IFERROR(IF(N(INDEX('交易记录'!$G$5:$G$304,MATCH(A119,'交易记录'!$A$5:$A$304,0)))&gt;0,INDEX('交易记录'!$G$5:$G$304,MATCH(A119,'交易记录'!$A$5:$A$304,0)),1),1))</f>
        <v/>
      </c>
      <c r="J119" s="41" t="str">
        <f>IF(ISNUMBER(H119),ROUND('参数'!$C$11+H119*I119*'参数'!$C$12+F119*'参数'!$C$13,2),"")</f>
        <v/>
      </c>
      <c r="K119" s="22" t="n"/>
      <c r="L119" s="20" t="str">
        <f>IF(ISNUMBER(K119),K119,IF(ISNUMBER(H119),J119,""))</f>
        <v/>
      </c>
      <c r="M119" s="46" t="str">
        <f>IF(AND(ISNUMBER(E119),ISNUMBER(G119),ISNUMBER(F119)),(E119-G119)*IF(D119="卖",-1,1)*F119*I119,"")</f>
        <v/>
      </c>
      <c r="N119" s="38" t="str">
        <f>IF(A119="","",IFERROR(T(INDEX('交易记录'!$C$5:$C$304,MATCH(A119,'交易记录'!$A$5:$A$304,0))),"编号没找到"))</f>
        <v/>
      </c>
      <c r="O119" s="31" t="n"/>
    </row>
    <row r="120">
      <c r="A120" s="29" t="n"/>
      <c r="B120" s="30" t="n"/>
      <c r="C120" s="27" t="n"/>
      <c r="D120" s="32" t="n"/>
      <c r="E120" s="33" t="n"/>
      <c r="F120" s="36" t="n"/>
      <c r="G120" s="33" t="n"/>
      <c r="H120" s="20" t="str">
        <f>IF(AND(ISNUMBER(E120),ISNUMBER(F120)),E120*F120,"")</f>
        <v/>
      </c>
      <c r="I120" s="38" t="str">
        <f>IF(A120="","",IFERROR(IF(N(INDEX('交易记录'!$G$5:$G$304,MATCH(A120,'交易记录'!$A$5:$A$304,0)))&gt;0,INDEX('交易记录'!$G$5:$G$304,MATCH(A120,'交易记录'!$A$5:$A$304,0)),1),1))</f>
        <v/>
      </c>
      <c r="J120" s="41" t="str">
        <f>IF(ISNUMBER(H120),ROUND('参数'!$C$11+H120*I120*'参数'!$C$12+F120*'参数'!$C$13,2),"")</f>
        <v/>
      </c>
      <c r="K120" s="22" t="n"/>
      <c r="L120" s="20" t="str">
        <f>IF(ISNUMBER(K120),K120,IF(ISNUMBER(H120),J120,""))</f>
        <v/>
      </c>
      <c r="M120" s="46" t="str">
        <f>IF(AND(ISNUMBER(E120),ISNUMBER(G120),ISNUMBER(F120)),(E120-G120)*IF(D120="卖",-1,1)*F120*I120,"")</f>
        <v/>
      </c>
      <c r="N120" s="38" t="str">
        <f>IF(A120="","",IFERROR(T(INDEX('交易记录'!$C$5:$C$304,MATCH(A120,'交易记录'!$A$5:$A$304,0))),"编号没找到"))</f>
        <v/>
      </c>
      <c r="O120" s="31" t="n"/>
    </row>
    <row r="121">
      <c r="A121" s="29" t="n"/>
      <c r="B121" s="30" t="n"/>
      <c r="C121" s="27" t="n"/>
      <c r="D121" s="32" t="n"/>
      <c r="E121" s="33" t="n"/>
      <c r="F121" s="36" t="n"/>
      <c r="G121" s="33" t="n"/>
      <c r="H121" s="20" t="str">
        <f>IF(AND(ISNUMBER(E121),ISNUMBER(F121)),E121*F121,"")</f>
        <v/>
      </c>
      <c r="I121" s="38" t="str">
        <f>IF(A121="","",IFERROR(IF(N(INDEX('交易记录'!$G$5:$G$304,MATCH(A121,'交易记录'!$A$5:$A$304,0)))&gt;0,INDEX('交易记录'!$G$5:$G$304,MATCH(A121,'交易记录'!$A$5:$A$304,0)),1),1))</f>
        <v/>
      </c>
      <c r="J121" s="41" t="str">
        <f>IF(ISNUMBER(H121),ROUND('参数'!$C$11+H121*I121*'参数'!$C$12+F121*'参数'!$C$13,2),"")</f>
        <v/>
      </c>
      <c r="K121" s="22" t="n"/>
      <c r="L121" s="20" t="str">
        <f>IF(ISNUMBER(K121),K121,IF(ISNUMBER(H121),J121,""))</f>
        <v/>
      </c>
      <c r="M121" s="46" t="str">
        <f>IF(AND(ISNUMBER(E121),ISNUMBER(G121),ISNUMBER(F121)),(E121-G121)*IF(D121="卖",-1,1)*F121*I121,"")</f>
        <v/>
      </c>
      <c r="N121" s="38" t="str">
        <f>IF(A121="","",IFERROR(T(INDEX('交易记录'!$C$5:$C$304,MATCH(A121,'交易记录'!$A$5:$A$304,0))),"编号没找到"))</f>
        <v/>
      </c>
      <c r="O121" s="31" t="n"/>
    </row>
    <row r="122">
      <c r="A122" s="29" t="n"/>
      <c r="B122" s="30" t="n"/>
      <c r="C122" s="27" t="n"/>
      <c r="D122" s="32" t="n"/>
      <c r="E122" s="33" t="n"/>
      <c r="F122" s="36" t="n"/>
      <c r="G122" s="33" t="n"/>
      <c r="H122" s="20" t="str">
        <f>IF(AND(ISNUMBER(E122),ISNUMBER(F122)),E122*F122,"")</f>
        <v/>
      </c>
      <c r="I122" s="38" t="str">
        <f>IF(A122="","",IFERROR(IF(N(INDEX('交易记录'!$G$5:$G$304,MATCH(A122,'交易记录'!$A$5:$A$304,0)))&gt;0,INDEX('交易记录'!$G$5:$G$304,MATCH(A122,'交易记录'!$A$5:$A$304,0)),1),1))</f>
        <v/>
      </c>
      <c r="J122" s="41" t="str">
        <f>IF(ISNUMBER(H122),ROUND('参数'!$C$11+H122*I122*'参数'!$C$12+F122*'参数'!$C$13,2),"")</f>
        <v/>
      </c>
      <c r="K122" s="22" t="n"/>
      <c r="L122" s="20" t="str">
        <f>IF(ISNUMBER(K122),K122,IF(ISNUMBER(H122),J122,""))</f>
        <v/>
      </c>
      <c r="M122" s="46" t="str">
        <f>IF(AND(ISNUMBER(E122),ISNUMBER(G122),ISNUMBER(F122)),(E122-G122)*IF(D122="卖",-1,1)*F122*I122,"")</f>
        <v/>
      </c>
      <c r="N122" s="38" t="str">
        <f>IF(A122="","",IFERROR(T(INDEX('交易记录'!$C$5:$C$304,MATCH(A122,'交易记录'!$A$5:$A$304,0))),"编号没找到"))</f>
        <v/>
      </c>
      <c r="O122" s="31" t="n"/>
    </row>
    <row r="123">
      <c r="A123" s="29" t="n"/>
      <c r="B123" s="30" t="n"/>
      <c r="C123" s="27" t="n"/>
      <c r="D123" s="32" t="n"/>
      <c r="E123" s="33" t="n"/>
      <c r="F123" s="36" t="n"/>
      <c r="G123" s="33" t="n"/>
      <c r="H123" s="20" t="str">
        <f>IF(AND(ISNUMBER(E123),ISNUMBER(F123)),E123*F123,"")</f>
        <v/>
      </c>
      <c r="I123" s="38" t="str">
        <f>IF(A123="","",IFERROR(IF(N(INDEX('交易记录'!$G$5:$G$304,MATCH(A123,'交易记录'!$A$5:$A$304,0)))&gt;0,INDEX('交易记录'!$G$5:$G$304,MATCH(A123,'交易记录'!$A$5:$A$304,0)),1),1))</f>
        <v/>
      </c>
      <c r="J123" s="41" t="str">
        <f>IF(ISNUMBER(H123),ROUND('参数'!$C$11+H123*I123*'参数'!$C$12+F123*'参数'!$C$13,2),"")</f>
        <v/>
      </c>
      <c r="K123" s="22" t="n"/>
      <c r="L123" s="20" t="str">
        <f>IF(ISNUMBER(K123),K123,IF(ISNUMBER(H123),J123,""))</f>
        <v/>
      </c>
      <c r="M123" s="46" t="str">
        <f>IF(AND(ISNUMBER(E123),ISNUMBER(G123),ISNUMBER(F123)),(E123-G123)*IF(D123="卖",-1,1)*F123*I123,"")</f>
        <v/>
      </c>
      <c r="N123" s="38" t="str">
        <f>IF(A123="","",IFERROR(T(INDEX('交易记录'!$C$5:$C$304,MATCH(A123,'交易记录'!$A$5:$A$304,0))),"编号没找到"))</f>
        <v/>
      </c>
      <c r="O123" s="31" t="n"/>
    </row>
    <row r="124">
      <c r="A124" s="29" t="n"/>
      <c r="B124" s="30" t="n"/>
      <c r="C124" s="27" t="n"/>
      <c r="D124" s="32" t="n"/>
      <c r="E124" s="33" t="n"/>
      <c r="F124" s="36" t="n"/>
      <c r="G124" s="33" t="n"/>
      <c r="H124" s="20" t="str">
        <f>IF(AND(ISNUMBER(E124),ISNUMBER(F124)),E124*F124,"")</f>
        <v/>
      </c>
      <c r="I124" s="38" t="str">
        <f>IF(A124="","",IFERROR(IF(N(INDEX('交易记录'!$G$5:$G$304,MATCH(A124,'交易记录'!$A$5:$A$304,0)))&gt;0,INDEX('交易记录'!$G$5:$G$304,MATCH(A124,'交易记录'!$A$5:$A$304,0)),1),1))</f>
        <v/>
      </c>
      <c r="J124" s="41" t="str">
        <f>IF(ISNUMBER(H124),ROUND('参数'!$C$11+H124*I124*'参数'!$C$12+F124*'参数'!$C$13,2),"")</f>
        <v/>
      </c>
      <c r="K124" s="22" t="n"/>
      <c r="L124" s="20" t="str">
        <f>IF(ISNUMBER(K124),K124,IF(ISNUMBER(H124),J124,""))</f>
        <v/>
      </c>
      <c r="M124" s="46" t="str">
        <f>IF(AND(ISNUMBER(E124),ISNUMBER(G124),ISNUMBER(F124)),(E124-G124)*IF(D124="卖",-1,1)*F124*I124,"")</f>
        <v/>
      </c>
      <c r="N124" s="38" t="str">
        <f>IF(A124="","",IFERROR(T(INDEX('交易记录'!$C$5:$C$304,MATCH(A124,'交易记录'!$A$5:$A$304,0))),"编号没找到"))</f>
        <v/>
      </c>
      <c r="O124" s="31" t="n"/>
    </row>
    <row r="125">
      <c r="A125" s="29" t="n"/>
      <c r="B125" s="30" t="n"/>
      <c r="C125" s="27" t="n"/>
      <c r="D125" s="32" t="n"/>
      <c r="E125" s="33" t="n"/>
      <c r="F125" s="36" t="n"/>
      <c r="G125" s="33" t="n"/>
      <c r="H125" s="20" t="str">
        <f>IF(AND(ISNUMBER(E125),ISNUMBER(F125)),E125*F125,"")</f>
        <v/>
      </c>
      <c r="I125" s="38" t="str">
        <f>IF(A125="","",IFERROR(IF(N(INDEX('交易记录'!$G$5:$G$304,MATCH(A125,'交易记录'!$A$5:$A$304,0)))&gt;0,INDEX('交易记录'!$G$5:$G$304,MATCH(A125,'交易记录'!$A$5:$A$304,0)),1),1))</f>
        <v/>
      </c>
      <c r="J125" s="41" t="str">
        <f>IF(ISNUMBER(H125),ROUND('参数'!$C$11+H125*I125*'参数'!$C$12+F125*'参数'!$C$13,2),"")</f>
        <v/>
      </c>
      <c r="K125" s="22" t="n"/>
      <c r="L125" s="20" t="str">
        <f>IF(ISNUMBER(K125),K125,IF(ISNUMBER(H125),J125,""))</f>
        <v/>
      </c>
      <c r="M125" s="46" t="str">
        <f>IF(AND(ISNUMBER(E125),ISNUMBER(G125),ISNUMBER(F125)),(E125-G125)*IF(D125="卖",-1,1)*F125*I125,"")</f>
        <v/>
      </c>
      <c r="N125" s="38" t="str">
        <f>IF(A125="","",IFERROR(T(INDEX('交易记录'!$C$5:$C$304,MATCH(A125,'交易记录'!$A$5:$A$304,0))),"编号没找到"))</f>
        <v/>
      </c>
      <c r="O125" s="31" t="n"/>
    </row>
    <row r="126">
      <c r="A126" s="29" t="n"/>
      <c r="B126" s="30" t="n"/>
      <c r="C126" s="27" t="n"/>
      <c r="D126" s="32" t="n"/>
      <c r="E126" s="33" t="n"/>
      <c r="F126" s="36" t="n"/>
      <c r="G126" s="33" t="n"/>
      <c r="H126" s="20" t="str">
        <f>IF(AND(ISNUMBER(E126),ISNUMBER(F126)),E126*F126,"")</f>
        <v/>
      </c>
      <c r="I126" s="38" t="str">
        <f>IF(A126="","",IFERROR(IF(N(INDEX('交易记录'!$G$5:$G$304,MATCH(A126,'交易记录'!$A$5:$A$304,0)))&gt;0,INDEX('交易记录'!$G$5:$G$304,MATCH(A126,'交易记录'!$A$5:$A$304,0)),1),1))</f>
        <v/>
      </c>
      <c r="J126" s="41" t="str">
        <f>IF(ISNUMBER(H126),ROUND('参数'!$C$11+H126*I126*'参数'!$C$12+F126*'参数'!$C$13,2),"")</f>
        <v/>
      </c>
      <c r="K126" s="22" t="n"/>
      <c r="L126" s="20" t="str">
        <f>IF(ISNUMBER(K126),K126,IF(ISNUMBER(H126),J126,""))</f>
        <v/>
      </c>
      <c r="M126" s="46" t="str">
        <f>IF(AND(ISNUMBER(E126),ISNUMBER(G126),ISNUMBER(F126)),(E126-G126)*IF(D126="卖",-1,1)*F126*I126,"")</f>
        <v/>
      </c>
      <c r="N126" s="38" t="str">
        <f>IF(A126="","",IFERROR(T(INDEX('交易记录'!$C$5:$C$304,MATCH(A126,'交易记录'!$A$5:$A$304,0))),"编号没找到"))</f>
        <v/>
      </c>
      <c r="O126" s="31" t="n"/>
    </row>
    <row r="127">
      <c r="A127" s="29" t="n"/>
      <c r="B127" s="30" t="n"/>
      <c r="C127" s="27" t="n"/>
      <c r="D127" s="32" t="n"/>
      <c r="E127" s="33" t="n"/>
      <c r="F127" s="36" t="n"/>
      <c r="G127" s="33" t="n"/>
      <c r="H127" s="20" t="str">
        <f>IF(AND(ISNUMBER(E127),ISNUMBER(F127)),E127*F127,"")</f>
        <v/>
      </c>
      <c r="I127" s="38" t="str">
        <f>IF(A127="","",IFERROR(IF(N(INDEX('交易记录'!$G$5:$G$304,MATCH(A127,'交易记录'!$A$5:$A$304,0)))&gt;0,INDEX('交易记录'!$G$5:$G$304,MATCH(A127,'交易记录'!$A$5:$A$304,0)),1),1))</f>
        <v/>
      </c>
      <c r="J127" s="41" t="str">
        <f>IF(ISNUMBER(H127),ROUND('参数'!$C$11+H127*I127*'参数'!$C$12+F127*'参数'!$C$13,2),"")</f>
        <v/>
      </c>
      <c r="K127" s="22" t="n"/>
      <c r="L127" s="20" t="str">
        <f>IF(ISNUMBER(K127),K127,IF(ISNUMBER(H127),J127,""))</f>
        <v/>
      </c>
      <c r="M127" s="46" t="str">
        <f>IF(AND(ISNUMBER(E127),ISNUMBER(G127),ISNUMBER(F127)),(E127-G127)*IF(D127="卖",-1,1)*F127*I127,"")</f>
        <v/>
      </c>
      <c r="N127" s="38" t="str">
        <f>IF(A127="","",IFERROR(T(INDEX('交易记录'!$C$5:$C$304,MATCH(A127,'交易记录'!$A$5:$A$304,0))),"编号没找到"))</f>
        <v/>
      </c>
      <c r="O127" s="31" t="n"/>
    </row>
    <row r="128">
      <c r="A128" s="29" t="n"/>
      <c r="B128" s="30" t="n"/>
      <c r="C128" s="27" t="n"/>
      <c r="D128" s="32" t="n"/>
      <c r="E128" s="33" t="n"/>
      <c r="F128" s="36" t="n"/>
      <c r="G128" s="33" t="n"/>
      <c r="H128" s="20" t="str">
        <f>IF(AND(ISNUMBER(E128),ISNUMBER(F128)),E128*F128,"")</f>
        <v/>
      </c>
      <c r="I128" s="38" t="str">
        <f>IF(A128="","",IFERROR(IF(N(INDEX('交易记录'!$G$5:$G$304,MATCH(A128,'交易记录'!$A$5:$A$304,0)))&gt;0,INDEX('交易记录'!$G$5:$G$304,MATCH(A128,'交易记录'!$A$5:$A$304,0)),1),1))</f>
        <v/>
      </c>
      <c r="J128" s="41" t="str">
        <f>IF(ISNUMBER(H128),ROUND('参数'!$C$11+H128*I128*'参数'!$C$12+F128*'参数'!$C$13,2),"")</f>
        <v/>
      </c>
      <c r="K128" s="22" t="n"/>
      <c r="L128" s="20" t="str">
        <f>IF(ISNUMBER(K128),K128,IF(ISNUMBER(H128),J128,""))</f>
        <v/>
      </c>
      <c r="M128" s="46" t="str">
        <f>IF(AND(ISNUMBER(E128),ISNUMBER(G128),ISNUMBER(F128)),(E128-G128)*IF(D128="卖",-1,1)*F128*I128,"")</f>
        <v/>
      </c>
      <c r="N128" s="38" t="str">
        <f>IF(A128="","",IFERROR(T(INDEX('交易记录'!$C$5:$C$304,MATCH(A128,'交易记录'!$A$5:$A$304,0))),"编号没找到"))</f>
        <v/>
      </c>
      <c r="O128" s="31" t="n"/>
    </row>
    <row r="129">
      <c r="A129" s="29" t="n"/>
      <c r="B129" s="30" t="n"/>
      <c r="C129" s="27" t="n"/>
      <c r="D129" s="32" t="n"/>
      <c r="E129" s="33" t="n"/>
      <c r="F129" s="36" t="n"/>
      <c r="G129" s="33" t="n"/>
      <c r="H129" s="20" t="str">
        <f>IF(AND(ISNUMBER(E129),ISNUMBER(F129)),E129*F129,"")</f>
        <v/>
      </c>
      <c r="I129" s="38" t="str">
        <f>IF(A129="","",IFERROR(IF(N(INDEX('交易记录'!$G$5:$G$304,MATCH(A129,'交易记录'!$A$5:$A$304,0)))&gt;0,INDEX('交易记录'!$G$5:$G$304,MATCH(A129,'交易记录'!$A$5:$A$304,0)),1),1))</f>
        <v/>
      </c>
      <c r="J129" s="41" t="str">
        <f>IF(ISNUMBER(H129),ROUND('参数'!$C$11+H129*I129*'参数'!$C$12+F129*'参数'!$C$13,2),"")</f>
        <v/>
      </c>
      <c r="K129" s="22" t="n"/>
      <c r="L129" s="20" t="str">
        <f>IF(ISNUMBER(K129),K129,IF(ISNUMBER(H129),J129,""))</f>
        <v/>
      </c>
      <c r="M129" s="46" t="str">
        <f>IF(AND(ISNUMBER(E129),ISNUMBER(G129),ISNUMBER(F129)),(E129-G129)*IF(D129="卖",-1,1)*F129*I129,"")</f>
        <v/>
      </c>
      <c r="N129" s="38" t="str">
        <f>IF(A129="","",IFERROR(T(INDEX('交易记录'!$C$5:$C$304,MATCH(A129,'交易记录'!$A$5:$A$304,0))),"编号没找到"))</f>
        <v/>
      </c>
      <c r="O129" s="31" t="n"/>
    </row>
    <row r="130">
      <c r="A130" s="29" t="n"/>
      <c r="B130" s="30" t="n"/>
      <c r="C130" s="27" t="n"/>
      <c r="D130" s="32" t="n"/>
      <c r="E130" s="33" t="n"/>
      <c r="F130" s="36" t="n"/>
      <c r="G130" s="33" t="n"/>
      <c r="H130" s="20" t="str">
        <f>IF(AND(ISNUMBER(E130),ISNUMBER(F130)),E130*F130,"")</f>
        <v/>
      </c>
      <c r="I130" s="38" t="str">
        <f>IF(A130="","",IFERROR(IF(N(INDEX('交易记录'!$G$5:$G$304,MATCH(A130,'交易记录'!$A$5:$A$304,0)))&gt;0,INDEX('交易记录'!$G$5:$G$304,MATCH(A130,'交易记录'!$A$5:$A$304,0)),1),1))</f>
        <v/>
      </c>
      <c r="J130" s="41" t="str">
        <f>IF(ISNUMBER(H130),ROUND('参数'!$C$11+H130*I130*'参数'!$C$12+F130*'参数'!$C$13,2),"")</f>
        <v/>
      </c>
      <c r="K130" s="22" t="n"/>
      <c r="L130" s="20" t="str">
        <f>IF(ISNUMBER(K130),K130,IF(ISNUMBER(H130),J130,""))</f>
        <v/>
      </c>
      <c r="M130" s="46" t="str">
        <f>IF(AND(ISNUMBER(E130),ISNUMBER(G130),ISNUMBER(F130)),(E130-G130)*IF(D130="卖",-1,1)*F130*I130,"")</f>
        <v/>
      </c>
      <c r="N130" s="38" t="str">
        <f>IF(A130="","",IFERROR(T(INDEX('交易记录'!$C$5:$C$304,MATCH(A130,'交易记录'!$A$5:$A$304,0))),"编号没找到"))</f>
        <v/>
      </c>
      <c r="O130" s="31" t="n"/>
    </row>
    <row r="131">
      <c r="A131" s="29" t="n"/>
      <c r="B131" s="30" t="n"/>
      <c r="C131" s="27" t="n"/>
      <c r="D131" s="32" t="n"/>
      <c r="E131" s="33" t="n"/>
      <c r="F131" s="36" t="n"/>
      <c r="G131" s="33" t="n"/>
      <c r="H131" s="20" t="str">
        <f>IF(AND(ISNUMBER(E131),ISNUMBER(F131)),E131*F131,"")</f>
        <v/>
      </c>
      <c r="I131" s="38" t="str">
        <f>IF(A131="","",IFERROR(IF(N(INDEX('交易记录'!$G$5:$G$304,MATCH(A131,'交易记录'!$A$5:$A$304,0)))&gt;0,INDEX('交易记录'!$G$5:$G$304,MATCH(A131,'交易记录'!$A$5:$A$304,0)),1),1))</f>
        <v/>
      </c>
      <c r="J131" s="41" t="str">
        <f>IF(ISNUMBER(H131),ROUND('参数'!$C$11+H131*I131*'参数'!$C$12+F131*'参数'!$C$13,2),"")</f>
        <v/>
      </c>
      <c r="K131" s="22" t="n"/>
      <c r="L131" s="20" t="str">
        <f>IF(ISNUMBER(K131),K131,IF(ISNUMBER(H131),J131,""))</f>
        <v/>
      </c>
      <c r="M131" s="46" t="str">
        <f>IF(AND(ISNUMBER(E131),ISNUMBER(G131),ISNUMBER(F131)),(E131-G131)*IF(D131="卖",-1,1)*F131*I131,"")</f>
        <v/>
      </c>
      <c r="N131" s="38" t="str">
        <f>IF(A131="","",IFERROR(T(INDEX('交易记录'!$C$5:$C$304,MATCH(A131,'交易记录'!$A$5:$A$304,0))),"编号没找到"))</f>
        <v/>
      </c>
      <c r="O131" s="31" t="n"/>
    </row>
    <row r="132">
      <c r="A132" s="29" t="n"/>
      <c r="B132" s="30" t="n"/>
      <c r="C132" s="27" t="n"/>
      <c r="D132" s="32" t="n"/>
      <c r="E132" s="33" t="n"/>
      <c r="F132" s="36" t="n"/>
      <c r="G132" s="33" t="n"/>
      <c r="H132" s="20" t="str">
        <f>IF(AND(ISNUMBER(E132),ISNUMBER(F132)),E132*F132,"")</f>
        <v/>
      </c>
      <c r="I132" s="38" t="str">
        <f>IF(A132="","",IFERROR(IF(N(INDEX('交易记录'!$G$5:$G$304,MATCH(A132,'交易记录'!$A$5:$A$304,0)))&gt;0,INDEX('交易记录'!$G$5:$G$304,MATCH(A132,'交易记录'!$A$5:$A$304,0)),1),1))</f>
        <v/>
      </c>
      <c r="J132" s="41" t="str">
        <f>IF(ISNUMBER(H132),ROUND('参数'!$C$11+H132*I132*'参数'!$C$12+F132*'参数'!$C$13,2),"")</f>
        <v/>
      </c>
      <c r="K132" s="22" t="n"/>
      <c r="L132" s="20" t="str">
        <f>IF(ISNUMBER(K132),K132,IF(ISNUMBER(H132),J132,""))</f>
        <v/>
      </c>
      <c r="M132" s="46" t="str">
        <f>IF(AND(ISNUMBER(E132),ISNUMBER(G132),ISNUMBER(F132)),(E132-G132)*IF(D132="卖",-1,1)*F132*I132,"")</f>
        <v/>
      </c>
      <c r="N132" s="38" t="str">
        <f>IF(A132="","",IFERROR(T(INDEX('交易记录'!$C$5:$C$304,MATCH(A132,'交易记录'!$A$5:$A$304,0))),"编号没找到"))</f>
        <v/>
      </c>
      <c r="O132" s="31" t="n"/>
    </row>
    <row r="133">
      <c r="A133" s="29" t="n"/>
      <c r="B133" s="30" t="n"/>
      <c r="C133" s="27" t="n"/>
      <c r="D133" s="32" t="n"/>
      <c r="E133" s="33" t="n"/>
      <c r="F133" s="36" t="n"/>
      <c r="G133" s="33" t="n"/>
      <c r="H133" s="20" t="str">
        <f>IF(AND(ISNUMBER(E133),ISNUMBER(F133)),E133*F133,"")</f>
        <v/>
      </c>
      <c r="I133" s="38" t="str">
        <f>IF(A133="","",IFERROR(IF(N(INDEX('交易记录'!$G$5:$G$304,MATCH(A133,'交易记录'!$A$5:$A$304,0)))&gt;0,INDEX('交易记录'!$G$5:$G$304,MATCH(A133,'交易记录'!$A$5:$A$304,0)),1),1))</f>
        <v/>
      </c>
      <c r="J133" s="41" t="str">
        <f>IF(ISNUMBER(H133),ROUND('参数'!$C$11+H133*I133*'参数'!$C$12+F133*'参数'!$C$13,2),"")</f>
        <v/>
      </c>
      <c r="K133" s="22" t="n"/>
      <c r="L133" s="20" t="str">
        <f>IF(ISNUMBER(K133),K133,IF(ISNUMBER(H133),J133,""))</f>
        <v/>
      </c>
      <c r="M133" s="46" t="str">
        <f>IF(AND(ISNUMBER(E133),ISNUMBER(G133),ISNUMBER(F133)),(E133-G133)*IF(D133="卖",-1,1)*F133*I133,"")</f>
        <v/>
      </c>
      <c r="N133" s="38" t="str">
        <f>IF(A133="","",IFERROR(T(INDEX('交易记录'!$C$5:$C$304,MATCH(A133,'交易记录'!$A$5:$A$304,0))),"编号没找到"))</f>
        <v/>
      </c>
      <c r="O133" s="31" t="n"/>
    </row>
    <row r="134">
      <c r="A134" s="29" t="n"/>
      <c r="B134" s="30" t="n"/>
      <c r="C134" s="27" t="n"/>
      <c r="D134" s="32" t="n"/>
      <c r="E134" s="33" t="n"/>
      <c r="F134" s="36" t="n"/>
      <c r="G134" s="33" t="n"/>
      <c r="H134" s="20" t="str">
        <f>IF(AND(ISNUMBER(E134),ISNUMBER(F134)),E134*F134,"")</f>
        <v/>
      </c>
      <c r="I134" s="38" t="str">
        <f>IF(A134="","",IFERROR(IF(N(INDEX('交易记录'!$G$5:$G$304,MATCH(A134,'交易记录'!$A$5:$A$304,0)))&gt;0,INDEX('交易记录'!$G$5:$G$304,MATCH(A134,'交易记录'!$A$5:$A$304,0)),1),1))</f>
        <v/>
      </c>
      <c r="J134" s="41" t="str">
        <f>IF(ISNUMBER(H134),ROUND('参数'!$C$11+H134*I134*'参数'!$C$12+F134*'参数'!$C$13,2),"")</f>
        <v/>
      </c>
      <c r="K134" s="22" t="n"/>
      <c r="L134" s="20" t="str">
        <f>IF(ISNUMBER(K134),K134,IF(ISNUMBER(H134),J134,""))</f>
        <v/>
      </c>
      <c r="M134" s="46" t="str">
        <f>IF(AND(ISNUMBER(E134),ISNUMBER(G134),ISNUMBER(F134)),(E134-G134)*IF(D134="卖",-1,1)*F134*I134,"")</f>
        <v/>
      </c>
      <c r="N134" s="38" t="str">
        <f>IF(A134="","",IFERROR(T(INDEX('交易记录'!$C$5:$C$304,MATCH(A134,'交易记录'!$A$5:$A$304,0))),"编号没找到"))</f>
        <v/>
      </c>
      <c r="O134" s="31" t="n"/>
    </row>
    <row r="135">
      <c r="A135" s="29" t="n"/>
      <c r="B135" s="30" t="n"/>
      <c r="C135" s="27" t="n"/>
      <c r="D135" s="32" t="n"/>
      <c r="E135" s="33" t="n"/>
      <c r="F135" s="36" t="n"/>
      <c r="G135" s="33" t="n"/>
      <c r="H135" s="20" t="str">
        <f>IF(AND(ISNUMBER(E135),ISNUMBER(F135)),E135*F135,"")</f>
        <v/>
      </c>
      <c r="I135" s="38" t="str">
        <f>IF(A135="","",IFERROR(IF(N(INDEX('交易记录'!$G$5:$G$304,MATCH(A135,'交易记录'!$A$5:$A$304,0)))&gt;0,INDEX('交易记录'!$G$5:$G$304,MATCH(A135,'交易记录'!$A$5:$A$304,0)),1),1))</f>
        <v/>
      </c>
      <c r="J135" s="41" t="str">
        <f>IF(ISNUMBER(H135),ROUND('参数'!$C$11+H135*I135*'参数'!$C$12+F135*'参数'!$C$13,2),"")</f>
        <v/>
      </c>
      <c r="K135" s="22" t="n"/>
      <c r="L135" s="20" t="str">
        <f>IF(ISNUMBER(K135),K135,IF(ISNUMBER(H135),J135,""))</f>
        <v/>
      </c>
      <c r="M135" s="46" t="str">
        <f>IF(AND(ISNUMBER(E135),ISNUMBER(G135),ISNUMBER(F135)),(E135-G135)*IF(D135="卖",-1,1)*F135*I135,"")</f>
        <v/>
      </c>
      <c r="N135" s="38" t="str">
        <f>IF(A135="","",IFERROR(T(INDEX('交易记录'!$C$5:$C$304,MATCH(A135,'交易记录'!$A$5:$A$304,0))),"编号没找到"))</f>
        <v/>
      </c>
      <c r="O135" s="31" t="n"/>
    </row>
    <row r="136">
      <c r="A136" s="29" t="n"/>
      <c r="B136" s="30" t="n"/>
      <c r="C136" s="27" t="n"/>
      <c r="D136" s="32" t="n"/>
      <c r="E136" s="33" t="n"/>
      <c r="F136" s="36" t="n"/>
      <c r="G136" s="33" t="n"/>
      <c r="H136" s="20" t="str">
        <f>IF(AND(ISNUMBER(E136),ISNUMBER(F136)),E136*F136,"")</f>
        <v/>
      </c>
      <c r="I136" s="38" t="str">
        <f>IF(A136="","",IFERROR(IF(N(INDEX('交易记录'!$G$5:$G$304,MATCH(A136,'交易记录'!$A$5:$A$304,0)))&gt;0,INDEX('交易记录'!$G$5:$G$304,MATCH(A136,'交易记录'!$A$5:$A$304,0)),1),1))</f>
        <v/>
      </c>
      <c r="J136" s="41" t="str">
        <f>IF(ISNUMBER(H136),ROUND('参数'!$C$11+H136*I136*'参数'!$C$12+F136*'参数'!$C$13,2),"")</f>
        <v/>
      </c>
      <c r="K136" s="22" t="n"/>
      <c r="L136" s="20" t="str">
        <f>IF(ISNUMBER(K136),K136,IF(ISNUMBER(H136),J136,""))</f>
        <v/>
      </c>
      <c r="M136" s="46" t="str">
        <f>IF(AND(ISNUMBER(E136),ISNUMBER(G136),ISNUMBER(F136)),(E136-G136)*IF(D136="卖",-1,1)*F136*I136,"")</f>
        <v/>
      </c>
      <c r="N136" s="38" t="str">
        <f>IF(A136="","",IFERROR(T(INDEX('交易记录'!$C$5:$C$304,MATCH(A136,'交易记录'!$A$5:$A$304,0))),"编号没找到"))</f>
        <v/>
      </c>
      <c r="O136" s="31" t="n"/>
    </row>
    <row r="137">
      <c r="A137" s="29" t="n"/>
      <c r="B137" s="30" t="n"/>
      <c r="C137" s="27" t="n"/>
      <c r="D137" s="32" t="n"/>
      <c r="E137" s="33" t="n"/>
      <c r="F137" s="36" t="n"/>
      <c r="G137" s="33" t="n"/>
      <c r="H137" s="20" t="str">
        <f>IF(AND(ISNUMBER(E137),ISNUMBER(F137)),E137*F137,"")</f>
        <v/>
      </c>
      <c r="I137" s="38" t="str">
        <f>IF(A137="","",IFERROR(IF(N(INDEX('交易记录'!$G$5:$G$304,MATCH(A137,'交易记录'!$A$5:$A$304,0)))&gt;0,INDEX('交易记录'!$G$5:$G$304,MATCH(A137,'交易记录'!$A$5:$A$304,0)),1),1))</f>
        <v/>
      </c>
      <c r="J137" s="41" t="str">
        <f>IF(ISNUMBER(H137),ROUND('参数'!$C$11+H137*I137*'参数'!$C$12+F137*'参数'!$C$13,2),"")</f>
        <v/>
      </c>
      <c r="K137" s="22" t="n"/>
      <c r="L137" s="20" t="str">
        <f>IF(ISNUMBER(K137),K137,IF(ISNUMBER(H137),J137,""))</f>
        <v/>
      </c>
      <c r="M137" s="46" t="str">
        <f>IF(AND(ISNUMBER(E137),ISNUMBER(G137),ISNUMBER(F137)),(E137-G137)*IF(D137="卖",-1,1)*F137*I137,"")</f>
        <v/>
      </c>
      <c r="N137" s="38" t="str">
        <f>IF(A137="","",IFERROR(T(INDEX('交易记录'!$C$5:$C$304,MATCH(A137,'交易记录'!$A$5:$A$304,0))),"编号没找到"))</f>
        <v/>
      </c>
      <c r="O137" s="31" t="n"/>
    </row>
    <row r="138">
      <c r="A138" s="29" t="n"/>
      <c r="B138" s="30" t="n"/>
      <c r="C138" s="27" t="n"/>
      <c r="D138" s="32" t="n"/>
      <c r="E138" s="33" t="n"/>
      <c r="F138" s="36" t="n"/>
      <c r="G138" s="33" t="n"/>
      <c r="H138" s="20" t="str">
        <f>IF(AND(ISNUMBER(E138),ISNUMBER(F138)),E138*F138,"")</f>
        <v/>
      </c>
      <c r="I138" s="38" t="str">
        <f>IF(A138="","",IFERROR(IF(N(INDEX('交易记录'!$G$5:$G$304,MATCH(A138,'交易记录'!$A$5:$A$304,0)))&gt;0,INDEX('交易记录'!$G$5:$G$304,MATCH(A138,'交易记录'!$A$5:$A$304,0)),1),1))</f>
        <v/>
      </c>
      <c r="J138" s="41" t="str">
        <f>IF(ISNUMBER(H138),ROUND('参数'!$C$11+H138*I138*'参数'!$C$12+F138*'参数'!$C$13,2),"")</f>
        <v/>
      </c>
      <c r="K138" s="22" t="n"/>
      <c r="L138" s="20" t="str">
        <f>IF(ISNUMBER(K138),K138,IF(ISNUMBER(H138),J138,""))</f>
        <v/>
      </c>
      <c r="M138" s="46" t="str">
        <f>IF(AND(ISNUMBER(E138),ISNUMBER(G138),ISNUMBER(F138)),(E138-G138)*IF(D138="卖",-1,1)*F138*I138,"")</f>
        <v/>
      </c>
      <c r="N138" s="38" t="str">
        <f>IF(A138="","",IFERROR(T(INDEX('交易记录'!$C$5:$C$304,MATCH(A138,'交易记录'!$A$5:$A$304,0))),"编号没找到"))</f>
        <v/>
      </c>
      <c r="O138" s="31" t="n"/>
    </row>
    <row r="139">
      <c r="A139" s="29" t="n"/>
      <c r="B139" s="30" t="n"/>
      <c r="C139" s="27" t="n"/>
      <c r="D139" s="32" t="n"/>
      <c r="E139" s="33" t="n"/>
      <c r="F139" s="36" t="n"/>
      <c r="G139" s="33" t="n"/>
      <c r="H139" s="20" t="str">
        <f>IF(AND(ISNUMBER(E139),ISNUMBER(F139)),E139*F139,"")</f>
        <v/>
      </c>
      <c r="I139" s="38" t="str">
        <f>IF(A139="","",IFERROR(IF(N(INDEX('交易记录'!$G$5:$G$304,MATCH(A139,'交易记录'!$A$5:$A$304,0)))&gt;0,INDEX('交易记录'!$G$5:$G$304,MATCH(A139,'交易记录'!$A$5:$A$304,0)),1),1))</f>
        <v/>
      </c>
      <c r="J139" s="41" t="str">
        <f>IF(ISNUMBER(H139),ROUND('参数'!$C$11+H139*I139*'参数'!$C$12+F139*'参数'!$C$13,2),"")</f>
        <v/>
      </c>
      <c r="K139" s="22" t="n"/>
      <c r="L139" s="20" t="str">
        <f>IF(ISNUMBER(K139),K139,IF(ISNUMBER(H139),J139,""))</f>
        <v/>
      </c>
      <c r="M139" s="46" t="str">
        <f>IF(AND(ISNUMBER(E139),ISNUMBER(G139),ISNUMBER(F139)),(E139-G139)*IF(D139="卖",-1,1)*F139*I139,"")</f>
        <v/>
      </c>
      <c r="N139" s="38" t="str">
        <f>IF(A139="","",IFERROR(T(INDEX('交易记录'!$C$5:$C$304,MATCH(A139,'交易记录'!$A$5:$A$304,0))),"编号没找到"))</f>
        <v/>
      </c>
      <c r="O139" s="31" t="n"/>
    </row>
    <row r="140">
      <c r="A140" s="29" t="n"/>
      <c r="B140" s="30" t="n"/>
      <c r="C140" s="27" t="n"/>
      <c r="D140" s="32" t="n"/>
      <c r="E140" s="33" t="n"/>
      <c r="F140" s="36" t="n"/>
      <c r="G140" s="33" t="n"/>
      <c r="H140" s="20" t="str">
        <f>IF(AND(ISNUMBER(E140),ISNUMBER(F140)),E140*F140,"")</f>
        <v/>
      </c>
      <c r="I140" s="38" t="str">
        <f>IF(A140="","",IFERROR(IF(N(INDEX('交易记录'!$G$5:$G$304,MATCH(A140,'交易记录'!$A$5:$A$304,0)))&gt;0,INDEX('交易记录'!$G$5:$G$304,MATCH(A140,'交易记录'!$A$5:$A$304,0)),1),1))</f>
        <v/>
      </c>
      <c r="J140" s="41" t="str">
        <f>IF(ISNUMBER(H140),ROUND('参数'!$C$11+H140*I140*'参数'!$C$12+F140*'参数'!$C$13,2),"")</f>
        <v/>
      </c>
      <c r="K140" s="22" t="n"/>
      <c r="L140" s="20" t="str">
        <f>IF(ISNUMBER(K140),K140,IF(ISNUMBER(H140),J140,""))</f>
        <v/>
      </c>
      <c r="M140" s="46" t="str">
        <f>IF(AND(ISNUMBER(E140),ISNUMBER(G140),ISNUMBER(F140)),(E140-G140)*IF(D140="卖",-1,1)*F140*I140,"")</f>
        <v/>
      </c>
      <c r="N140" s="38" t="str">
        <f>IF(A140="","",IFERROR(T(INDEX('交易记录'!$C$5:$C$304,MATCH(A140,'交易记录'!$A$5:$A$304,0))),"编号没找到"))</f>
        <v/>
      </c>
      <c r="O140" s="31" t="n"/>
    </row>
    <row r="141">
      <c r="A141" s="29" t="n"/>
      <c r="B141" s="30" t="n"/>
      <c r="C141" s="27" t="n"/>
      <c r="D141" s="32" t="n"/>
      <c r="E141" s="33" t="n"/>
      <c r="F141" s="36" t="n"/>
      <c r="G141" s="33" t="n"/>
      <c r="H141" s="20" t="str">
        <f>IF(AND(ISNUMBER(E141),ISNUMBER(F141)),E141*F141,"")</f>
        <v/>
      </c>
      <c r="I141" s="38" t="str">
        <f>IF(A141="","",IFERROR(IF(N(INDEX('交易记录'!$G$5:$G$304,MATCH(A141,'交易记录'!$A$5:$A$304,0)))&gt;0,INDEX('交易记录'!$G$5:$G$304,MATCH(A141,'交易记录'!$A$5:$A$304,0)),1),1))</f>
        <v/>
      </c>
      <c r="J141" s="41" t="str">
        <f>IF(ISNUMBER(H141),ROUND('参数'!$C$11+H141*I141*'参数'!$C$12+F141*'参数'!$C$13,2),"")</f>
        <v/>
      </c>
      <c r="K141" s="22" t="n"/>
      <c r="L141" s="20" t="str">
        <f>IF(ISNUMBER(K141),K141,IF(ISNUMBER(H141),J141,""))</f>
        <v/>
      </c>
      <c r="M141" s="46" t="str">
        <f>IF(AND(ISNUMBER(E141),ISNUMBER(G141),ISNUMBER(F141)),(E141-G141)*IF(D141="卖",-1,1)*F141*I141,"")</f>
        <v/>
      </c>
      <c r="N141" s="38" t="str">
        <f>IF(A141="","",IFERROR(T(INDEX('交易记录'!$C$5:$C$304,MATCH(A141,'交易记录'!$A$5:$A$304,0))),"编号没找到"))</f>
        <v/>
      </c>
      <c r="O141" s="31" t="n"/>
    </row>
    <row r="142">
      <c r="A142" s="29" t="n"/>
      <c r="B142" s="30" t="n"/>
      <c r="C142" s="27" t="n"/>
      <c r="D142" s="32" t="n"/>
      <c r="E142" s="33" t="n"/>
      <c r="F142" s="36" t="n"/>
      <c r="G142" s="33" t="n"/>
      <c r="H142" s="20" t="str">
        <f>IF(AND(ISNUMBER(E142),ISNUMBER(F142)),E142*F142,"")</f>
        <v/>
      </c>
      <c r="I142" s="38" t="str">
        <f>IF(A142="","",IFERROR(IF(N(INDEX('交易记录'!$G$5:$G$304,MATCH(A142,'交易记录'!$A$5:$A$304,0)))&gt;0,INDEX('交易记录'!$G$5:$G$304,MATCH(A142,'交易记录'!$A$5:$A$304,0)),1),1))</f>
        <v/>
      </c>
      <c r="J142" s="41" t="str">
        <f>IF(ISNUMBER(H142),ROUND('参数'!$C$11+H142*I142*'参数'!$C$12+F142*'参数'!$C$13,2),"")</f>
        <v/>
      </c>
      <c r="K142" s="22" t="n"/>
      <c r="L142" s="20" t="str">
        <f>IF(ISNUMBER(K142),K142,IF(ISNUMBER(H142),J142,""))</f>
        <v/>
      </c>
      <c r="M142" s="46" t="str">
        <f>IF(AND(ISNUMBER(E142),ISNUMBER(G142),ISNUMBER(F142)),(E142-G142)*IF(D142="卖",-1,1)*F142*I142,"")</f>
        <v/>
      </c>
      <c r="N142" s="38" t="str">
        <f>IF(A142="","",IFERROR(T(INDEX('交易记录'!$C$5:$C$304,MATCH(A142,'交易记录'!$A$5:$A$304,0))),"编号没找到"))</f>
        <v/>
      </c>
      <c r="O142" s="31" t="n"/>
    </row>
    <row r="143">
      <c r="A143" s="29" t="n"/>
      <c r="B143" s="30" t="n"/>
      <c r="C143" s="27" t="n"/>
      <c r="D143" s="32" t="n"/>
      <c r="E143" s="33" t="n"/>
      <c r="F143" s="36" t="n"/>
      <c r="G143" s="33" t="n"/>
      <c r="H143" s="20" t="str">
        <f>IF(AND(ISNUMBER(E143),ISNUMBER(F143)),E143*F143,"")</f>
        <v/>
      </c>
      <c r="I143" s="38" t="str">
        <f>IF(A143="","",IFERROR(IF(N(INDEX('交易记录'!$G$5:$G$304,MATCH(A143,'交易记录'!$A$5:$A$304,0)))&gt;0,INDEX('交易记录'!$G$5:$G$304,MATCH(A143,'交易记录'!$A$5:$A$304,0)),1),1))</f>
        <v/>
      </c>
      <c r="J143" s="41" t="str">
        <f>IF(ISNUMBER(H143),ROUND('参数'!$C$11+H143*I143*'参数'!$C$12+F143*'参数'!$C$13,2),"")</f>
        <v/>
      </c>
      <c r="K143" s="22" t="n"/>
      <c r="L143" s="20" t="str">
        <f>IF(ISNUMBER(K143),K143,IF(ISNUMBER(H143),J143,""))</f>
        <v/>
      </c>
      <c r="M143" s="46" t="str">
        <f>IF(AND(ISNUMBER(E143),ISNUMBER(G143),ISNUMBER(F143)),(E143-G143)*IF(D143="卖",-1,1)*F143*I143,"")</f>
        <v/>
      </c>
      <c r="N143" s="38" t="str">
        <f>IF(A143="","",IFERROR(T(INDEX('交易记录'!$C$5:$C$304,MATCH(A143,'交易记录'!$A$5:$A$304,0))),"编号没找到"))</f>
        <v/>
      </c>
      <c r="O143" s="31" t="n"/>
    </row>
    <row r="144">
      <c r="A144" s="29" t="n"/>
      <c r="B144" s="30" t="n"/>
      <c r="C144" s="27" t="n"/>
      <c r="D144" s="32" t="n"/>
      <c r="E144" s="33" t="n"/>
      <c r="F144" s="36" t="n"/>
      <c r="G144" s="33" t="n"/>
      <c r="H144" s="20" t="str">
        <f>IF(AND(ISNUMBER(E144),ISNUMBER(F144)),E144*F144,"")</f>
        <v/>
      </c>
      <c r="I144" s="38" t="str">
        <f>IF(A144="","",IFERROR(IF(N(INDEX('交易记录'!$G$5:$G$304,MATCH(A144,'交易记录'!$A$5:$A$304,0)))&gt;0,INDEX('交易记录'!$G$5:$G$304,MATCH(A144,'交易记录'!$A$5:$A$304,0)),1),1))</f>
        <v/>
      </c>
      <c r="J144" s="41" t="str">
        <f>IF(ISNUMBER(H144),ROUND('参数'!$C$11+H144*I144*'参数'!$C$12+F144*'参数'!$C$13,2),"")</f>
        <v/>
      </c>
      <c r="K144" s="22" t="n"/>
      <c r="L144" s="20" t="str">
        <f>IF(ISNUMBER(K144),K144,IF(ISNUMBER(H144),J144,""))</f>
        <v/>
      </c>
      <c r="M144" s="46" t="str">
        <f>IF(AND(ISNUMBER(E144),ISNUMBER(G144),ISNUMBER(F144)),(E144-G144)*IF(D144="卖",-1,1)*F144*I144,"")</f>
        <v/>
      </c>
      <c r="N144" s="38" t="str">
        <f>IF(A144="","",IFERROR(T(INDEX('交易记录'!$C$5:$C$304,MATCH(A144,'交易记录'!$A$5:$A$304,0))),"编号没找到"))</f>
        <v/>
      </c>
      <c r="O144" s="31" t="n"/>
    </row>
    <row r="145">
      <c r="A145" s="29" t="n"/>
      <c r="B145" s="30" t="n"/>
      <c r="C145" s="27" t="n"/>
      <c r="D145" s="32" t="n"/>
      <c r="E145" s="33" t="n"/>
      <c r="F145" s="36" t="n"/>
      <c r="G145" s="33" t="n"/>
      <c r="H145" s="20" t="str">
        <f>IF(AND(ISNUMBER(E145),ISNUMBER(F145)),E145*F145,"")</f>
        <v/>
      </c>
      <c r="I145" s="38" t="str">
        <f>IF(A145="","",IFERROR(IF(N(INDEX('交易记录'!$G$5:$G$304,MATCH(A145,'交易记录'!$A$5:$A$304,0)))&gt;0,INDEX('交易记录'!$G$5:$G$304,MATCH(A145,'交易记录'!$A$5:$A$304,0)),1),1))</f>
        <v/>
      </c>
      <c r="J145" s="41" t="str">
        <f>IF(ISNUMBER(H145),ROUND('参数'!$C$11+H145*I145*'参数'!$C$12+F145*'参数'!$C$13,2),"")</f>
        <v/>
      </c>
      <c r="K145" s="22" t="n"/>
      <c r="L145" s="20" t="str">
        <f>IF(ISNUMBER(K145),K145,IF(ISNUMBER(H145),J145,""))</f>
        <v/>
      </c>
      <c r="M145" s="46" t="str">
        <f>IF(AND(ISNUMBER(E145),ISNUMBER(G145),ISNUMBER(F145)),(E145-G145)*IF(D145="卖",-1,1)*F145*I145,"")</f>
        <v/>
      </c>
      <c r="N145" s="38" t="str">
        <f>IF(A145="","",IFERROR(T(INDEX('交易记录'!$C$5:$C$304,MATCH(A145,'交易记录'!$A$5:$A$304,0))),"编号没找到"))</f>
        <v/>
      </c>
      <c r="O145" s="31" t="n"/>
    </row>
    <row r="146">
      <c r="A146" s="29" t="n"/>
      <c r="B146" s="30" t="n"/>
      <c r="C146" s="27" t="n"/>
      <c r="D146" s="32" t="n"/>
      <c r="E146" s="33" t="n"/>
      <c r="F146" s="36" t="n"/>
      <c r="G146" s="33" t="n"/>
      <c r="H146" s="20" t="str">
        <f>IF(AND(ISNUMBER(E146),ISNUMBER(F146)),E146*F146,"")</f>
        <v/>
      </c>
      <c r="I146" s="38" t="str">
        <f>IF(A146="","",IFERROR(IF(N(INDEX('交易记录'!$G$5:$G$304,MATCH(A146,'交易记录'!$A$5:$A$304,0)))&gt;0,INDEX('交易记录'!$G$5:$G$304,MATCH(A146,'交易记录'!$A$5:$A$304,0)),1),1))</f>
        <v/>
      </c>
      <c r="J146" s="41" t="str">
        <f>IF(ISNUMBER(H146),ROUND('参数'!$C$11+H146*I146*'参数'!$C$12+F146*'参数'!$C$13,2),"")</f>
        <v/>
      </c>
      <c r="K146" s="22" t="n"/>
      <c r="L146" s="20" t="str">
        <f>IF(ISNUMBER(K146),K146,IF(ISNUMBER(H146),J146,""))</f>
        <v/>
      </c>
      <c r="M146" s="46" t="str">
        <f>IF(AND(ISNUMBER(E146),ISNUMBER(G146),ISNUMBER(F146)),(E146-G146)*IF(D146="卖",-1,1)*F146*I146,"")</f>
        <v/>
      </c>
      <c r="N146" s="38" t="str">
        <f>IF(A146="","",IFERROR(T(INDEX('交易记录'!$C$5:$C$304,MATCH(A146,'交易记录'!$A$5:$A$304,0))),"编号没找到"))</f>
        <v/>
      </c>
      <c r="O146" s="31" t="n"/>
    </row>
    <row r="147">
      <c r="A147" s="29" t="n"/>
      <c r="B147" s="30" t="n"/>
      <c r="C147" s="27" t="n"/>
      <c r="D147" s="32" t="n"/>
      <c r="E147" s="33" t="n"/>
      <c r="F147" s="36" t="n"/>
      <c r="G147" s="33" t="n"/>
      <c r="H147" s="20" t="str">
        <f>IF(AND(ISNUMBER(E147),ISNUMBER(F147)),E147*F147,"")</f>
        <v/>
      </c>
      <c r="I147" s="38" t="str">
        <f>IF(A147="","",IFERROR(IF(N(INDEX('交易记录'!$G$5:$G$304,MATCH(A147,'交易记录'!$A$5:$A$304,0)))&gt;0,INDEX('交易记录'!$G$5:$G$304,MATCH(A147,'交易记录'!$A$5:$A$304,0)),1),1))</f>
        <v/>
      </c>
      <c r="J147" s="41" t="str">
        <f>IF(ISNUMBER(H147),ROUND('参数'!$C$11+H147*I147*'参数'!$C$12+F147*'参数'!$C$13,2),"")</f>
        <v/>
      </c>
      <c r="K147" s="22" t="n"/>
      <c r="L147" s="20" t="str">
        <f>IF(ISNUMBER(K147),K147,IF(ISNUMBER(H147),J147,""))</f>
        <v/>
      </c>
      <c r="M147" s="46" t="str">
        <f>IF(AND(ISNUMBER(E147),ISNUMBER(G147),ISNUMBER(F147)),(E147-G147)*IF(D147="卖",-1,1)*F147*I147,"")</f>
        <v/>
      </c>
      <c r="N147" s="38" t="str">
        <f>IF(A147="","",IFERROR(T(INDEX('交易记录'!$C$5:$C$304,MATCH(A147,'交易记录'!$A$5:$A$304,0))),"编号没找到"))</f>
        <v/>
      </c>
      <c r="O147" s="31" t="n"/>
    </row>
    <row r="148">
      <c r="A148" s="29" t="n"/>
      <c r="B148" s="30" t="n"/>
      <c r="C148" s="27" t="n"/>
      <c r="D148" s="32" t="n"/>
      <c r="E148" s="33" t="n"/>
      <c r="F148" s="36" t="n"/>
      <c r="G148" s="33" t="n"/>
      <c r="H148" s="20" t="str">
        <f>IF(AND(ISNUMBER(E148),ISNUMBER(F148)),E148*F148,"")</f>
        <v/>
      </c>
      <c r="I148" s="38" t="str">
        <f>IF(A148="","",IFERROR(IF(N(INDEX('交易记录'!$G$5:$G$304,MATCH(A148,'交易记录'!$A$5:$A$304,0)))&gt;0,INDEX('交易记录'!$G$5:$G$304,MATCH(A148,'交易记录'!$A$5:$A$304,0)),1),1))</f>
        <v/>
      </c>
      <c r="J148" s="41" t="str">
        <f>IF(ISNUMBER(H148),ROUND('参数'!$C$11+H148*I148*'参数'!$C$12+F148*'参数'!$C$13,2),"")</f>
        <v/>
      </c>
      <c r="K148" s="22" t="n"/>
      <c r="L148" s="20" t="str">
        <f>IF(ISNUMBER(K148),K148,IF(ISNUMBER(H148),J148,""))</f>
        <v/>
      </c>
      <c r="M148" s="46" t="str">
        <f>IF(AND(ISNUMBER(E148),ISNUMBER(G148),ISNUMBER(F148)),(E148-G148)*IF(D148="卖",-1,1)*F148*I148,"")</f>
        <v/>
      </c>
      <c r="N148" s="38" t="str">
        <f>IF(A148="","",IFERROR(T(INDEX('交易记录'!$C$5:$C$304,MATCH(A148,'交易记录'!$A$5:$A$304,0))),"编号没找到"))</f>
        <v/>
      </c>
      <c r="O148" s="31" t="n"/>
    </row>
    <row r="149">
      <c r="A149" s="29" t="n"/>
      <c r="B149" s="30" t="n"/>
      <c r="C149" s="27" t="n"/>
      <c r="D149" s="32" t="n"/>
      <c r="E149" s="33" t="n"/>
      <c r="F149" s="36" t="n"/>
      <c r="G149" s="33" t="n"/>
      <c r="H149" s="20" t="str">
        <f>IF(AND(ISNUMBER(E149),ISNUMBER(F149)),E149*F149,"")</f>
        <v/>
      </c>
      <c r="I149" s="38" t="str">
        <f>IF(A149="","",IFERROR(IF(N(INDEX('交易记录'!$G$5:$G$304,MATCH(A149,'交易记录'!$A$5:$A$304,0)))&gt;0,INDEX('交易记录'!$G$5:$G$304,MATCH(A149,'交易记录'!$A$5:$A$304,0)),1),1))</f>
        <v/>
      </c>
      <c r="J149" s="41" t="str">
        <f>IF(ISNUMBER(H149),ROUND('参数'!$C$11+H149*I149*'参数'!$C$12+F149*'参数'!$C$13,2),"")</f>
        <v/>
      </c>
      <c r="K149" s="22" t="n"/>
      <c r="L149" s="20" t="str">
        <f>IF(ISNUMBER(K149),K149,IF(ISNUMBER(H149),J149,""))</f>
        <v/>
      </c>
      <c r="M149" s="46" t="str">
        <f>IF(AND(ISNUMBER(E149),ISNUMBER(G149),ISNUMBER(F149)),(E149-G149)*IF(D149="卖",-1,1)*F149*I149,"")</f>
        <v/>
      </c>
      <c r="N149" s="38" t="str">
        <f>IF(A149="","",IFERROR(T(INDEX('交易记录'!$C$5:$C$304,MATCH(A149,'交易记录'!$A$5:$A$304,0))),"编号没找到"))</f>
        <v/>
      </c>
      <c r="O149" s="31" t="n"/>
    </row>
    <row r="150">
      <c r="A150" s="29" t="n"/>
      <c r="B150" s="30" t="n"/>
      <c r="C150" s="27" t="n"/>
      <c r="D150" s="32" t="n"/>
      <c r="E150" s="33" t="n"/>
      <c r="F150" s="36" t="n"/>
      <c r="G150" s="33" t="n"/>
      <c r="H150" s="20" t="str">
        <f>IF(AND(ISNUMBER(E150),ISNUMBER(F150)),E150*F150,"")</f>
        <v/>
      </c>
      <c r="I150" s="38" t="str">
        <f>IF(A150="","",IFERROR(IF(N(INDEX('交易记录'!$G$5:$G$304,MATCH(A150,'交易记录'!$A$5:$A$304,0)))&gt;0,INDEX('交易记录'!$G$5:$G$304,MATCH(A150,'交易记录'!$A$5:$A$304,0)),1),1))</f>
        <v/>
      </c>
      <c r="J150" s="41" t="str">
        <f>IF(ISNUMBER(H150),ROUND('参数'!$C$11+H150*I150*'参数'!$C$12+F150*'参数'!$C$13,2),"")</f>
        <v/>
      </c>
      <c r="K150" s="22" t="n"/>
      <c r="L150" s="20" t="str">
        <f>IF(ISNUMBER(K150),K150,IF(ISNUMBER(H150),J150,""))</f>
        <v/>
      </c>
      <c r="M150" s="46" t="str">
        <f>IF(AND(ISNUMBER(E150),ISNUMBER(G150),ISNUMBER(F150)),(E150-G150)*IF(D150="卖",-1,1)*F150*I150,"")</f>
        <v/>
      </c>
      <c r="N150" s="38" t="str">
        <f>IF(A150="","",IFERROR(T(INDEX('交易记录'!$C$5:$C$304,MATCH(A150,'交易记录'!$A$5:$A$304,0))),"编号没找到"))</f>
        <v/>
      </c>
      <c r="O150" s="31" t="n"/>
    </row>
    <row r="151">
      <c r="A151" s="29" t="n"/>
      <c r="B151" s="30" t="n"/>
      <c r="C151" s="27" t="n"/>
      <c r="D151" s="32" t="n"/>
      <c r="E151" s="33" t="n"/>
      <c r="F151" s="36" t="n"/>
      <c r="G151" s="33" t="n"/>
      <c r="H151" s="20" t="str">
        <f>IF(AND(ISNUMBER(E151),ISNUMBER(F151)),E151*F151,"")</f>
        <v/>
      </c>
      <c r="I151" s="38" t="str">
        <f>IF(A151="","",IFERROR(IF(N(INDEX('交易记录'!$G$5:$G$304,MATCH(A151,'交易记录'!$A$5:$A$304,0)))&gt;0,INDEX('交易记录'!$G$5:$G$304,MATCH(A151,'交易记录'!$A$5:$A$304,0)),1),1))</f>
        <v/>
      </c>
      <c r="J151" s="41" t="str">
        <f>IF(ISNUMBER(H151),ROUND('参数'!$C$11+H151*I151*'参数'!$C$12+F151*'参数'!$C$13,2),"")</f>
        <v/>
      </c>
      <c r="K151" s="22" t="n"/>
      <c r="L151" s="20" t="str">
        <f>IF(ISNUMBER(K151),K151,IF(ISNUMBER(H151),J151,""))</f>
        <v/>
      </c>
      <c r="M151" s="46" t="str">
        <f>IF(AND(ISNUMBER(E151),ISNUMBER(G151),ISNUMBER(F151)),(E151-G151)*IF(D151="卖",-1,1)*F151*I151,"")</f>
        <v/>
      </c>
      <c r="N151" s="38" t="str">
        <f>IF(A151="","",IFERROR(T(INDEX('交易记录'!$C$5:$C$304,MATCH(A151,'交易记录'!$A$5:$A$304,0))),"编号没找到"))</f>
        <v/>
      </c>
      <c r="O151" s="31" t="n"/>
    </row>
    <row r="152">
      <c r="A152" s="29" t="n"/>
      <c r="B152" s="30" t="n"/>
      <c r="C152" s="27" t="n"/>
      <c r="D152" s="32" t="n"/>
      <c r="E152" s="33" t="n"/>
      <c r="F152" s="36" t="n"/>
      <c r="G152" s="33" t="n"/>
      <c r="H152" s="20" t="str">
        <f>IF(AND(ISNUMBER(E152),ISNUMBER(F152)),E152*F152,"")</f>
        <v/>
      </c>
      <c r="I152" s="38" t="str">
        <f>IF(A152="","",IFERROR(IF(N(INDEX('交易记录'!$G$5:$G$304,MATCH(A152,'交易记录'!$A$5:$A$304,0)))&gt;0,INDEX('交易记录'!$G$5:$G$304,MATCH(A152,'交易记录'!$A$5:$A$304,0)),1),1))</f>
        <v/>
      </c>
      <c r="J152" s="41" t="str">
        <f>IF(ISNUMBER(H152),ROUND('参数'!$C$11+H152*I152*'参数'!$C$12+F152*'参数'!$C$13,2),"")</f>
        <v/>
      </c>
      <c r="K152" s="22" t="n"/>
      <c r="L152" s="20" t="str">
        <f>IF(ISNUMBER(K152),K152,IF(ISNUMBER(H152),J152,""))</f>
        <v/>
      </c>
      <c r="M152" s="46" t="str">
        <f>IF(AND(ISNUMBER(E152),ISNUMBER(G152),ISNUMBER(F152)),(E152-G152)*IF(D152="卖",-1,1)*F152*I152,"")</f>
        <v/>
      </c>
      <c r="N152" s="38" t="str">
        <f>IF(A152="","",IFERROR(T(INDEX('交易记录'!$C$5:$C$304,MATCH(A152,'交易记录'!$A$5:$A$304,0))),"编号没找到"))</f>
        <v/>
      </c>
      <c r="O152" s="31" t="n"/>
    </row>
    <row r="153">
      <c r="A153" s="29" t="n"/>
      <c r="B153" s="30" t="n"/>
      <c r="C153" s="27" t="n"/>
      <c r="D153" s="32" t="n"/>
      <c r="E153" s="33" t="n"/>
      <c r="F153" s="36" t="n"/>
      <c r="G153" s="33" t="n"/>
      <c r="H153" s="20" t="str">
        <f>IF(AND(ISNUMBER(E153),ISNUMBER(F153)),E153*F153,"")</f>
        <v/>
      </c>
      <c r="I153" s="38" t="str">
        <f>IF(A153="","",IFERROR(IF(N(INDEX('交易记录'!$G$5:$G$304,MATCH(A153,'交易记录'!$A$5:$A$304,0)))&gt;0,INDEX('交易记录'!$G$5:$G$304,MATCH(A153,'交易记录'!$A$5:$A$304,0)),1),1))</f>
        <v/>
      </c>
      <c r="J153" s="41" t="str">
        <f>IF(ISNUMBER(H153),ROUND('参数'!$C$11+H153*I153*'参数'!$C$12+F153*'参数'!$C$13,2),"")</f>
        <v/>
      </c>
      <c r="K153" s="22" t="n"/>
      <c r="L153" s="20" t="str">
        <f>IF(ISNUMBER(K153),K153,IF(ISNUMBER(H153),J153,""))</f>
        <v/>
      </c>
      <c r="M153" s="46" t="str">
        <f>IF(AND(ISNUMBER(E153),ISNUMBER(G153),ISNUMBER(F153)),(E153-G153)*IF(D153="卖",-1,1)*F153*I153,"")</f>
        <v/>
      </c>
      <c r="N153" s="38" t="str">
        <f>IF(A153="","",IFERROR(T(INDEX('交易记录'!$C$5:$C$304,MATCH(A153,'交易记录'!$A$5:$A$304,0))),"编号没找到"))</f>
        <v/>
      </c>
      <c r="O153" s="31" t="n"/>
    </row>
    <row r="154">
      <c r="A154" s="29" t="n"/>
      <c r="B154" s="30" t="n"/>
      <c r="C154" s="27" t="n"/>
      <c r="D154" s="32" t="n"/>
      <c r="E154" s="33" t="n"/>
      <c r="F154" s="36" t="n"/>
      <c r="G154" s="33" t="n"/>
      <c r="H154" s="20" t="str">
        <f>IF(AND(ISNUMBER(E154),ISNUMBER(F154)),E154*F154,"")</f>
        <v/>
      </c>
      <c r="I154" s="38" t="str">
        <f>IF(A154="","",IFERROR(IF(N(INDEX('交易记录'!$G$5:$G$304,MATCH(A154,'交易记录'!$A$5:$A$304,0)))&gt;0,INDEX('交易记录'!$G$5:$G$304,MATCH(A154,'交易记录'!$A$5:$A$304,0)),1),1))</f>
        <v/>
      </c>
      <c r="J154" s="41" t="str">
        <f>IF(ISNUMBER(H154),ROUND('参数'!$C$11+H154*I154*'参数'!$C$12+F154*'参数'!$C$13,2),"")</f>
        <v/>
      </c>
      <c r="K154" s="22" t="n"/>
      <c r="L154" s="20" t="str">
        <f>IF(ISNUMBER(K154),K154,IF(ISNUMBER(H154),J154,""))</f>
        <v/>
      </c>
      <c r="M154" s="46" t="str">
        <f>IF(AND(ISNUMBER(E154),ISNUMBER(G154),ISNUMBER(F154)),(E154-G154)*IF(D154="卖",-1,1)*F154*I154,"")</f>
        <v/>
      </c>
      <c r="N154" s="38" t="str">
        <f>IF(A154="","",IFERROR(T(INDEX('交易记录'!$C$5:$C$304,MATCH(A154,'交易记录'!$A$5:$A$304,0))),"编号没找到"))</f>
        <v/>
      </c>
      <c r="O154" s="31" t="n"/>
    </row>
    <row r="155">
      <c r="A155" s="29" t="n"/>
      <c r="B155" s="30" t="n"/>
      <c r="C155" s="27" t="n"/>
      <c r="D155" s="32" t="n"/>
      <c r="E155" s="33" t="n"/>
      <c r="F155" s="36" t="n"/>
      <c r="G155" s="33" t="n"/>
      <c r="H155" s="20" t="str">
        <f>IF(AND(ISNUMBER(E155),ISNUMBER(F155)),E155*F155,"")</f>
        <v/>
      </c>
      <c r="I155" s="38" t="str">
        <f>IF(A155="","",IFERROR(IF(N(INDEX('交易记录'!$G$5:$G$304,MATCH(A155,'交易记录'!$A$5:$A$304,0)))&gt;0,INDEX('交易记录'!$G$5:$G$304,MATCH(A155,'交易记录'!$A$5:$A$304,0)),1),1))</f>
        <v/>
      </c>
      <c r="J155" s="41" t="str">
        <f>IF(ISNUMBER(H155),ROUND('参数'!$C$11+H155*I155*'参数'!$C$12+F155*'参数'!$C$13,2),"")</f>
        <v/>
      </c>
      <c r="K155" s="22" t="n"/>
      <c r="L155" s="20" t="str">
        <f>IF(ISNUMBER(K155),K155,IF(ISNUMBER(H155),J155,""))</f>
        <v/>
      </c>
      <c r="M155" s="46" t="str">
        <f>IF(AND(ISNUMBER(E155),ISNUMBER(G155),ISNUMBER(F155)),(E155-G155)*IF(D155="卖",-1,1)*F155*I155,"")</f>
        <v/>
      </c>
      <c r="N155" s="38" t="str">
        <f>IF(A155="","",IFERROR(T(INDEX('交易记录'!$C$5:$C$304,MATCH(A155,'交易记录'!$A$5:$A$304,0))),"编号没找到"))</f>
        <v/>
      </c>
      <c r="O155" s="31" t="n"/>
    </row>
    <row r="156">
      <c r="A156" s="29" t="n"/>
      <c r="B156" s="30" t="n"/>
      <c r="C156" s="27" t="n"/>
      <c r="D156" s="32" t="n"/>
      <c r="E156" s="33" t="n"/>
      <c r="F156" s="36" t="n"/>
      <c r="G156" s="33" t="n"/>
      <c r="H156" s="20" t="str">
        <f>IF(AND(ISNUMBER(E156),ISNUMBER(F156)),E156*F156,"")</f>
        <v/>
      </c>
      <c r="I156" s="38" t="str">
        <f>IF(A156="","",IFERROR(IF(N(INDEX('交易记录'!$G$5:$G$304,MATCH(A156,'交易记录'!$A$5:$A$304,0)))&gt;0,INDEX('交易记录'!$G$5:$G$304,MATCH(A156,'交易记录'!$A$5:$A$304,0)),1),1))</f>
        <v/>
      </c>
      <c r="J156" s="41" t="str">
        <f>IF(ISNUMBER(H156),ROUND('参数'!$C$11+H156*I156*'参数'!$C$12+F156*'参数'!$C$13,2),"")</f>
        <v/>
      </c>
      <c r="K156" s="22" t="n"/>
      <c r="L156" s="20" t="str">
        <f>IF(ISNUMBER(K156),K156,IF(ISNUMBER(H156),J156,""))</f>
        <v/>
      </c>
      <c r="M156" s="46" t="str">
        <f>IF(AND(ISNUMBER(E156),ISNUMBER(G156),ISNUMBER(F156)),(E156-G156)*IF(D156="卖",-1,1)*F156*I156,"")</f>
        <v/>
      </c>
      <c r="N156" s="38" t="str">
        <f>IF(A156="","",IFERROR(T(INDEX('交易记录'!$C$5:$C$304,MATCH(A156,'交易记录'!$A$5:$A$304,0))),"编号没找到"))</f>
        <v/>
      </c>
      <c r="O156" s="31" t="n"/>
    </row>
    <row r="157">
      <c r="A157" s="29" t="n"/>
      <c r="B157" s="30" t="n"/>
      <c r="C157" s="27" t="n"/>
      <c r="D157" s="32" t="n"/>
      <c r="E157" s="33" t="n"/>
      <c r="F157" s="36" t="n"/>
      <c r="G157" s="33" t="n"/>
      <c r="H157" s="20" t="str">
        <f>IF(AND(ISNUMBER(E157),ISNUMBER(F157)),E157*F157,"")</f>
        <v/>
      </c>
      <c r="I157" s="38" t="str">
        <f>IF(A157="","",IFERROR(IF(N(INDEX('交易记录'!$G$5:$G$304,MATCH(A157,'交易记录'!$A$5:$A$304,0)))&gt;0,INDEX('交易记录'!$G$5:$G$304,MATCH(A157,'交易记录'!$A$5:$A$304,0)),1),1))</f>
        <v/>
      </c>
      <c r="J157" s="41" t="str">
        <f>IF(ISNUMBER(H157),ROUND('参数'!$C$11+H157*I157*'参数'!$C$12+F157*'参数'!$C$13,2),"")</f>
        <v/>
      </c>
      <c r="K157" s="22" t="n"/>
      <c r="L157" s="20" t="str">
        <f>IF(ISNUMBER(K157),K157,IF(ISNUMBER(H157),J157,""))</f>
        <v/>
      </c>
      <c r="M157" s="46" t="str">
        <f>IF(AND(ISNUMBER(E157),ISNUMBER(G157),ISNUMBER(F157)),(E157-G157)*IF(D157="卖",-1,1)*F157*I157,"")</f>
        <v/>
      </c>
      <c r="N157" s="38" t="str">
        <f>IF(A157="","",IFERROR(T(INDEX('交易记录'!$C$5:$C$304,MATCH(A157,'交易记录'!$A$5:$A$304,0))),"编号没找到"))</f>
        <v/>
      </c>
      <c r="O157" s="31" t="n"/>
    </row>
    <row r="158">
      <c r="A158" s="29" t="n"/>
      <c r="B158" s="30" t="n"/>
      <c r="C158" s="27" t="n"/>
      <c r="D158" s="32" t="n"/>
      <c r="E158" s="33" t="n"/>
      <c r="F158" s="36" t="n"/>
      <c r="G158" s="33" t="n"/>
      <c r="H158" s="20" t="str">
        <f>IF(AND(ISNUMBER(E158),ISNUMBER(F158)),E158*F158,"")</f>
        <v/>
      </c>
      <c r="I158" s="38" t="str">
        <f>IF(A158="","",IFERROR(IF(N(INDEX('交易记录'!$G$5:$G$304,MATCH(A158,'交易记录'!$A$5:$A$304,0)))&gt;0,INDEX('交易记录'!$G$5:$G$304,MATCH(A158,'交易记录'!$A$5:$A$304,0)),1),1))</f>
        <v/>
      </c>
      <c r="J158" s="41" t="str">
        <f>IF(ISNUMBER(H158),ROUND('参数'!$C$11+H158*I158*'参数'!$C$12+F158*'参数'!$C$13,2),"")</f>
        <v/>
      </c>
      <c r="K158" s="22" t="n"/>
      <c r="L158" s="20" t="str">
        <f>IF(ISNUMBER(K158),K158,IF(ISNUMBER(H158),J158,""))</f>
        <v/>
      </c>
      <c r="M158" s="46" t="str">
        <f>IF(AND(ISNUMBER(E158),ISNUMBER(G158),ISNUMBER(F158)),(E158-G158)*IF(D158="卖",-1,1)*F158*I158,"")</f>
        <v/>
      </c>
      <c r="N158" s="38" t="str">
        <f>IF(A158="","",IFERROR(T(INDEX('交易记录'!$C$5:$C$304,MATCH(A158,'交易记录'!$A$5:$A$304,0))),"编号没找到"))</f>
        <v/>
      </c>
      <c r="O158" s="31" t="n"/>
    </row>
    <row r="159">
      <c r="A159" s="29" t="n"/>
      <c r="B159" s="30" t="n"/>
      <c r="C159" s="27" t="n"/>
      <c r="D159" s="32" t="n"/>
      <c r="E159" s="33" t="n"/>
      <c r="F159" s="36" t="n"/>
      <c r="G159" s="33" t="n"/>
      <c r="H159" s="20" t="str">
        <f>IF(AND(ISNUMBER(E159),ISNUMBER(F159)),E159*F159,"")</f>
        <v/>
      </c>
      <c r="I159" s="38" t="str">
        <f>IF(A159="","",IFERROR(IF(N(INDEX('交易记录'!$G$5:$G$304,MATCH(A159,'交易记录'!$A$5:$A$304,0)))&gt;0,INDEX('交易记录'!$G$5:$G$304,MATCH(A159,'交易记录'!$A$5:$A$304,0)),1),1))</f>
        <v/>
      </c>
      <c r="J159" s="41" t="str">
        <f>IF(ISNUMBER(H159),ROUND('参数'!$C$11+H159*I159*'参数'!$C$12+F159*'参数'!$C$13,2),"")</f>
        <v/>
      </c>
      <c r="K159" s="22" t="n"/>
      <c r="L159" s="20" t="str">
        <f>IF(ISNUMBER(K159),K159,IF(ISNUMBER(H159),J159,""))</f>
        <v/>
      </c>
      <c r="M159" s="46" t="str">
        <f>IF(AND(ISNUMBER(E159),ISNUMBER(G159),ISNUMBER(F159)),(E159-G159)*IF(D159="卖",-1,1)*F159*I159,"")</f>
        <v/>
      </c>
      <c r="N159" s="38" t="str">
        <f>IF(A159="","",IFERROR(T(INDEX('交易记录'!$C$5:$C$304,MATCH(A159,'交易记录'!$A$5:$A$304,0))),"编号没找到"))</f>
        <v/>
      </c>
      <c r="O159" s="31" t="n"/>
    </row>
    <row r="160">
      <c r="A160" s="29" t="n"/>
      <c r="B160" s="30" t="n"/>
      <c r="C160" s="27" t="n"/>
      <c r="D160" s="32" t="n"/>
      <c r="E160" s="33" t="n"/>
      <c r="F160" s="36" t="n"/>
      <c r="G160" s="33" t="n"/>
      <c r="H160" s="20" t="str">
        <f>IF(AND(ISNUMBER(E160),ISNUMBER(F160)),E160*F160,"")</f>
        <v/>
      </c>
      <c r="I160" s="38" t="str">
        <f>IF(A160="","",IFERROR(IF(N(INDEX('交易记录'!$G$5:$G$304,MATCH(A160,'交易记录'!$A$5:$A$304,0)))&gt;0,INDEX('交易记录'!$G$5:$G$304,MATCH(A160,'交易记录'!$A$5:$A$304,0)),1),1))</f>
        <v/>
      </c>
      <c r="J160" s="41" t="str">
        <f>IF(ISNUMBER(H160),ROUND('参数'!$C$11+H160*I160*'参数'!$C$12+F160*'参数'!$C$13,2),"")</f>
        <v/>
      </c>
      <c r="K160" s="22" t="n"/>
      <c r="L160" s="20" t="str">
        <f>IF(ISNUMBER(K160),K160,IF(ISNUMBER(H160),J160,""))</f>
        <v/>
      </c>
      <c r="M160" s="46" t="str">
        <f>IF(AND(ISNUMBER(E160),ISNUMBER(G160),ISNUMBER(F160)),(E160-G160)*IF(D160="卖",-1,1)*F160*I160,"")</f>
        <v/>
      </c>
      <c r="N160" s="38" t="str">
        <f>IF(A160="","",IFERROR(T(INDEX('交易记录'!$C$5:$C$304,MATCH(A160,'交易记录'!$A$5:$A$304,0))),"编号没找到"))</f>
        <v/>
      </c>
      <c r="O160" s="31" t="n"/>
    </row>
    <row r="161">
      <c r="A161" s="29" t="n"/>
      <c r="B161" s="30" t="n"/>
      <c r="C161" s="27" t="n"/>
      <c r="D161" s="32" t="n"/>
      <c r="E161" s="33" t="n"/>
      <c r="F161" s="36" t="n"/>
      <c r="G161" s="33" t="n"/>
      <c r="H161" s="20" t="str">
        <f>IF(AND(ISNUMBER(E161),ISNUMBER(F161)),E161*F161,"")</f>
        <v/>
      </c>
      <c r="I161" s="38" t="str">
        <f>IF(A161="","",IFERROR(IF(N(INDEX('交易记录'!$G$5:$G$304,MATCH(A161,'交易记录'!$A$5:$A$304,0)))&gt;0,INDEX('交易记录'!$G$5:$G$304,MATCH(A161,'交易记录'!$A$5:$A$304,0)),1),1))</f>
        <v/>
      </c>
      <c r="J161" s="41" t="str">
        <f>IF(ISNUMBER(H161),ROUND('参数'!$C$11+H161*I161*'参数'!$C$12+F161*'参数'!$C$13,2),"")</f>
        <v/>
      </c>
      <c r="K161" s="22" t="n"/>
      <c r="L161" s="20" t="str">
        <f>IF(ISNUMBER(K161),K161,IF(ISNUMBER(H161),J161,""))</f>
        <v/>
      </c>
      <c r="M161" s="46" t="str">
        <f>IF(AND(ISNUMBER(E161),ISNUMBER(G161),ISNUMBER(F161)),(E161-G161)*IF(D161="卖",-1,1)*F161*I161,"")</f>
        <v/>
      </c>
      <c r="N161" s="38" t="str">
        <f>IF(A161="","",IFERROR(T(INDEX('交易记录'!$C$5:$C$304,MATCH(A161,'交易记录'!$A$5:$A$304,0))),"编号没找到"))</f>
        <v/>
      </c>
      <c r="O161" s="31" t="n"/>
    </row>
    <row r="162">
      <c r="A162" s="29" t="n"/>
      <c r="B162" s="30" t="n"/>
      <c r="C162" s="27" t="n"/>
      <c r="D162" s="32" t="n"/>
      <c r="E162" s="33" t="n"/>
      <c r="F162" s="36" t="n"/>
      <c r="G162" s="33" t="n"/>
      <c r="H162" s="20" t="str">
        <f>IF(AND(ISNUMBER(E162),ISNUMBER(F162)),E162*F162,"")</f>
        <v/>
      </c>
      <c r="I162" s="38" t="str">
        <f>IF(A162="","",IFERROR(IF(N(INDEX('交易记录'!$G$5:$G$304,MATCH(A162,'交易记录'!$A$5:$A$304,0)))&gt;0,INDEX('交易记录'!$G$5:$G$304,MATCH(A162,'交易记录'!$A$5:$A$304,0)),1),1))</f>
        <v/>
      </c>
      <c r="J162" s="41" t="str">
        <f>IF(ISNUMBER(H162),ROUND('参数'!$C$11+H162*I162*'参数'!$C$12+F162*'参数'!$C$13,2),"")</f>
        <v/>
      </c>
      <c r="K162" s="22" t="n"/>
      <c r="L162" s="20" t="str">
        <f>IF(ISNUMBER(K162),K162,IF(ISNUMBER(H162),J162,""))</f>
        <v/>
      </c>
      <c r="M162" s="46" t="str">
        <f>IF(AND(ISNUMBER(E162),ISNUMBER(G162),ISNUMBER(F162)),(E162-G162)*IF(D162="卖",-1,1)*F162*I162,"")</f>
        <v/>
      </c>
      <c r="N162" s="38" t="str">
        <f>IF(A162="","",IFERROR(T(INDEX('交易记录'!$C$5:$C$304,MATCH(A162,'交易记录'!$A$5:$A$304,0))),"编号没找到"))</f>
        <v/>
      </c>
      <c r="O162" s="31" t="n"/>
    </row>
    <row r="163">
      <c r="A163" s="29" t="n"/>
      <c r="B163" s="30" t="n"/>
      <c r="C163" s="27" t="n"/>
      <c r="D163" s="32" t="n"/>
      <c r="E163" s="33" t="n"/>
      <c r="F163" s="36" t="n"/>
      <c r="G163" s="33" t="n"/>
      <c r="H163" s="20" t="str">
        <f>IF(AND(ISNUMBER(E163),ISNUMBER(F163)),E163*F163,"")</f>
        <v/>
      </c>
      <c r="I163" s="38" t="str">
        <f>IF(A163="","",IFERROR(IF(N(INDEX('交易记录'!$G$5:$G$304,MATCH(A163,'交易记录'!$A$5:$A$304,0)))&gt;0,INDEX('交易记录'!$G$5:$G$304,MATCH(A163,'交易记录'!$A$5:$A$304,0)),1),1))</f>
        <v/>
      </c>
      <c r="J163" s="41" t="str">
        <f>IF(ISNUMBER(H163),ROUND('参数'!$C$11+H163*I163*'参数'!$C$12+F163*'参数'!$C$13,2),"")</f>
        <v/>
      </c>
      <c r="K163" s="22" t="n"/>
      <c r="L163" s="20" t="str">
        <f>IF(ISNUMBER(K163),K163,IF(ISNUMBER(H163),J163,""))</f>
        <v/>
      </c>
      <c r="M163" s="46" t="str">
        <f>IF(AND(ISNUMBER(E163),ISNUMBER(G163),ISNUMBER(F163)),(E163-G163)*IF(D163="卖",-1,1)*F163*I163,"")</f>
        <v/>
      </c>
      <c r="N163" s="38" t="str">
        <f>IF(A163="","",IFERROR(T(INDEX('交易记录'!$C$5:$C$304,MATCH(A163,'交易记录'!$A$5:$A$304,0))),"编号没找到"))</f>
        <v/>
      </c>
      <c r="O163" s="31" t="n"/>
    </row>
    <row r="164">
      <c r="A164" s="29" t="n"/>
      <c r="B164" s="30" t="n"/>
      <c r="C164" s="27" t="n"/>
      <c r="D164" s="32" t="n"/>
      <c r="E164" s="33" t="n"/>
      <c r="F164" s="36" t="n"/>
      <c r="G164" s="33" t="n"/>
      <c r="H164" s="20" t="str">
        <f>IF(AND(ISNUMBER(E164),ISNUMBER(F164)),E164*F164,"")</f>
        <v/>
      </c>
      <c r="I164" s="38" t="str">
        <f>IF(A164="","",IFERROR(IF(N(INDEX('交易记录'!$G$5:$G$304,MATCH(A164,'交易记录'!$A$5:$A$304,0)))&gt;0,INDEX('交易记录'!$G$5:$G$304,MATCH(A164,'交易记录'!$A$5:$A$304,0)),1),1))</f>
        <v/>
      </c>
      <c r="J164" s="41" t="str">
        <f>IF(ISNUMBER(H164),ROUND('参数'!$C$11+H164*I164*'参数'!$C$12+F164*'参数'!$C$13,2),"")</f>
        <v/>
      </c>
      <c r="K164" s="22" t="n"/>
      <c r="L164" s="20" t="str">
        <f>IF(ISNUMBER(K164),K164,IF(ISNUMBER(H164),J164,""))</f>
        <v/>
      </c>
      <c r="M164" s="46" t="str">
        <f>IF(AND(ISNUMBER(E164),ISNUMBER(G164),ISNUMBER(F164)),(E164-G164)*IF(D164="卖",-1,1)*F164*I164,"")</f>
        <v/>
      </c>
      <c r="N164" s="38" t="str">
        <f>IF(A164="","",IFERROR(T(INDEX('交易记录'!$C$5:$C$304,MATCH(A164,'交易记录'!$A$5:$A$304,0))),"编号没找到"))</f>
        <v/>
      </c>
      <c r="O164" s="31" t="n"/>
    </row>
    <row r="165">
      <c r="A165" s="29" t="n"/>
      <c r="B165" s="30" t="n"/>
      <c r="C165" s="27" t="n"/>
      <c r="D165" s="32" t="n"/>
      <c r="E165" s="33" t="n"/>
      <c r="F165" s="36" t="n"/>
      <c r="G165" s="33" t="n"/>
      <c r="H165" s="20" t="str">
        <f>IF(AND(ISNUMBER(E165),ISNUMBER(F165)),E165*F165,"")</f>
        <v/>
      </c>
      <c r="I165" s="38" t="str">
        <f>IF(A165="","",IFERROR(IF(N(INDEX('交易记录'!$G$5:$G$304,MATCH(A165,'交易记录'!$A$5:$A$304,0)))&gt;0,INDEX('交易记录'!$G$5:$G$304,MATCH(A165,'交易记录'!$A$5:$A$304,0)),1),1))</f>
        <v/>
      </c>
      <c r="J165" s="41" t="str">
        <f>IF(ISNUMBER(H165),ROUND('参数'!$C$11+H165*I165*'参数'!$C$12+F165*'参数'!$C$13,2),"")</f>
        <v/>
      </c>
      <c r="K165" s="22" t="n"/>
      <c r="L165" s="20" t="str">
        <f>IF(ISNUMBER(K165),K165,IF(ISNUMBER(H165),J165,""))</f>
        <v/>
      </c>
      <c r="M165" s="46" t="str">
        <f>IF(AND(ISNUMBER(E165),ISNUMBER(G165),ISNUMBER(F165)),(E165-G165)*IF(D165="卖",-1,1)*F165*I165,"")</f>
        <v/>
      </c>
      <c r="N165" s="38" t="str">
        <f>IF(A165="","",IFERROR(T(INDEX('交易记录'!$C$5:$C$304,MATCH(A165,'交易记录'!$A$5:$A$304,0))),"编号没找到"))</f>
        <v/>
      </c>
      <c r="O165" s="31" t="n"/>
    </row>
    <row r="166">
      <c r="A166" s="29" t="n"/>
      <c r="B166" s="30" t="n"/>
      <c r="C166" s="27" t="n"/>
      <c r="D166" s="32" t="n"/>
      <c r="E166" s="33" t="n"/>
      <c r="F166" s="36" t="n"/>
      <c r="G166" s="33" t="n"/>
      <c r="H166" s="20" t="str">
        <f>IF(AND(ISNUMBER(E166),ISNUMBER(F166)),E166*F166,"")</f>
        <v/>
      </c>
      <c r="I166" s="38" t="str">
        <f>IF(A166="","",IFERROR(IF(N(INDEX('交易记录'!$G$5:$G$304,MATCH(A166,'交易记录'!$A$5:$A$304,0)))&gt;0,INDEX('交易记录'!$G$5:$G$304,MATCH(A166,'交易记录'!$A$5:$A$304,0)),1),1))</f>
        <v/>
      </c>
      <c r="J166" s="41" t="str">
        <f>IF(ISNUMBER(H166),ROUND('参数'!$C$11+H166*I166*'参数'!$C$12+F166*'参数'!$C$13,2),"")</f>
        <v/>
      </c>
      <c r="K166" s="22" t="n"/>
      <c r="L166" s="20" t="str">
        <f>IF(ISNUMBER(K166),K166,IF(ISNUMBER(H166),J166,""))</f>
        <v/>
      </c>
      <c r="M166" s="46" t="str">
        <f>IF(AND(ISNUMBER(E166),ISNUMBER(G166),ISNUMBER(F166)),(E166-G166)*IF(D166="卖",-1,1)*F166*I166,"")</f>
        <v/>
      </c>
      <c r="N166" s="38" t="str">
        <f>IF(A166="","",IFERROR(T(INDEX('交易记录'!$C$5:$C$304,MATCH(A166,'交易记录'!$A$5:$A$304,0))),"编号没找到"))</f>
        <v/>
      </c>
      <c r="O166" s="31" t="n"/>
    </row>
    <row r="167">
      <c r="A167" s="29" t="n"/>
      <c r="B167" s="30" t="n"/>
      <c r="C167" s="27" t="n"/>
      <c r="D167" s="32" t="n"/>
      <c r="E167" s="33" t="n"/>
      <c r="F167" s="36" t="n"/>
      <c r="G167" s="33" t="n"/>
      <c r="H167" s="20" t="str">
        <f>IF(AND(ISNUMBER(E167),ISNUMBER(F167)),E167*F167,"")</f>
        <v/>
      </c>
      <c r="I167" s="38" t="str">
        <f>IF(A167="","",IFERROR(IF(N(INDEX('交易记录'!$G$5:$G$304,MATCH(A167,'交易记录'!$A$5:$A$304,0)))&gt;0,INDEX('交易记录'!$G$5:$G$304,MATCH(A167,'交易记录'!$A$5:$A$304,0)),1),1))</f>
        <v/>
      </c>
      <c r="J167" s="41" t="str">
        <f>IF(ISNUMBER(H167),ROUND('参数'!$C$11+H167*I167*'参数'!$C$12+F167*'参数'!$C$13,2),"")</f>
        <v/>
      </c>
      <c r="K167" s="22" t="n"/>
      <c r="L167" s="20" t="str">
        <f>IF(ISNUMBER(K167),K167,IF(ISNUMBER(H167),J167,""))</f>
        <v/>
      </c>
      <c r="M167" s="46" t="str">
        <f>IF(AND(ISNUMBER(E167),ISNUMBER(G167),ISNUMBER(F167)),(E167-G167)*IF(D167="卖",-1,1)*F167*I167,"")</f>
        <v/>
      </c>
      <c r="N167" s="38" t="str">
        <f>IF(A167="","",IFERROR(T(INDEX('交易记录'!$C$5:$C$304,MATCH(A167,'交易记录'!$A$5:$A$304,0))),"编号没找到"))</f>
        <v/>
      </c>
      <c r="O167" s="31" t="n"/>
    </row>
    <row r="168">
      <c r="A168" s="29" t="n"/>
      <c r="B168" s="30" t="n"/>
      <c r="C168" s="27" t="n"/>
      <c r="D168" s="32" t="n"/>
      <c r="E168" s="33" t="n"/>
      <c r="F168" s="36" t="n"/>
      <c r="G168" s="33" t="n"/>
      <c r="H168" s="20" t="str">
        <f>IF(AND(ISNUMBER(E168),ISNUMBER(F168)),E168*F168,"")</f>
        <v/>
      </c>
      <c r="I168" s="38" t="str">
        <f>IF(A168="","",IFERROR(IF(N(INDEX('交易记录'!$G$5:$G$304,MATCH(A168,'交易记录'!$A$5:$A$304,0)))&gt;0,INDEX('交易记录'!$G$5:$G$304,MATCH(A168,'交易记录'!$A$5:$A$304,0)),1),1))</f>
        <v/>
      </c>
      <c r="J168" s="41" t="str">
        <f>IF(ISNUMBER(H168),ROUND('参数'!$C$11+H168*I168*'参数'!$C$12+F168*'参数'!$C$13,2),"")</f>
        <v/>
      </c>
      <c r="K168" s="22" t="n"/>
      <c r="L168" s="20" t="str">
        <f>IF(ISNUMBER(K168),K168,IF(ISNUMBER(H168),J168,""))</f>
        <v/>
      </c>
      <c r="M168" s="46" t="str">
        <f>IF(AND(ISNUMBER(E168),ISNUMBER(G168),ISNUMBER(F168)),(E168-G168)*IF(D168="卖",-1,1)*F168*I168,"")</f>
        <v/>
      </c>
      <c r="N168" s="38" t="str">
        <f>IF(A168="","",IFERROR(T(INDEX('交易记录'!$C$5:$C$304,MATCH(A168,'交易记录'!$A$5:$A$304,0))),"编号没找到"))</f>
        <v/>
      </c>
      <c r="O168" s="31" t="n"/>
    </row>
    <row r="169">
      <c r="A169" s="29" t="n"/>
      <c r="B169" s="30" t="n"/>
      <c r="C169" s="27" t="n"/>
      <c r="D169" s="32" t="n"/>
      <c r="E169" s="33" t="n"/>
      <c r="F169" s="36" t="n"/>
      <c r="G169" s="33" t="n"/>
      <c r="H169" s="20" t="str">
        <f>IF(AND(ISNUMBER(E169),ISNUMBER(F169)),E169*F169,"")</f>
        <v/>
      </c>
      <c r="I169" s="38" t="str">
        <f>IF(A169="","",IFERROR(IF(N(INDEX('交易记录'!$G$5:$G$304,MATCH(A169,'交易记录'!$A$5:$A$304,0)))&gt;0,INDEX('交易记录'!$G$5:$G$304,MATCH(A169,'交易记录'!$A$5:$A$304,0)),1),1))</f>
        <v/>
      </c>
      <c r="J169" s="41" t="str">
        <f>IF(ISNUMBER(H169),ROUND('参数'!$C$11+H169*I169*'参数'!$C$12+F169*'参数'!$C$13,2),"")</f>
        <v/>
      </c>
      <c r="K169" s="22" t="n"/>
      <c r="L169" s="20" t="str">
        <f>IF(ISNUMBER(K169),K169,IF(ISNUMBER(H169),J169,""))</f>
        <v/>
      </c>
      <c r="M169" s="46" t="str">
        <f>IF(AND(ISNUMBER(E169),ISNUMBER(G169),ISNUMBER(F169)),(E169-G169)*IF(D169="卖",-1,1)*F169*I169,"")</f>
        <v/>
      </c>
      <c r="N169" s="38" t="str">
        <f>IF(A169="","",IFERROR(T(INDEX('交易记录'!$C$5:$C$304,MATCH(A169,'交易记录'!$A$5:$A$304,0))),"编号没找到"))</f>
        <v/>
      </c>
      <c r="O169" s="31" t="n"/>
    </row>
    <row r="170">
      <c r="A170" s="29" t="n"/>
      <c r="B170" s="30" t="n"/>
      <c r="C170" s="27" t="n"/>
      <c r="D170" s="32" t="n"/>
      <c r="E170" s="33" t="n"/>
      <c r="F170" s="36" t="n"/>
      <c r="G170" s="33" t="n"/>
      <c r="H170" s="20" t="str">
        <f>IF(AND(ISNUMBER(E170),ISNUMBER(F170)),E170*F170,"")</f>
        <v/>
      </c>
      <c r="I170" s="38" t="str">
        <f>IF(A170="","",IFERROR(IF(N(INDEX('交易记录'!$G$5:$G$304,MATCH(A170,'交易记录'!$A$5:$A$304,0)))&gt;0,INDEX('交易记录'!$G$5:$G$304,MATCH(A170,'交易记录'!$A$5:$A$304,0)),1),1))</f>
        <v/>
      </c>
      <c r="J170" s="41" t="str">
        <f>IF(ISNUMBER(H170),ROUND('参数'!$C$11+H170*I170*'参数'!$C$12+F170*'参数'!$C$13,2),"")</f>
        <v/>
      </c>
      <c r="K170" s="22" t="n"/>
      <c r="L170" s="20" t="str">
        <f>IF(ISNUMBER(K170),K170,IF(ISNUMBER(H170),J170,""))</f>
        <v/>
      </c>
      <c r="M170" s="46" t="str">
        <f>IF(AND(ISNUMBER(E170),ISNUMBER(G170),ISNUMBER(F170)),(E170-G170)*IF(D170="卖",-1,1)*F170*I170,"")</f>
        <v/>
      </c>
      <c r="N170" s="38" t="str">
        <f>IF(A170="","",IFERROR(T(INDEX('交易记录'!$C$5:$C$304,MATCH(A170,'交易记录'!$A$5:$A$304,0))),"编号没找到"))</f>
        <v/>
      </c>
      <c r="O170" s="31" t="n"/>
    </row>
    <row r="171">
      <c r="A171" s="29" t="n"/>
      <c r="B171" s="30" t="n"/>
      <c r="C171" s="27" t="n"/>
      <c r="D171" s="32" t="n"/>
      <c r="E171" s="33" t="n"/>
      <c r="F171" s="36" t="n"/>
      <c r="G171" s="33" t="n"/>
      <c r="H171" s="20" t="str">
        <f>IF(AND(ISNUMBER(E171),ISNUMBER(F171)),E171*F171,"")</f>
        <v/>
      </c>
      <c r="I171" s="38" t="str">
        <f>IF(A171="","",IFERROR(IF(N(INDEX('交易记录'!$G$5:$G$304,MATCH(A171,'交易记录'!$A$5:$A$304,0)))&gt;0,INDEX('交易记录'!$G$5:$G$304,MATCH(A171,'交易记录'!$A$5:$A$304,0)),1),1))</f>
        <v/>
      </c>
      <c r="J171" s="41" t="str">
        <f>IF(ISNUMBER(H171),ROUND('参数'!$C$11+H171*I171*'参数'!$C$12+F171*'参数'!$C$13,2),"")</f>
        <v/>
      </c>
      <c r="K171" s="22" t="n"/>
      <c r="L171" s="20" t="str">
        <f>IF(ISNUMBER(K171),K171,IF(ISNUMBER(H171),J171,""))</f>
        <v/>
      </c>
      <c r="M171" s="46" t="str">
        <f>IF(AND(ISNUMBER(E171),ISNUMBER(G171),ISNUMBER(F171)),(E171-G171)*IF(D171="卖",-1,1)*F171*I171,"")</f>
        <v/>
      </c>
      <c r="N171" s="38" t="str">
        <f>IF(A171="","",IFERROR(T(INDEX('交易记录'!$C$5:$C$304,MATCH(A171,'交易记录'!$A$5:$A$304,0))),"编号没找到"))</f>
        <v/>
      </c>
      <c r="O171" s="31" t="n"/>
    </row>
    <row r="172">
      <c r="A172" s="29" t="n"/>
      <c r="B172" s="30" t="n"/>
      <c r="C172" s="27" t="n"/>
      <c r="D172" s="32" t="n"/>
      <c r="E172" s="33" t="n"/>
      <c r="F172" s="36" t="n"/>
      <c r="G172" s="33" t="n"/>
      <c r="H172" s="20" t="str">
        <f>IF(AND(ISNUMBER(E172),ISNUMBER(F172)),E172*F172,"")</f>
        <v/>
      </c>
      <c r="I172" s="38" t="str">
        <f>IF(A172="","",IFERROR(IF(N(INDEX('交易记录'!$G$5:$G$304,MATCH(A172,'交易记录'!$A$5:$A$304,0)))&gt;0,INDEX('交易记录'!$G$5:$G$304,MATCH(A172,'交易记录'!$A$5:$A$304,0)),1),1))</f>
        <v/>
      </c>
      <c r="J172" s="41" t="str">
        <f>IF(ISNUMBER(H172),ROUND('参数'!$C$11+H172*I172*'参数'!$C$12+F172*'参数'!$C$13,2),"")</f>
        <v/>
      </c>
      <c r="K172" s="22" t="n"/>
      <c r="L172" s="20" t="str">
        <f>IF(ISNUMBER(K172),K172,IF(ISNUMBER(H172),J172,""))</f>
        <v/>
      </c>
      <c r="M172" s="46" t="str">
        <f>IF(AND(ISNUMBER(E172),ISNUMBER(G172),ISNUMBER(F172)),(E172-G172)*IF(D172="卖",-1,1)*F172*I172,"")</f>
        <v/>
      </c>
      <c r="N172" s="38" t="str">
        <f>IF(A172="","",IFERROR(T(INDEX('交易记录'!$C$5:$C$304,MATCH(A172,'交易记录'!$A$5:$A$304,0))),"编号没找到"))</f>
        <v/>
      </c>
      <c r="O172" s="31" t="n"/>
    </row>
    <row r="173">
      <c r="A173" s="29" t="n"/>
      <c r="B173" s="30" t="n"/>
      <c r="C173" s="27" t="n"/>
      <c r="D173" s="32" t="n"/>
      <c r="E173" s="33" t="n"/>
      <c r="F173" s="36" t="n"/>
      <c r="G173" s="33" t="n"/>
      <c r="H173" s="20" t="str">
        <f>IF(AND(ISNUMBER(E173),ISNUMBER(F173)),E173*F173,"")</f>
        <v/>
      </c>
      <c r="I173" s="38" t="str">
        <f>IF(A173="","",IFERROR(IF(N(INDEX('交易记录'!$G$5:$G$304,MATCH(A173,'交易记录'!$A$5:$A$304,0)))&gt;0,INDEX('交易记录'!$G$5:$G$304,MATCH(A173,'交易记录'!$A$5:$A$304,0)),1),1))</f>
        <v/>
      </c>
      <c r="J173" s="41" t="str">
        <f>IF(ISNUMBER(H173),ROUND('参数'!$C$11+H173*I173*'参数'!$C$12+F173*'参数'!$C$13,2),"")</f>
        <v/>
      </c>
      <c r="K173" s="22" t="n"/>
      <c r="L173" s="20" t="str">
        <f>IF(ISNUMBER(K173),K173,IF(ISNUMBER(H173),J173,""))</f>
        <v/>
      </c>
      <c r="M173" s="46" t="str">
        <f>IF(AND(ISNUMBER(E173),ISNUMBER(G173),ISNUMBER(F173)),(E173-G173)*IF(D173="卖",-1,1)*F173*I173,"")</f>
        <v/>
      </c>
      <c r="N173" s="38" t="str">
        <f>IF(A173="","",IFERROR(T(INDEX('交易记录'!$C$5:$C$304,MATCH(A173,'交易记录'!$A$5:$A$304,0))),"编号没找到"))</f>
        <v/>
      </c>
      <c r="O173" s="31" t="n"/>
    </row>
    <row r="174">
      <c r="A174" s="29" t="n"/>
      <c r="B174" s="30" t="n"/>
      <c r="C174" s="27" t="n"/>
      <c r="D174" s="32" t="n"/>
      <c r="E174" s="33" t="n"/>
      <c r="F174" s="36" t="n"/>
      <c r="G174" s="33" t="n"/>
      <c r="H174" s="20" t="str">
        <f>IF(AND(ISNUMBER(E174),ISNUMBER(F174)),E174*F174,"")</f>
        <v/>
      </c>
      <c r="I174" s="38" t="str">
        <f>IF(A174="","",IFERROR(IF(N(INDEX('交易记录'!$G$5:$G$304,MATCH(A174,'交易记录'!$A$5:$A$304,0)))&gt;0,INDEX('交易记录'!$G$5:$G$304,MATCH(A174,'交易记录'!$A$5:$A$304,0)),1),1))</f>
        <v/>
      </c>
      <c r="J174" s="41" t="str">
        <f>IF(ISNUMBER(H174),ROUND('参数'!$C$11+H174*I174*'参数'!$C$12+F174*'参数'!$C$13,2),"")</f>
        <v/>
      </c>
      <c r="K174" s="22" t="n"/>
      <c r="L174" s="20" t="str">
        <f>IF(ISNUMBER(K174),K174,IF(ISNUMBER(H174),J174,""))</f>
        <v/>
      </c>
      <c r="M174" s="46" t="str">
        <f>IF(AND(ISNUMBER(E174),ISNUMBER(G174),ISNUMBER(F174)),(E174-G174)*IF(D174="卖",-1,1)*F174*I174,"")</f>
        <v/>
      </c>
      <c r="N174" s="38" t="str">
        <f>IF(A174="","",IFERROR(T(INDEX('交易记录'!$C$5:$C$304,MATCH(A174,'交易记录'!$A$5:$A$304,0))),"编号没找到"))</f>
        <v/>
      </c>
      <c r="O174" s="31" t="n"/>
    </row>
    <row r="175">
      <c r="A175" s="29" t="n"/>
      <c r="B175" s="30" t="n"/>
      <c r="C175" s="27" t="n"/>
      <c r="D175" s="32" t="n"/>
      <c r="E175" s="33" t="n"/>
      <c r="F175" s="36" t="n"/>
      <c r="G175" s="33" t="n"/>
      <c r="H175" s="20" t="str">
        <f>IF(AND(ISNUMBER(E175),ISNUMBER(F175)),E175*F175,"")</f>
        <v/>
      </c>
      <c r="I175" s="38" t="str">
        <f>IF(A175="","",IFERROR(IF(N(INDEX('交易记录'!$G$5:$G$304,MATCH(A175,'交易记录'!$A$5:$A$304,0)))&gt;0,INDEX('交易记录'!$G$5:$G$304,MATCH(A175,'交易记录'!$A$5:$A$304,0)),1),1))</f>
        <v/>
      </c>
      <c r="J175" s="41" t="str">
        <f>IF(ISNUMBER(H175),ROUND('参数'!$C$11+H175*I175*'参数'!$C$12+F175*'参数'!$C$13,2),"")</f>
        <v/>
      </c>
      <c r="K175" s="22" t="n"/>
      <c r="L175" s="20" t="str">
        <f>IF(ISNUMBER(K175),K175,IF(ISNUMBER(H175),J175,""))</f>
        <v/>
      </c>
      <c r="M175" s="46" t="str">
        <f>IF(AND(ISNUMBER(E175),ISNUMBER(G175),ISNUMBER(F175)),(E175-G175)*IF(D175="卖",-1,1)*F175*I175,"")</f>
        <v/>
      </c>
      <c r="N175" s="38" t="str">
        <f>IF(A175="","",IFERROR(T(INDEX('交易记录'!$C$5:$C$304,MATCH(A175,'交易记录'!$A$5:$A$304,0))),"编号没找到"))</f>
        <v/>
      </c>
      <c r="O175" s="31" t="n"/>
    </row>
    <row r="176">
      <c r="A176" s="29" t="n"/>
      <c r="B176" s="30" t="n"/>
      <c r="C176" s="27" t="n"/>
      <c r="D176" s="32" t="n"/>
      <c r="E176" s="33" t="n"/>
      <c r="F176" s="36" t="n"/>
      <c r="G176" s="33" t="n"/>
      <c r="H176" s="20" t="str">
        <f>IF(AND(ISNUMBER(E176),ISNUMBER(F176)),E176*F176,"")</f>
        <v/>
      </c>
      <c r="I176" s="38" t="str">
        <f>IF(A176="","",IFERROR(IF(N(INDEX('交易记录'!$G$5:$G$304,MATCH(A176,'交易记录'!$A$5:$A$304,0)))&gt;0,INDEX('交易记录'!$G$5:$G$304,MATCH(A176,'交易记录'!$A$5:$A$304,0)),1),1))</f>
        <v/>
      </c>
      <c r="J176" s="41" t="str">
        <f>IF(ISNUMBER(H176),ROUND('参数'!$C$11+H176*I176*'参数'!$C$12+F176*'参数'!$C$13,2),"")</f>
        <v/>
      </c>
      <c r="K176" s="22" t="n"/>
      <c r="L176" s="20" t="str">
        <f>IF(ISNUMBER(K176),K176,IF(ISNUMBER(H176),J176,""))</f>
        <v/>
      </c>
      <c r="M176" s="46" t="str">
        <f>IF(AND(ISNUMBER(E176),ISNUMBER(G176),ISNUMBER(F176)),(E176-G176)*IF(D176="卖",-1,1)*F176*I176,"")</f>
        <v/>
      </c>
      <c r="N176" s="38" t="str">
        <f>IF(A176="","",IFERROR(T(INDEX('交易记录'!$C$5:$C$304,MATCH(A176,'交易记录'!$A$5:$A$304,0))),"编号没找到"))</f>
        <v/>
      </c>
      <c r="O176" s="31" t="n"/>
    </row>
    <row r="177">
      <c r="A177" s="29" t="n"/>
      <c r="B177" s="30" t="n"/>
      <c r="C177" s="27" t="n"/>
      <c r="D177" s="32" t="n"/>
      <c r="E177" s="33" t="n"/>
      <c r="F177" s="36" t="n"/>
      <c r="G177" s="33" t="n"/>
      <c r="H177" s="20" t="str">
        <f>IF(AND(ISNUMBER(E177),ISNUMBER(F177)),E177*F177,"")</f>
        <v/>
      </c>
      <c r="I177" s="38" t="str">
        <f>IF(A177="","",IFERROR(IF(N(INDEX('交易记录'!$G$5:$G$304,MATCH(A177,'交易记录'!$A$5:$A$304,0)))&gt;0,INDEX('交易记录'!$G$5:$G$304,MATCH(A177,'交易记录'!$A$5:$A$304,0)),1),1))</f>
        <v/>
      </c>
      <c r="J177" s="41" t="str">
        <f>IF(ISNUMBER(H177),ROUND('参数'!$C$11+H177*I177*'参数'!$C$12+F177*'参数'!$C$13,2),"")</f>
        <v/>
      </c>
      <c r="K177" s="22" t="n"/>
      <c r="L177" s="20" t="str">
        <f>IF(ISNUMBER(K177),K177,IF(ISNUMBER(H177),J177,""))</f>
        <v/>
      </c>
      <c r="M177" s="46" t="str">
        <f>IF(AND(ISNUMBER(E177),ISNUMBER(G177),ISNUMBER(F177)),(E177-G177)*IF(D177="卖",-1,1)*F177*I177,"")</f>
        <v/>
      </c>
      <c r="N177" s="38" t="str">
        <f>IF(A177="","",IFERROR(T(INDEX('交易记录'!$C$5:$C$304,MATCH(A177,'交易记录'!$A$5:$A$304,0))),"编号没找到"))</f>
        <v/>
      </c>
      <c r="O177" s="31" t="n"/>
    </row>
    <row r="178">
      <c r="A178" s="29" t="n"/>
      <c r="B178" s="30" t="n"/>
      <c r="C178" s="27" t="n"/>
      <c r="D178" s="32" t="n"/>
      <c r="E178" s="33" t="n"/>
      <c r="F178" s="36" t="n"/>
      <c r="G178" s="33" t="n"/>
      <c r="H178" s="20" t="str">
        <f>IF(AND(ISNUMBER(E178),ISNUMBER(F178)),E178*F178,"")</f>
        <v/>
      </c>
      <c r="I178" s="38" t="str">
        <f>IF(A178="","",IFERROR(IF(N(INDEX('交易记录'!$G$5:$G$304,MATCH(A178,'交易记录'!$A$5:$A$304,0)))&gt;0,INDEX('交易记录'!$G$5:$G$304,MATCH(A178,'交易记录'!$A$5:$A$304,0)),1),1))</f>
        <v/>
      </c>
      <c r="J178" s="41" t="str">
        <f>IF(ISNUMBER(H178),ROUND('参数'!$C$11+H178*I178*'参数'!$C$12+F178*'参数'!$C$13,2),"")</f>
        <v/>
      </c>
      <c r="K178" s="22" t="n"/>
      <c r="L178" s="20" t="str">
        <f>IF(ISNUMBER(K178),K178,IF(ISNUMBER(H178),J178,""))</f>
        <v/>
      </c>
      <c r="M178" s="46" t="str">
        <f>IF(AND(ISNUMBER(E178),ISNUMBER(G178),ISNUMBER(F178)),(E178-G178)*IF(D178="卖",-1,1)*F178*I178,"")</f>
        <v/>
      </c>
      <c r="N178" s="38" t="str">
        <f>IF(A178="","",IFERROR(T(INDEX('交易记录'!$C$5:$C$304,MATCH(A178,'交易记录'!$A$5:$A$304,0))),"编号没找到"))</f>
        <v/>
      </c>
      <c r="O178" s="31" t="n"/>
    </row>
    <row r="179">
      <c r="A179" s="29" t="n"/>
      <c r="B179" s="30" t="n"/>
      <c r="C179" s="27" t="n"/>
      <c r="D179" s="32" t="n"/>
      <c r="E179" s="33" t="n"/>
      <c r="F179" s="36" t="n"/>
      <c r="G179" s="33" t="n"/>
      <c r="H179" s="20" t="str">
        <f>IF(AND(ISNUMBER(E179),ISNUMBER(F179)),E179*F179,"")</f>
        <v/>
      </c>
      <c r="I179" s="38" t="str">
        <f>IF(A179="","",IFERROR(IF(N(INDEX('交易记录'!$G$5:$G$304,MATCH(A179,'交易记录'!$A$5:$A$304,0)))&gt;0,INDEX('交易记录'!$G$5:$G$304,MATCH(A179,'交易记录'!$A$5:$A$304,0)),1),1))</f>
        <v/>
      </c>
      <c r="J179" s="41" t="str">
        <f>IF(ISNUMBER(H179),ROUND('参数'!$C$11+H179*I179*'参数'!$C$12+F179*'参数'!$C$13,2),"")</f>
        <v/>
      </c>
      <c r="K179" s="22" t="n"/>
      <c r="L179" s="20" t="str">
        <f>IF(ISNUMBER(K179),K179,IF(ISNUMBER(H179),J179,""))</f>
        <v/>
      </c>
      <c r="M179" s="46" t="str">
        <f>IF(AND(ISNUMBER(E179),ISNUMBER(G179),ISNUMBER(F179)),(E179-G179)*IF(D179="卖",-1,1)*F179*I179,"")</f>
        <v/>
      </c>
      <c r="N179" s="38" t="str">
        <f>IF(A179="","",IFERROR(T(INDEX('交易记录'!$C$5:$C$304,MATCH(A179,'交易记录'!$A$5:$A$304,0))),"编号没找到"))</f>
        <v/>
      </c>
      <c r="O179" s="31" t="n"/>
    </row>
    <row r="180">
      <c r="A180" s="29" t="n"/>
      <c r="B180" s="30" t="n"/>
      <c r="C180" s="27" t="n"/>
      <c r="D180" s="32" t="n"/>
      <c r="E180" s="33" t="n"/>
      <c r="F180" s="36" t="n"/>
      <c r="G180" s="33" t="n"/>
      <c r="H180" s="20" t="str">
        <f>IF(AND(ISNUMBER(E180),ISNUMBER(F180)),E180*F180,"")</f>
        <v/>
      </c>
      <c r="I180" s="38" t="str">
        <f>IF(A180="","",IFERROR(IF(N(INDEX('交易记录'!$G$5:$G$304,MATCH(A180,'交易记录'!$A$5:$A$304,0)))&gt;0,INDEX('交易记录'!$G$5:$G$304,MATCH(A180,'交易记录'!$A$5:$A$304,0)),1),1))</f>
        <v/>
      </c>
      <c r="J180" s="41" t="str">
        <f>IF(ISNUMBER(H180),ROUND('参数'!$C$11+H180*I180*'参数'!$C$12+F180*'参数'!$C$13,2),"")</f>
        <v/>
      </c>
      <c r="K180" s="22" t="n"/>
      <c r="L180" s="20" t="str">
        <f>IF(ISNUMBER(K180),K180,IF(ISNUMBER(H180),J180,""))</f>
        <v/>
      </c>
      <c r="M180" s="46" t="str">
        <f>IF(AND(ISNUMBER(E180),ISNUMBER(G180),ISNUMBER(F180)),(E180-G180)*IF(D180="卖",-1,1)*F180*I180,"")</f>
        <v/>
      </c>
      <c r="N180" s="38" t="str">
        <f>IF(A180="","",IFERROR(T(INDEX('交易记录'!$C$5:$C$304,MATCH(A180,'交易记录'!$A$5:$A$304,0))),"编号没找到"))</f>
        <v/>
      </c>
      <c r="O180" s="31" t="n"/>
    </row>
    <row r="181">
      <c r="A181" s="29" t="n"/>
      <c r="B181" s="30" t="n"/>
      <c r="C181" s="27" t="n"/>
      <c r="D181" s="32" t="n"/>
      <c r="E181" s="33" t="n"/>
      <c r="F181" s="36" t="n"/>
      <c r="G181" s="33" t="n"/>
      <c r="H181" s="20" t="str">
        <f>IF(AND(ISNUMBER(E181),ISNUMBER(F181)),E181*F181,"")</f>
        <v/>
      </c>
      <c r="I181" s="38" t="str">
        <f>IF(A181="","",IFERROR(IF(N(INDEX('交易记录'!$G$5:$G$304,MATCH(A181,'交易记录'!$A$5:$A$304,0)))&gt;0,INDEX('交易记录'!$G$5:$G$304,MATCH(A181,'交易记录'!$A$5:$A$304,0)),1),1))</f>
        <v/>
      </c>
      <c r="J181" s="41" t="str">
        <f>IF(ISNUMBER(H181),ROUND('参数'!$C$11+H181*I181*'参数'!$C$12+F181*'参数'!$C$13,2),"")</f>
        <v/>
      </c>
      <c r="K181" s="22" t="n"/>
      <c r="L181" s="20" t="str">
        <f>IF(ISNUMBER(K181),K181,IF(ISNUMBER(H181),J181,""))</f>
        <v/>
      </c>
      <c r="M181" s="46" t="str">
        <f>IF(AND(ISNUMBER(E181),ISNUMBER(G181),ISNUMBER(F181)),(E181-G181)*IF(D181="卖",-1,1)*F181*I181,"")</f>
        <v/>
      </c>
      <c r="N181" s="38" t="str">
        <f>IF(A181="","",IFERROR(T(INDEX('交易记录'!$C$5:$C$304,MATCH(A181,'交易记录'!$A$5:$A$304,0))),"编号没找到"))</f>
        <v/>
      </c>
      <c r="O181" s="31" t="n"/>
    </row>
    <row r="182">
      <c r="A182" s="29" t="n"/>
      <c r="B182" s="30" t="n"/>
      <c r="C182" s="27" t="n"/>
      <c r="D182" s="32" t="n"/>
      <c r="E182" s="33" t="n"/>
      <c r="F182" s="36" t="n"/>
      <c r="G182" s="33" t="n"/>
      <c r="H182" s="20" t="str">
        <f>IF(AND(ISNUMBER(E182),ISNUMBER(F182)),E182*F182,"")</f>
        <v/>
      </c>
      <c r="I182" s="38" t="str">
        <f>IF(A182="","",IFERROR(IF(N(INDEX('交易记录'!$G$5:$G$304,MATCH(A182,'交易记录'!$A$5:$A$304,0)))&gt;0,INDEX('交易记录'!$G$5:$G$304,MATCH(A182,'交易记录'!$A$5:$A$304,0)),1),1))</f>
        <v/>
      </c>
      <c r="J182" s="41" t="str">
        <f>IF(ISNUMBER(H182),ROUND('参数'!$C$11+H182*I182*'参数'!$C$12+F182*'参数'!$C$13,2),"")</f>
        <v/>
      </c>
      <c r="K182" s="22" t="n"/>
      <c r="L182" s="20" t="str">
        <f>IF(ISNUMBER(K182),K182,IF(ISNUMBER(H182),J182,""))</f>
        <v/>
      </c>
      <c r="M182" s="46" t="str">
        <f>IF(AND(ISNUMBER(E182),ISNUMBER(G182),ISNUMBER(F182)),(E182-G182)*IF(D182="卖",-1,1)*F182*I182,"")</f>
        <v/>
      </c>
      <c r="N182" s="38" t="str">
        <f>IF(A182="","",IFERROR(T(INDEX('交易记录'!$C$5:$C$304,MATCH(A182,'交易记录'!$A$5:$A$304,0))),"编号没找到"))</f>
        <v/>
      </c>
      <c r="O182" s="31" t="n"/>
    </row>
    <row r="183">
      <c r="A183" s="29" t="n"/>
      <c r="B183" s="30" t="n"/>
      <c r="C183" s="27" t="n"/>
      <c r="D183" s="32" t="n"/>
      <c r="E183" s="33" t="n"/>
      <c r="F183" s="36" t="n"/>
      <c r="G183" s="33" t="n"/>
      <c r="H183" s="20" t="str">
        <f>IF(AND(ISNUMBER(E183),ISNUMBER(F183)),E183*F183,"")</f>
        <v/>
      </c>
      <c r="I183" s="38" t="str">
        <f>IF(A183="","",IFERROR(IF(N(INDEX('交易记录'!$G$5:$G$304,MATCH(A183,'交易记录'!$A$5:$A$304,0)))&gt;0,INDEX('交易记录'!$G$5:$G$304,MATCH(A183,'交易记录'!$A$5:$A$304,0)),1),1))</f>
        <v/>
      </c>
      <c r="J183" s="41" t="str">
        <f>IF(ISNUMBER(H183),ROUND('参数'!$C$11+H183*I183*'参数'!$C$12+F183*'参数'!$C$13,2),"")</f>
        <v/>
      </c>
      <c r="K183" s="22" t="n"/>
      <c r="L183" s="20" t="str">
        <f>IF(ISNUMBER(K183),K183,IF(ISNUMBER(H183),J183,""))</f>
        <v/>
      </c>
      <c r="M183" s="46" t="str">
        <f>IF(AND(ISNUMBER(E183),ISNUMBER(G183),ISNUMBER(F183)),(E183-G183)*IF(D183="卖",-1,1)*F183*I183,"")</f>
        <v/>
      </c>
      <c r="N183" s="38" t="str">
        <f>IF(A183="","",IFERROR(T(INDEX('交易记录'!$C$5:$C$304,MATCH(A183,'交易记录'!$A$5:$A$304,0))),"编号没找到"))</f>
        <v/>
      </c>
      <c r="O183" s="31" t="n"/>
    </row>
    <row r="184">
      <c r="A184" s="29" t="n"/>
      <c r="B184" s="30" t="n"/>
      <c r="C184" s="27" t="n"/>
      <c r="D184" s="32" t="n"/>
      <c r="E184" s="33" t="n"/>
      <c r="F184" s="36" t="n"/>
      <c r="G184" s="33" t="n"/>
      <c r="H184" s="20" t="str">
        <f>IF(AND(ISNUMBER(E184),ISNUMBER(F184)),E184*F184,"")</f>
        <v/>
      </c>
      <c r="I184" s="38" t="str">
        <f>IF(A184="","",IFERROR(IF(N(INDEX('交易记录'!$G$5:$G$304,MATCH(A184,'交易记录'!$A$5:$A$304,0)))&gt;0,INDEX('交易记录'!$G$5:$G$304,MATCH(A184,'交易记录'!$A$5:$A$304,0)),1),1))</f>
        <v/>
      </c>
      <c r="J184" s="41" t="str">
        <f>IF(ISNUMBER(H184),ROUND('参数'!$C$11+H184*I184*'参数'!$C$12+F184*'参数'!$C$13,2),"")</f>
        <v/>
      </c>
      <c r="K184" s="22" t="n"/>
      <c r="L184" s="20" t="str">
        <f>IF(ISNUMBER(K184),K184,IF(ISNUMBER(H184),J184,""))</f>
        <v/>
      </c>
      <c r="M184" s="46" t="str">
        <f>IF(AND(ISNUMBER(E184),ISNUMBER(G184),ISNUMBER(F184)),(E184-G184)*IF(D184="卖",-1,1)*F184*I184,"")</f>
        <v/>
      </c>
      <c r="N184" s="38" t="str">
        <f>IF(A184="","",IFERROR(T(INDEX('交易记录'!$C$5:$C$304,MATCH(A184,'交易记录'!$A$5:$A$304,0))),"编号没找到"))</f>
        <v/>
      </c>
      <c r="O184" s="31" t="n"/>
    </row>
    <row r="185">
      <c r="A185" s="29" t="n"/>
      <c r="B185" s="30" t="n"/>
      <c r="C185" s="27" t="n"/>
      <c r="D185" s="32" t="n"/>
      <c r="E185" s="33" t="n"/>
      <c r="F185" s="36" t="n"/>
      <c r="G185" s="33" t="n"/>
      <c r="H185" s="20" t="str">
        <f>IF(AND(ISNUMBER(E185),ISNUMBER(F185)),E185*F185,"")</f>
        <v/>
      </c>
      <c r="I185" s="38" t="str">
        <f>IF(A185="","",IFERROR(IF(N(INDEX('交易记录'!$G$5:$G$304,MATCH(A185,'交易记录'!$A$5:$A$304,0)))&gt;0,INDEX('交易记录'!$G$5:$G$304,MATCH(A185,'交易记录'!$A$5:$A$304,0)),1),1))</f>
        <v/>
      </c>
      <c r="J185" s="41" t="str">
        <f>IF(ISNUMBER(H185),ROUND('参数'!$C$11+H185*I185*'参数'!$C$12+F185*'参数'!$C$13,2),"")</f>
        <v/>
      </c>
      <c r="K185" s="22" t="n"/>
      <c r="L185" s="20" t="str">
        <f>IF(ISNUMBER(K185),K185,IF(ISNUMBER(H185),J185,""))</f>
        <v/>
      </c>
      <c r="M185" s="46" t="str">
        <f>IF(AND(ISNUMBER(E185),ISNUMBER(G185),ISNUMBER(F185)),(E185-G185)*IF(D185="卖",-1,1)*F185*I185,"")</f>
        <v/>
      </c>
      <c r="N185" s="38" t="str">
        <f>IF(A185="","",IFERROR(T(INDEX('交易记录'!$C$5:$C$304,MATCH(A185,'交易记录'!$A$5:$A$304,0))),"编号没找到"))</f>
        <v/>
      </c>
      <c r="O185" s="31" t="n"/>
    </row>
    <row r="186">
      <c r="A186" s="29" t="n"/>
      <c r="B186" s="30" t="n"/>
      <c r="C186" s="27" t="n"/>
      <c r="D186" s="32" t="n"/>
      <c r="E186" s="33" t="n"/>
      <c r="F186" s="36" t="n"/>
      <c r="G186" s="33" t="n"/>
      <c r="H186" s="20" t="str">
        <f>IF(AND(ISNUMBER(E186),ISNUMBER(F186)),E186*F186,"")</f>
        <v/>
      </c>
      <c r="I186" s="38" t="str">
        <f>IF(A186="","",IFERROR(IF(N(INDEX('交易记录'!$G$5:$G$304,MATCH(A186,'交易记录'!$A$5:$A$304,0)))&gt;0,INDEX('交易记录'!$G$5:$G$304,MATCH(A186,'交易记录'!$A$5:$A$304,0)),1),1))</f>
        <v/>
      </c>
      <c r="J186" s="41" t="str">
        <f>IF(ISNUMBER(H186),ROUND('参数'!$C$11+H186*I186*'参数'!$C$12+F186*'参数'!$C$13,2),"")</f>
        <v/>
      </c>
      <c r="K186" s="22" t="n"/>
      <c r="L186" s="20" t="str">
        <f>IF(ISNUMBER(K186),K186,IF(ISNUMBER(H186),J186,""))</f>
        <v/>
      </c>
      <c r="M186" s="46" t="str">
        <f>IF(AND(ISNUMBER(E186),ISNUMBER(G186),ISNUMBER(F186)),(E186-G186)*IF(D186="卖",-1,1)*F186*I186,"")</f>
        <v/>
      </c>
      <c r="N186" s="38" t="str">
        <f>IF(A186="","",IFERROR(T(INDEX('交易记录'!$C$5:$C$304,MATCH(A186,'交易记录'!$A$5:$A$304,0))),"编号没找到"))</f>
        <v/>
      </c>
      <c r="O186" s="31" t="n"/>
    </row>
    <row r="187">
      <c r="A187" s="29" t="n"/>
      <c r="B187" s="30" t="n"/>
      <c r="C187" s="27" t="n"/>
      <c r="D187" s="32" t="n"/>
      <c r="E187" s="33" t="n"/>
      <c r="F187" s="36" t="n"/>
      <c r="G187" s="33" t="n"/>
      <c r="H187" s="20" t="str">
        <f>IF(AND(ISNUMBER(E187),ISNUMBER(F187)),E187*F187,"")</f>
        <v/>
      </c>
      <c r="I187" s="38" t="str">
        <f>IF(A187="","",IFERROR(IF(N(INDEX('交易记录'!$G$5:$G$304,MATCH(A187,'交易记录'!$A$5:$A$304,0)))&gt;0,INDEX('交易记录'!$G$5:$G$304,MATCH(A187,'交易记录'!$A$5:$A$304,0)),1),1))</f>
        <v/>
      </c>
      <c r="J187" s="41" t="str">
        <f>IF(ISNUMBER(H187),ROUND('参数'!$C$11+H187*I187*'参数'!$C$12+F187*'参数'!$C$13,2),"")</f>
        <v/>
      </c>
      <c r="K187" s="22" t="n"/>
      <c r="L187" s="20" t="str">
        <f>IF(ISNUMBER(K187),K187,IF(ISNUMBER(H187),J187,""))</f>
        <v/>
      </c>
      <c r="M187" s="46" t="str">
        <f>IF(AND(ISNUMBER(E187),ISNUMBER(G187),ISNUMBER(F187)),(E187-G187)*IF(D187="卖",-1,1)*F187*I187,"")</f>
        <v/>
      </c>
      <c r="N187" s="38" t="str">
        <f>IF(A187="","",IFERROR(T(INDEX('交易记录'!$C$5:$C$304,MATCH(A187,'交易记录'!$A$5:$A$304,0))),"编号没找到"))</f>
        <v/>
      </c>
      <c r="O187" s="31" t="n"/>
    </row>
    <row r="188">
      <c r="A188" s="29" t="n"/>
      <c r="B188" s="30" t="n"/>
      <c r="C188" s="27" t="n"/>
      <c r="D188" s="32" t="n"/>
      <c r="E188" s="33" t="n"/>
      <c r="F188" s="36" t="n"/>
      <c r="G188" s="33" t="n"/>
      <c r="H188" s="20" t="str">
        <f>IF(AND(ISNUMBER(E188),ISNUMBER(F188)),E188*F188,"")</f>
        <v/>
      </c>
      <c r="I188" s="38" t="str">
        <f>IF(A188="","",IFERROR(IF(N(INDEX('交易记录'!$G$5:$G$304,MATCH(A188,'交易记录'!$A$5:$A$304,0)))&gt;0,INDEX('交易记录'!$G$5:$G$304,MATCH(A188,'交易记录'!$A$5:$A$304,0)),1),1))</f>
        <v/>
      </c>
      <c r="J188" s="41" t="str">
        <f>IF(ISNUMBER(H188),ROUND('参数'!$C$11+H188*I188*'参数'!$C$12+F188*'参数'!$C$13,2),"")</f>
        <v/>
      </c>
      <c r="K188" s="22" t="n"/>
      <c r="L188" s="20" t="str">
        <f>IF(ISNUMBER(K188),K188,IF(ISNUMBER(H188),J188,""))</f>
        <v/>
      </c>
      <c r="M188" s="46" t="str">
        <f>IF(AND(ISNUMBER(E188),ISNUMBER(G188),ISNUMBER(F188)),(E188-G188)*IF(D188="卖",-1,1)*F188*I188,"")</f>
        <v/>
      </c>
      <c r="N188" s="38" t="str">
        <f>IF(A188="","",IFERROR(T(INDEX('交易记录'!$C$5:$C$304,MATCH(A188,'交易记录'!$A$5:$A$304,0))),"编号没找到"))</f>
        <v/>
      </c>
      <c r="O188" s="31" t="n"/>
    </row>
    <row r="189">
      <c r="A189" s="29" t="n"/>
      <c r="B189" s="30" t="n"/>
      <c r="C189" s="27" t="n"/>
      <c r="D189" s="32" t="n"/>
      <c r="E189" s="33" t="n"/>
      <c r="F189" s="36" t="n"/>
      <c r="G189" s="33" t="n"/>
      <c r="H189" s="20" t="str">
        <f>IF(AND(ISNUMBER(E189),ISNUMBER(F189)),E189*F189,"")</f>
        <v/>
      </c>
      <c r="I189" s="38" t="str">
        <f>IF(A189="","",IFERROR(IF(N(INDEX('交易记录'!$G$5:$G$304,MATCH(A189,'交易记录'!$A$5:$A$304,0)))&gt;0,INDEX('交易记录'!$G$5:$G$304,MATCH(A189,'交易记录'!$A$5:$A$304,0)),1),1))</f>
        <v/>
      </c>
      <c r="J189" s="41" t="str">
        <f>IF(ISNUMBER(H189),ROUND('参数'!$C$11+H189*I189*'参数'!$C$12+F189*'参数'!$C$13,2),"")</f>
        <v/>
      </c>
      <c r="K189" s="22" t="n"/>
      <c r="L189" s="20" t="str">
        <f>IF(ISNUMBER(K189),K189,IF(ISNUMBER(H189),J189,""))</f>
        <v/>
      </c>
      <c r="M189" s="46" t="str">
        <f>IF(AND(ISNUMBER(E189),ISNUMBER(G189),ISNUMBER(F189)),(E189-G189)*IF(D189="卖",-1,1)*F189*I189,"")</f>
        <v/>
      </c>
      <c r="N189" s="38" t="str">
        <f>IF(A189="","",IFERROR(T(INDEX('交易记录'!$C$5:$C$304,MATCH(A189,'交易记录'!$A$5:$A$304,0))),"编号没找到"))</f>
        <v/>
      </c>
      <c r="O189" s="31" t="n"/>
    </row>
    <row r="190">
      <c r="A190" s="29" t="n"/>
      <c r="B190" s="30" t="n"/>
      <c r="C190" s="27" t="n"/>
      <c r="D190" s="32" t="n"/>
      <c r="E190" s="33" t="n"/>
      <c r="F190" s="36" t="n"/>
      <c r="G190" s="33" t="n"/>
      <c r="H190" s="20" t="str">
        <f>IF(AND(ISNUMBER(E190),ISNUMBER(F190)),E190*F190,"")</f>
        <v/>
      </c>
      <c r="I190" s="38" t="str">
        <f>IF(A190="","",IFERROR(IF(N(INDEX('交易记录'!$G$5:$G$304,MATCH(A190,'交易记录'!$A$5:$A$304,0)))&gt;0,INDEX('交易记录'!$G$5:$G$304,MATCH(A190,'交易记录'!$A$5:$A$304,0)),1),1))</f>
        <v/>
      </c>
      <c r="J190" s="41" t="str">
        <f>IF(ISNUMBER(H190),ROUND('参数'!$C$11+H190*I190*'参数'!$C$12+F190*'参数'!$C$13,2),"")</f>
        <v/>
      </c>
      <c r="K190" s="22" t="n"/>
      <c r="L190" s="20" t="str">
        <f>IF(ISNUMBER(K190),K190,IF(ISNUMBER(H190),J190,""))</f>
        <v/>
      </c>
      <c r="M190" s="46" t="str">
        <f>IF(AND(ISNUMBER(E190),ISNUMBER(G190),ISNUMBER(F190)),(E190-G190)*IF(D190="卖",-1,1)*F190*I190,"")</f>
        <v/>
      </c>
      <c r="N190" s="38" t="str">
        <f>IF(A190="","",IFERROR(T(INDEX('交易记录'!$C$5:$C$304,MATCH(A190,'交易记录'!$A$5:$A$304,0))),"编号没找到"))</f>
        <v/>
      </c>
      <c r="O190" s="31" t="n"/>
    </row>
    <row r="191">
      <c r="A191" s="29" t="n"/>
      <c r="B191" s="30" t="n"/>
      <c r="C191" s="27" t="n"/>
      <c r="D191" s="32" t="n"/>
      <c r="E191" s="33" t="n"/>
      <c r="F191" s="36" t="n"/>
      <c r="G191" s="33" t="n"/>
      <c r="H191" s="20" t="str">
        <f>IF(AND(ISNUMBER(E191),ISNUMBER(F191)),E191*F191,"")</f>
        <v/>
      </c>
      <c r="I191" s="38" t="str">
        <f>IF(A191="","",IFERROR(IF(N(INDEX('交易记录'!$G$5:$G$304,MATCH(A191,'交易记录'!$A$5:$A$304,0)))&gt;0,INDEX('交易记录'!$G$5:$G$304,MATCH(A191,'交易记录'!$A$5:$A$304,0)),1),1))</f>
        <v/>
      </c>
      <c r="J191" s="41" t="str">
        <f>IF(ISNUMBER(H191),ROUND('参数'!$C$11+H191*I191*'参数'!$C$12+F191*'参数'!$C$13,2),"")</f>
        <v/>
      </c>
      <c r="K191" s="22" t="n"/>
      <c r="L191" s="20" t="str">
        <f>IF(ISNUMBER(K191),K191,IF(ISNUMBER(H191),J191,""))</f>
        <v/>
      </c>
      <c r="M191" s="46" t="str">
        <f>IF(AND(ISNUMBER(E191),ISNUMBER(G191),ISNUMBER(F191)),(E191-G191)*IF(D191="卖",-1,1)*F191*I191,"")</f>
        <v/>
      </c>
      <c r="N191" s="38" t="str">
        <f>IF(A191="","",IFERROR(T(INDEX('交易记录'!$C$5:$C$304,MATCH(A191,'交易记录'!$A$5:$A$304,0))),"编号没找到"))</f>
        <v/>
      </c>
      <c r="O191" s="31" t="n"/>
    </row>
    <row r="192">
      <c r="A192" s="29" t="n"/>
      <c r="B192" s="30" t="n"/>
      <c r="C192" s="27" t="n"/>
      <c r="D192" s="32" t="n"/>
      <c r="E192" s="33" t="n"/>
      <c r="F192" s="36" t="n"/>
      <c r="G192" s="33" t="n"/>
      <c r="H192" s="20" t="str">
        <f>IF(AND(ISNUMBER(E192),ISNUMBER(F192)),E192*F192,"")</f>
        <v/>
      </c>
      <c r="I192" s="38" t="str">
        <f>IF(A192="","",IFERROR(IF(N(INDEX('交易记录'!$G$5:$G$304,MATCH(A192,'交易记录'!$A$5:$A$304,0)))&gt;0,INDEX('交易记录'!$G$5:$G$304,MATCH(A192,'交易记录'!$A$5:$A$304,0)),1),1))</f>
        <v/>
      </c>
      <c r="J192" s="41" t="str">
        <f>IF(ISNUMBER(H192),ROUND('参数'!$C$11+H192*I192*'参数'!$C$12+F192*'参数'!$C$13,2),"")</f>
        <v/>
      </c>
      <c r="K192" s="22" t="n"/>
      <c r="L192" s="20" t="str">
        <f>IF(ISNUMBER(K192),K192,IF(ISNUMBER(H192),J192,""))</f>
        <v/>
      </c>
      <c r="M192" s="46" t="str">
        <f>IF(AND(ISNUMBER(E192),ISNUMBER(G192),ISNUMBER(F192)),(E192-G192)*IF(D192="卖",-1,1)*F192*I192,"")</f>
        <v/>
      </c>
      <c r="N192" s="38" t="str">
        <f>IF(A192="","",IFERROR(T(INDEX('交易记录'!$C$5:$C$304,MATCH(A192,'交易记录'!$A$5:$A$304,0))),"编号没找到"))</f>
        <v/>
      </c>
      <c r="O192" s="31" t="n"/>
    </row>
    <row r="193">
      <c r="A193" s="29" t="n"/>
      <c r="B193" s="30" t="n"/>
      <c r="C193" s="27" t="n"/>
      <c r="D193" s="32" t="n"/>
      <c r="E193" s="33" t="n"/>
      <c r="F193" s="36" t="n"/>
      <c r="G193" s="33" t="n"/>
      <c r="H193" s="20" t="str">
        <f>IF(AND(ISNUMBER(E193),ISNUMBER(F193)),E193*F193,"")</f>
        <v/>
      </c>
      <c r="I193" s="38" t="str">
        <f>IF(A193="","",IFERROR(IF(N(INDEX('交易记录'!$G$5:$G$304,MATCH(A193,'交易记录'!$A$5:$A$304,0)))&gt;0,INDEX('交易记录'!$G$5:$G$304,MATCH(A193,'交易记录'!$A$5:$A$304,0)),1),1))</f>
        <v/>
      </c>
      <c r="J193" s="41" t="str">
        <f>IF(ISNUMBER(H193),ROUND('参数'!$C$11+H193*I193*'参数'!$C$12+F193*'参数'!$C$13,2),"")</f>
        <v/>
      </c>
      <c r="K193" s="22" t="n"/>
      <c r="L193" s="20" t="str">
        <f>IF(ISNUMBER(K193),K193,IF(ISNUMBER(H193),J193,""))</f>
        <v/>
      </c>
      <c r="M193" s="46" t="str">
        <f>IF(AND(ISNUMBER(E193),ISNUMBER(G193),ISNUMBER(F193)),(E193-G193)*IF(D193="卖",-1,1)*F193*I193,"")</f>
        <v/>
      </c>
      <c r="N193" s="38" t="str">
        <f>IF(A193="","",IFERROR(T(INDEX('交易记录'!$C$5:$C$304,MATCH(A193,'交易记录'!$A$5:$A$304,0))),"编号没找到"))</f>
        <v/>
      </c>
      <c r="O193" s="31" t="n"/>
    </row>
    <row r="194">
      <c r="A194" s="29" t="n"/>
      <c r="B194" s="30" t="n"/>
      <c r="C194" s="27" t="n"/>
      <c r="D194" s="32" t="n"/>
      <c r="E194" s="33" t="n"/>
      <c r="F194" s="36" t="n"/>
      <c r="G194" s="33" t="n"/>
      <c r="H194" s="20" t="str">
        <f>IF(AND(ISNUMBER(E194),ISNUMBER(F194)),E194*F194,"")</f>
        <v/>
      </c>
      <c r="I194" s="38" t="str">
        <f>IF(A194="","",IFERROR(IF(N(INDEX('交易记录'!$G$5:$G$304,MATCH(A194,'交易记录'!$A$5:$A$304,0)))&gt;0,INDEX('交易记录'!$G$5:$G$304,MATCH(A194,'交易记录'!$A$5:$A$304,0)),1),1))</f>
        <v/>
      </c>
      <c r="J194" s="41" t="str">
        <f>IF(ISNUMBER(H194),ROUND('参数'!$C$11+H194*I194*'参数'!$C$12+F194*'参数'!$C$13,2),"")</f>
        <v/>
      </c>
      <c r="K194" s="22" t="n"/>
      <c r="L194" s="20" t="str">
        <f>IF(ISNUMBER(K194),K194,IF(ISNUMBER(H194),J194,""))</f>
        <v/>
      </c>
      <c r="M194" s="46" t="str">
        <f>IF(AND(ISNUMBER(E194),ISNUMBER(G194),ISNUMBER(F194)),(E194-G194)*IF(D194="卖",-1,1)*F194*I194,"")</f>
        <v/>
      </c>
      <c r="N194" s="38" t="str">
        <f>IF(A194="","",IFERROR(T(INDEX('交易记录'!$C$5:$C$304,MATCH(A194,'交易记录'!$A$5:$A$304,0))),"编号没找到"))</f>
        <v/>
      </c>
      <c r="O194" s="31" t="n"/>
    </row>
    <row r="195">
      <c r="A195" s="29" t="n"/>
      <c r="B195" s="30" t="n"/>
      <c r="C195" s="27" t="n"/>
      <c r="D195" s="32" t="n"/>
      <c r="E195" s="33" t="n"/>
      <c r="F195" s="36" t="n"/>
      <c r="G195" s="33" t="n"/>
      <c r="H195" s="20" t="str">
        <f>IF(AND(ISNUMBER(E195),ISNUMBER(F195)),E195*F195,"")</f>
        <v/>
      </c>
      <c r="I195" s="38" t="str">
        <f>IF(A195="","",IFERROR(IF(N(INDEX('交易记录'!$G$5:$G$304,MATCH(A195,'交易记录'!$A$5:$A$304,0)))&gt;0,INDEX('交易记录'!$G$5:$G$304,MATCH(A195,'交易记录'!$A$5:$A$304,0)),1),1))</f>
        <v/>
      </c>
      <c r="J195" s="41" t="str">
        <f>IF(ISNUMBER(H195),ROUND('参数'!$C$11+H195*I195*'参数'!$C$12+F195*'参数'!$C$13,2),"")</f>
        <v/>
      </c>
      <c r="K195" s="22" t="n"/>
      <c r="L195" s="20" t="str">
        <f>IF(ISNUMBER(K195),K195,IF(ISNUMBER(H195),J195,""))</f>
        <v/>
      </c>
      <c r="M195" s="46" t="str">
        <f>IF(AND(ISNUMBER(E195),ISNUMBER(G195),ISNUMBER(F195)),(E195-G195)*IF(D195="卖",-1,1)*F195*I195,"")</f>
        <v/>
      </c>
      <c r="N195" s="38" t="str">
        <f>IF(A195="","",IFERROR(T(INDEX('交易记录'!$C$5:$C$304,MATCH(A195,'交易记录'!$A$5:$A$304,0))),"编号没找到"))</f>
        <v/>
      </c>
      <c r="O195" s="31" t="n"/>
    </row>
    <row r="196">
      <c r="A196" s="29" t="n"/>
      <c r="B196" s="30" t="n"/>
      <c r="C196" s="27" t="n"/>
      <c r="D196" s="32" t="n"/>
      <c r="E196" s="33" t="n"/>
      <c r="F196" s="36" t="n"/>
      <c r="G196" s="33" t="n"/>
      <c r="H196" s="20" t="str">
        <f>IF(AND(ISNUMBER(E196),ISNUMBER(F196)),E196*F196,"")</f>
        <v/>
      </c>
      <c r="I196" s="38" t="str">
        <f>IF(A196="","",IFERROR(IF(N(INDEX('交易记录'!$G$5:$G$304,MATCH(A196,'交易记录'!$A$5:$A$304,0)))&gt;0,INDEX('交易记录'!$G$5:$G$304,MATCH(A196,'交易记录'!$A$5:$A$304,0)),1),1))</f>
        <v/>
      </c>
      <c r="J196" s="41" t="str">
        <f>IF(ISNUMBER(H196),ROUND('参数'!$C$11+H196*I196*'参数'!$C$12+F196*'参数'!$C$13,2),"")</f>
        <v/>
      </c>
      <c r="K196" s="22" t="n"/>
      <c r="L196" s="20" t="str">
        <f>IF(ISNUMBER(K196),K196,IF(ISNUMBER(H196),J196,""))</f>
        <v/>
      </c>
      <c r="M196" s="46" t="str">
        <f>IF(AND(ISNUMBER(E196),ISNUMBER(G196),ISNUMBER(F196)),(E196-G196)*IF(D196="卖",-1,1)*F196*I196,"")</f>
        <v/>
      </c>
      <c r="N196" s="38" t="str">
        <f>IF(A196="","",IFERROR(T(INDEX('交易记录'!$C$5:$C$304,MATCH(A196,'交易记录'!$A$5:$A$304,0))),"编号没找到"))</f>
        <v/>
      </c>
      <c r="O196" s="31" t="n"/>
    </row>
    <row r="197">
      <c r="A197" s="29" t="n"/>
      <c r="B197" s="30" t="n"/>
      <c r="C197" s="27" t="n"/>
      <c r="D197" s="32" t="n"/>
      <c r="E197" s="33" t="n"/>
      <c r="F197" s="36" t="n"/>
      <c r="G197" s="33" t="n"/>
      <c r="H197" s="20" t="str">
        <f>IF(AND(ISNUMBER(E197),ISNUMBER(F197)),E197*F197,"")</f>
        <v/>
      </c>
      <c r="I197" s="38" t="str">
        <f>IF(A197="","",IFERROR(IF(N(INDEX('交易记录'!$G$5:$G$304,MATCH(A197,'交易记录'!$A$5:$A$304,0)))&gt;0,INDEX('交易记录'!$G$5:$G$304,MATCH(A197,'交易记录'!$A$5:$A$304,0)),1),1))</f>
        <v/>
      </c>
      <c r="J197" s="41" t="str">
        <f>IF(ISNUMBER(H197),ROUND('参数'!$C$11+H197*I197*'参数'!$C$12+F197*'参数'!$C$13,2),"")</f>
        <v/>
      </c>
      <c r="K197" s="22" t="n"/>
      <c r="L197" s="20" t="str">
        <f>IF(ISNUMBER(K197),K197,IF(ISNUMBER(H197),J197,""))</f>
        <v/>
      </c>
      <c r="M197" s="46" t="str">
        <f>IF(AND(ISNUMBER(E197),ISNUMBER(G197),ISNUMBER(F197)),(E197-G197)*IF(D197="卖",-1,1)*F197*I197,"")</f>
        <v/>
      </c>
      <c r="N197" s="38" t="str">
        <f>IF(A197="","",IFERROR(T(INDEX('交易记录'!$C$5:$C$304,MATCH(A197,'交易记录'!$A$5:$A$304,0))),"编号没找到"))</f>
        <v/>
      </c>
      <c r="O197" s="31" t="n"/>
    </row>
    <row r="198">
      <c r="A198" s="29" t="n"/>
      <c r="B198" s="30" t="n"/>
      <c r="C198" s="27" t="n"/>
      <c r="D198" s="32" t="n"/>
      <c r="E198" s="33" t="n"/>
      <c r="F198" s="36" t="n"/>
      <c r="G198" s="33" t="n"/>
      <c r="H198" s="20" t="str">
        <f>IF(AND(ISNUMBER(E198),ISNUMBER(F198)),E198*F198,"")</f>
        <v/>
      </c>
      <c r="I198" s="38" t="str">
        <f>IF(A198="","",IFERROR(IF(N(INDEX('交易记录'!$G$5:$G$304,MATCH(A198,'交易记录'!$A$5:$A$304,0)))&gt;0,INDEX('交易记录'!$G$5:$G$304,MATCH(A198,'交易记录'!$A$5:$A$304,0)),1),1))</f>
        <v/>
      </c>
      <c r="J198" s="41" t="str">
        <f>IF(ISNUMBER(H198),ROUND('参数'!$C$11+H198*I198*'参数'!$C$12+F198*'参数'!$C$13,2),"")</f>
        <v/>
      </c>
      <c r="K198" s="22" t="n"/>
      <c r="L198" s="20" t="str">
        <f>IF(ISNUMBER(K198),K198,IF(ISNUMBER(H198),J198,""))</f>
        <v/>
      </c>
      <c r="M198" s="46" t="str">
        <f>IF(AND(ISNUMBER(E198),ISNUMBER(G198),ISNUMBER(F198)),(E198-G198)*IF(D198="卖",-1,1)*F198*I198,"")</f>
        <v/>
      </c>
      <c r="N198" s="38" t="str">
        <f>IF(A198="","",IFERROR(T(INDEX('交易记录'!$C$5:$C$304,MATCH(A198,'交易记录'!$A$5:$A$304,0))),"编号没找到"))</f>
        <v/>
      </c>
      <c r="O198" s="31" t="n"/>
    </row>
    <row r="199">
      <c r="A199" s="29" t="n"/>
      <c r="B199" s="30" t="n"/>
      <c r="C199" s="27" t="n"/>
      <c r="D199" s="32" t="n"/>
      <c r="E199" s="33" t="n"/>
      <c r="F199" s="36" t="n"/>
      <c r="G199" s="33" t="n"/>
      <c r="H199" s="20" t="str">
        <f>IF(AND(ISNUMBER(E199),ISNUMBER(F199)),E199*F199,"")</f>
        <v/>
      </c>
      <c r="I199" s="38" t="str">
        <f>IF(A199="","",IFERROR(IF(N(INDEX('交易记录'!$G$5:$G$304,MATCH(A199,'交易记录'!$A$5:$A$304,0)))&gt;0,INDEX('交易记录'!$G$5:$G$304,MATCH(A199,'交易记录'!$A$5:$A$304,0)),1),1))</f>
        <v/>
      </c>
      <c r="J199" s="41" t="str">
        <f>IF(ISNUMBER(H199),ROUND('参数'!$C$11+H199*I199*'参数'!$C$12+F199*'参数'!$C$13,2),"")</f>
        <v/>
      </c>
      <c r="K199" s="22" t="n"/>
      <c r="L199" s="20" t="str">
        <f>IF(ISNUMBER(K199),K199,IF(ISNUMBER(H199),J199,""))</f>
        <v/>
      </c>
      <c r="M199" s="46" t="str">
        <f>IF(AND(ISNUMBER(E199),ISNUMBER(G199),ISNUMBER(F199)),(E199-G199)*IF(D199="卖",-1,1)*F199*I199,"")</f>
        <v/>
      </c>
      <c r="N199" s="38" t="str">
        <f>IF(A199="","",IFERROR(T(INDEX('交易记录'!$C$5:$C$304,MATCH(A199,'交易记录'!$A$5:$A$304,0))),"编号没找到"))</f>
        <v/>
      </c>
      <c r="O199" s="31" t="n"/>
    </row>
    <row r="200">
      <c r="A200" s="29" t="n"/>
      <c r="B200" s="30" t="n"/>
      <c r="C200" s="27" t="n"/>
      <c r="D200" s="32" t="n"/>
      <c r="E200" s="33" t="n"/>
      <c r="F200" s="36" t="n"/>
      <c r="G200" s="33" t="n"/>
      <c r="H200" s="20" t="str">
        <f>IF(AND(ISNUMBER(E200),ISNUMBER(F200)),E200*F200,"")</f>
        <v/>
      </c>
      <c r="I200" s="38" t="str">
        <f>IF(A200="","",IFERROR(IF(N(INDEX('交易记录'!$G$5:$G$304,MATCH(A200,'交易记录'!$A$5:$A$304,0)))&gt;0,INDEX('交易记录'!$G$5:$G$304,MATCH(A200,'交易记录'!$A$5:$A$304,0)),1),1))</f>
        <v/>
      </c>
      <c r="J200" s="41" t="str">
        <f>IF(ISNUMBER(H200),ROUND('参数'!$C$11+H200*I200*'参数'!$C$12+F200*'参数'!$C$13,2),"")</f>
        <v/>
      </c>
      <c r="K200" s="22" t="n"/>
      <c r="L200" s="20" t="str">
        <f>IF(ISNUMBER(K200),K200,IF(ISNUMBER(H200),J200,""))</f>
        <v/>
      </c>
      <c r="M200" s="46" t="str">
        <f>IF(AND(ISNUMBER(E200),ISNUMBER(G200),ISNUMBER(F200)),(E200-G200)*IF(D200="卖",-1,1)*F200*I200,"")</f>
        <v/>
      </c>
      <c r="N200" s="38" t="str">
        <f>IF(A200="","",IFERROR(T(INDEX('交易记录'!$C$5:$C$304,MATCH(A200,'交易记录'!$A$5:$A$304,0))),"编号没找到"))</f>
        <v/>
      </c>
      <c r="O200" s="31" t="n"/>
    </row>
    <row r="201">
      <c r="A201" s="29" t="n"/>
      <c r="B201" s="30" t="n"/>
      <c r="C201" s="27" t="n"/>
      <c r="D201" s="32" t="n"/>
      <c r="E201" s="33" t="n"/>
      <c r="F201" s="36" t="n"/>
      <c r="G201" s="33" t="n"/>
      <c r="H201" s="20" t="str">
        <f>IF(AND(ISNUMBER(E201),ISNUMBER(F201)),E201*F201,"")</f>
        <v/>
      </c>
      <c r="I201" s="38" t="str">
        <f>IF(A201="","",IFERROR(IF(N(INDEX('交易记录'!$G$5:$G$304,MATCH(A201,'交易记录'!$A$5:$A$304,0)))&gt;0,INDEX('交易记录'!$G$5:$G$304,MATCH(A201,'交易记录'!$A$5:$A$304,0)),1),1))</f>
        <v/>
      </c>
      <c r="J201" s="41" t="str">
        <f>IF(ISNUMBER(H201),ROUND('参数'!$C$11+H201*I201*'参数'!$C$12+F201*'参数'!$C$13,2),"")</f>
        <v/>
      </c>
      <c r="K201" s="22" t="n"/>
      <c r="L201" s="20" t="str">
        <f>IF(ISNUMBER(K201),K201,IF(ISNUMBER(H201),J201,""))</f>
        <v/>
      </c>
      <c r="M201" s="46" t="str">
        <f>IF(AND(ISNUMBER(E201),ISNUMBER(G201),ISNUMBER(F201)),(E201-G201)*IF(D201="卖",-1,1)*F201*I201,"")</f>
        <v/>
      </c>
      <c r="N201" s="38" t="str">
        <f>IF(A201="","",IFERROR(T(INDEX('交易记录'!$C$5:$C$304,MATCH(A201,'交易记录'!$A$5:$A$304,0))),"编号没找到"))</f>
        <v/>
      </c>
      <c r="O201" s="31" t="n"/>
    </row>
    <row r="202">
      <c r="A202" s="29" t="n"/>
      <c r="B202" s="30" t="n"/>
      <c r="C202" s="27" t="n"/>
      <c r="D202" s="32" t="n"/>
      <c r="E202" s="33" t="n"/>
      <c r="F202" s="36" t="n"/>
      <c r="G202" s="33" t="n"/>
      <c r="H202" s="20" t="str">
        <f>IF(AND(ISNUMBER(E202),ISNUMBER(F202)),E202*F202,"")</f>
        <v/>
      </c>
      <c r="I202" s="38" t="str">
        <f>IF(A202="","",IFERROR(IF(N(INDEX('交易记录'!$G$5:$G$304,MATCH(A202,'交易记录'!$A$5:$A$304,0)))&gt;0,INDEX('交易记录'!$G$5:$G$304,MATCH(A202,'交易记录'!$A$5:$A$304,0)),1),1))</f>
        <v/>
      </c>
      <c r="J202" s="41" t="str">
        <f>IF(ISNUMBER(H202),ROUND('参数'!$C$11+H202*I202*'参数'!$C$12+F202*'参数'!$C$13,2),"")</f>
        <v/>
      </c>
      <c r="K202" s="22" t="n"/>
      <c r="L202" s="20" t="str">
        <f>IF(ISNUMBER(K202),K202,IF(ISNUMBER(H202),J202,""))</f>
        <v/>
      </c>
      <c r="M202" s="46" t="str">
        <f>IF(AND(ISNUMBER(E202),ISNUMBER(G202),ISNUMBER(F202)),(E202-G202)*IF(D202="卖",-1,1)*F202*I202,"")</f>
        <v/>
      </c>
      <c r="N202" s="38" t="str">
        <f>IF(A202="","",IFERROR(T(INDEX('交易记录'!$C$5:$C$304,MATCH(A202,'交易记录'!$A$5:$A$304,0))),"编号没找到"))</f>
        <v/>
      </c>
      <c r="O202" s="31" t="n"/>
    </row>
    <row r="203">
      <c r="A203" s="29" t="n"/>
      <c r="B203" s="30" t="n"/>
      <c r="C203" s="27" t="n"/>
      <c r="D203" s="32" t="n"/>
      <c r="E203" s="33" t="n"/>
      <c r="F203" s="36" t="n"/>
      <c r="G203" s="33" t="n"/>
      <c r="H203" s="20" t="str">
        <f>IF(AND(ISNUMBER(E203),ISNUMBER(F203)),E203*F203,"")</f>
        <v/>
      </c>
      <c r="I203" s="38" t="str">
        <f>IF(A203="","",IFERROR(IF(N(INDEX('交易记录'!$G$5:$G$304,MATCH(A203,'交易记录'!$A$5:$A$304,0)))&gt;0,INDEX('交易记录'!$G$5:$G$304,MATCH(A203,'交易记录'!$A$5:$A$304,0)),1),1))</f>
        <v/>
      </c>
      <c r="J203" s="41" t="str">
        <f>IF(ISNUMBER(H203),ROUND('参数'!$C$11+H203*I203*'参数'!$C$12+F203*'参数'!$C$13,2),"")</f>
        <v/>
      </c>
      <c r="K203" s="22" t="n"/>
      <c r="L203" s="20" t="str">
        <f>IF(ISNUMBER(K203),K203,IF(ISNUMBER(H203),J203,""))</f>
        <v/>
      </c>
      <c r="M203" s="46" t="str">
        <f>IF(AND(ISNUMBER(E203),ISNUMBER(G203),ISNUMBER(F203)),(E203-G203)*IF(D203="卖",-1,1)*F203*I203,"")</f>
        <v/>
      </c>
      <c r="N203" s="38" t="str">
        <f>IF(A203="","",IFERROR(T(INDEX('交易记录'!$C$5:$C$304,MATCH(A203,'交易记录'!$A$5:$A$304,0))),"编号没找到"))</f>
        <v/>
      </c>
      <c r="O203" s="31" t="n"/>
    </row>
    <row r="204">
      <c r="A204" s="29" t="n"/>
      <c r="B204" s="30" t="n"/>
      <c r="C204" s="27" t="n"/>
      <c r="D204" s="32" t="n"/>
      <c r="E204" s="33" t="n"/>
      <c r="F204" s="36" t="n"/>
      <c r="G204" s="33" t="n"/>
      <c r="H204" s="20" t="str">
        <f>IF(AND(ISNUMBER(E204),ISNUMBER(F204)),E204*F204,"")</f>
        <v/>
      </c>
      <c r="I204" s="38" t="str">
        <f>IF(A204="","",IFERROR(IF(N(INDEX('交易记录'!$G$5:$G$304,MATCH(A204,'交易记录'!$A$5:$A$304,0)))&gt;0,INDEX('交易记录'!$G$5:$G$304,MATCH(A204,'交易记录'!$A$5:$A$304,0)),1),1))</f>
        <v/>
      </c>
      <c r="J204" s="41" t="str">
        <f>IF(ISNUMBER(H204),ROUND('参数'!$C$11+H204*I204*'参数'!$C$12+F204*'参数'!$C$13,2),"")</f>
        <v/>
      </c>
      <c r="K204" s="22" t="n"/>
      <c r="L204" s="20" t="str">
        <f>IF(ISNUMBER(K204),K204,IF(ISNUMBER(H204),J204,""))</f>
        <v/>
      </c>
      <c r="M204" s="46" t="str">
        <f>IF(AND(ISNUMBER(E204),ISNUMBER(G204),ISNUMBER(F204)),(E204-G204)*IF(D204="卖",-1,1)*F204*I204,"")</f>
        <v/>
      </c>
      <c r="N204" s="38" t="str">
        <f>IF(A204="","",IFERROR(T(INDEX('交易记录'!$C$5:$C$304,MATCH(A204,'交易记录'!$A$5:$A$304,0))),"编号没找到"))</f>
        <v/>
      </c>
      <c r="O204" s="31" t="n"/>
    </row>
    <row r="205">
      <c r="A205" s="29" t="n"/>
      <c r="B205" s="30" t="n"/>
      <c r="C205" s="27" t="n"/>
      <c r="D205" s="32" t="n"/>
      <c r="E205" s="33" t="n"/>
      <c r="F205" s="36" t="n"/>
      <c r="G205" s="33" t="n"/>
      <c r="H205" s="20" t="str">
        <f>IF(AND(ISNUMBER(E205),ISNUMBER(F205)),E205*F205,"")</f>
        <v/>
      </c>
      <c r="I205" s="38" t="str">
        <f>IF(A205="","",IFERROR(IF(N(INDEX('交易记录'!$G$5:$G$304,MATCH(A205,'交易记录'!$A$5:$A$304,0)))&gt;0,INDEX('交易记录'!$G$5:$G$304,MATCH(A205,'交易记录'!$A$5:$A$304,0)),1),1))</f>
        <v/>
      </c>
      <c r="J205" s="41" t="str">
        <f>IF(ISNUMBER(H205),ROUND('参数'!$C$11+H205*I205*'参数'!$C$12+F205*'参数'!$C$13,2),"")</f>
        <v/>
      </c>
      <c r="K205" s="22" t="n"/>
      <c r="L205" s="20" t="str">
        <f>IF(ISNUMBER(K205),K205,IF(ISNUMBER(H205),J205,""))</f>
        <v/>
      </c>
      <c r="M205" s="46" t="str">
        <f>IF(AND(ISNUMBER(E205),ISNUMBER(G205),ISNUMBER(F205)),(E205-G205)*IF(D205="卖",-1,1)*F205*I205,"")</f>
        <v/>
      </c>
      <c r="N205" s="38" t="str">
        <f>IF(A205="","",IFERROR(T(INDEX('交易记录'!$C$5:$C$304,MATCH(A205,'交易记录'!$A$5:$A$304,0))),"编号没找到"))</f>
        <v/>
      </c>
      <c r="O205" s="31" t="n"/>
    </row>
    <row r="206">
      <c r="A206" s="29" t="n"/>
      <c r="B206" s="30" t="n"/>
      <c r="C206" s="27" t="n"/>
      <c r="D206" s="32" t="n"/>
      <c r="E206" s="33" t="n"/>
      <c r="F206" s="36" t="n"/>
      <c r="G206" s="33" t="n"/>
      <c r="H206" s="20" t="str">
        <f>IF(AND(ISNUMBER(E206),ISNUMBER(F206)),E206*F206,"")</f>
        <v/>
      </c>
      <c r="I206" s="38" t="str">
        <f>IF(A206="","",IFERROR(IF(N(INDEX('交易记录'!$G$5:$G$304,MATCH(A206,'交易记录'!$A$5:$A$304,0)))&gt;0,INDEX('交易记录'!$G$5:$G$304,MATCH(A206,'交易记录'!$A$5:$A$304,0)),1),1))</f>
        <v/>
      </c>
      <c r="J206" s="41" t="str">
        <f>IF(ISNUMBER(H206),ROUND('参数'!$C$11+H206*I206*'参数'!$C$12+F206*'参数'!$C$13,2),"")</f>
        <v/>
      </c>
      <c r="K206" s="22" t="n"/>
      <c r="L206" s="20" t="str">
        <f>IF(ISNUMBER(K206),K206,IF(ISNUMBER(H206),J206,""))</f>
        <v/>
      </c>
      <c r="M206" s="46" t="str">
        <f>IF(AND(ISNUMBER(E206),ISNUMBER(G206),ISNUMBER(F206)),(E206-G206)*IF(D206="卖",-1,1)*F206*I206,"")</f>
        <v/>
      </c>
      <c r="N206" s="38" t="str">
        <f>IF(A206="","",IFERROR(T(INDEX('交易记录'!$C$5:$C$304,MATCH(A206,'交易记录'!$A$5:$A$304,0))),"编号没找到"))</f>
        <v/>
      </c>
      <c r="O206" s="31" t="n"/>
    </row>
    <row r="207">
      <c r="A207" s="29" t="n"/>
      <c r="B207" s="30" t="n"/>
      <c r="C207" s="27" t="n"/>
      <c r="D207" s="32" t="n"/>
      <c r="E207" s="33" t="n"/>
      <c r="F207" s="36" t="n"/>
      <c r="G207" s="33" t="n"/>
      <c r="H207" s="20" t="str">
        <f>IF(AND(ISNUMBER(E207),ISNUMBER(F207)),E207*F207,"")</f>
        <v/>
      </c>
      <c r="I207" s="38" t="str">
        <f>IF(A207="","",IFERROR(IF(N(INDEX('交易记录'!$G$5:$G$304,MATCH(A207,'交易记录'!$A$5:$A$304,0)))&gt;0,INDEX('交易记录'!$G$5:$G$304,MATCH(A207,'交易记录'!$A$5:$A$304,0)),1),1))</f>
        <v/>
      </c>
      <c r="J207" s="41" t="str">
        <f>IF(ISNUMBER(H207),ROUND('参数'!$C$11+H207*I207*'参数'!$C$12+F207*'参数'!$C$13,2),"")</f>
        <v/>
      </c>
      <c r="K207" s="22" t="n"/>
      <c r="L207" s="20" t="str">
        <f>IF(ISNUMBER(K207),K207,IF(ISNUMBER(H207),J207,""))</f>
        <v/>
      </c>
      <c r="M207" s="46" t="str">
        <f>IF(AND(ISNUMBER(E207),ISNUMBER(G207),ISNUMBER(F207)),(E207-G207)*IF(D207="卖",-1,1)*F207*I207,"")</f>
        <v/>
      </c>
      <c r="N207" s="38" t="str">
        <f>IF(A207="","",IFERROR(T(INDEX('交易记录'!$C$5:$C$304,MATCH(A207,'交易记录'!$A$5:$A$304,0))),"编号没找到"))</f>
        <v/>
      </c>
      <c r="O207" s="31" t="n"/>
    </row>
    <row r="208">
      <c r="A208" s="29" t="n"/>
      <c r="B208" s="30" t="n"/>
      <c r="C208" s="27" t="n"/>
      <c r="D208" s="32" t="n"/>
      <c r="E208" s="33" t="n"/>
      <c r="F208" s="36" t="n"/>
      <c r="G208" s="33" t="n"/>
      <c r="H208" s="20" t="str">
        <f>IF(AND(ISNUMBER(E208),ISNUMBER(F208)),E208*F208,"")</f>
        <v/>
      </c>
      <c r="I208" s="38" t="str">
        <f>IF(A208="","",IFERROR(IF(N(INDEX('交易记录'!$G$5:$G$304,MATCH(A208,'交易记录'!$A$5:$A$304,0)))&gt;0,INDEX('交易记录'!$G$5:$G$304,MATCH(A208,'交易记录'!$A$5:$A$304,0)),1),1))</f>
        <v/>
      </c>
      <c r="J208" s="41" t="str">
        <f>IF(ISNUMBER(H208),ROUND('参数'!$C$11+H208*I208*'参数'!$C$12+F208*'参数'!$C$13,2),"")</f>
        <v/>
      </c>
      <c r="K208" s="22" t="n"/>
      <c r="L208" s="20" t="str">
        <f>IF(ISNUMBER(K208),K208,IF(ISNUMBER(H208),J208,""))</f>
        <v/>
      </c>
      <c r="M208" s="46" t="str">
        <f>IF(AND(ISNUMBER(E208),ISNUMBER(G208),ISNUMBER(F208)),(E208-G208)*IF(D208="卖",-1,1)*F208*I208,"")</f>
        <v/>
      </c>
      <c r="N208" s="38" t="str">
        <f>IF(A208="","",IFERROR(T(INDEX('交易记录'!$C$5:$C$304,MATCH(A208,'交易记录'!$A$5:$A$304,0))),"编号没找到"))</f>
        <v/>
      </c>
      <c r="O208" s="31" t="n"/>
    </row>
    <row r="209">
      <c r="A209" s="29" t="n"/>
      <c r="B209" s="30" t="n"/>
      <c r="C209" s="27" t="n"/>
      <c r="D209" s="32" t="n"/>
      <c r="E209" s="33" t="n"/>
      <c r="F209" s="36" t="n"/>
      <c r="G209" s="33" t="n"/>
      <c r="H209" s="20" t="str">
        <f>IF(AND(ISNUMBER(E209),ISNUMBER(F209)),E209*F209,"")</f>
        <v/>
      </c>
      <c r="I209" s="38" t="str">
        <f>IF(A209="","",IFERROR(IF(N(INDEX('交易记录'!$G$5:$G$304,MATCH(A209,'交易记录'!$A$5:$A$304,0)))&gt;0,INDEX('交易记录'!$G$5:$G$304,MATCH(A209,'交易记录'!$A$5:$A$304,0)),1),1))</f>
        <v/>
      </c>
      <c r="J209" s="41" t="str">
        <f>IF(ISNUMBER(H209),ROUND('参数'!$C$11+H209*I209*'参数'!$C$12+F209*'参数'!$C$13,2),"")</f>
        <v/>
      </c>
      <c r="K209" s="22" t="n"/>
      <c r="L209" s="20" t="str">
        <f>IF(ISNUMBER(K209),K209,IF(ISNUMBER(H209),J209,""))</f>
        <v/>
      </c>
      <c r="M209" s="46" t="str">
        <f>IF(AND(ISNUMBER(E209),ISNUMBER(G209),ISNUMBER(F209)),(E209-G209)*IF(D209="卖",-1,1)*F209*I209,"")</f>
        <v/>
      </c>
      <c r="N209" s="38" t="str">
        <f>IF(A209="","",IFERROR(T(INDEX('交易记录'!$C$5:$C$304,MATCH(A209,'交易记录'!$A$5:$A$304,0))),"编号没找到"))</f>
        <v/>
      </c>
      <c r="O209" s="31" t="n"/>
    </row>
    <row r="210">
      <c r="A210" s="29" t="n"/>
      <c r="B210" s="30" t="n"/>
      <c r="C210" s="27" t="n"/>
      <c r="D210" s="32" t="n"/>
      <c r="E210" s="33" t="n"/>
      <c r="F210" s="36" t="n"/>
      <c r="G210" s="33" t="n"/>
      <c r="H210" s="20" t="str">
        <f>IF(AND(ISNUMBER(E210),ISNUMBER(F210)),E210*F210,"")</f>
        <v/>
      </c>
      <c r="I210" s="38" t="str">
        <f>IF(A210="","",IFERROR(IF(N(INDEX('交易记录'!$G$5:$G$304,MATCH(A210,'交易记录'!$A$5:$A$304,0)))&gt;0,INDEX('交易记录'!$G$5:$G$304,MATCH(A210,'交易记录'!$A$5:$A$304,0)),1),1))</f>
        <v/>
      </c>
      <c r="J210" s="41" t="str">
        <f>IF(ISNUMBER(H210),ROUND('参数'!$C$11+H210*I210*'参数'!$C$12+F210*'参数'!$C$13,2),"")</f>
        <v/>
      </c>
      <c r="K210" s="22" t="n"/>
      <c r="L210" s="20" t="str">
        <f>IF(ISNUMBER(K210),K210,IF(ISNUMBER(H210),J210,""))</f>
        <v/>
      </c>
      <c r="M210" s="46" t="str">
        <f>IF(AND(ISNUMBER(E210),ISNUMBER(G210),ISNUMBER(F210)),(E210-G210)*IF(D210="卖",-1,1)*F210*I210,"")</f>
        <v/>
      </c>
      <c r="N210" s="38" t="str">
        <f>IF(A210="","",IFERROR(T(INDEX('交易记录'!$C$5:$C$304,MATCH(A210,'交易记录'!$A$5:$A$304,0))),"编号没找到"))</f>
        <v/>
      </c>
      <c r="O210" s="31" t="n"/>
    </row>
    <row r="211">
      <c r="A211" s="29" t="n"/>
      <c r="B211" s="30" t="n"/>
      <c r="C211" s="27" t="n"/>
      <c r="D211" s="32" t="n"/>
      <c r="E211" s="33" t="n"/>
      <c r="F211" s="36" t="n"/>
      <c r="G211" s="33" t="n"/>
      <c r="H211" s="20" t="str">
        <f>IF(AND(ISNUMBER(E211),ISNUMBER(F211)),E211*F211,"")</f>
        <v/>
      </c>
      <c r="I211" s="38" t="str">
        <f>IF(A211="","",IFERROR(IF(N(INDEX('交易记录'!$G$5:$G$304,MATCH(A211,'交易记录'!$A$5:$A$304,0)))&gt;0,INDEX('交易记录'!$G$5:$G$304,MATCH(A211,'交易记录'!$A$5:$A$304,0)),1),1))</f>
        <v/>
      </c>
      <c r="J211" s="41" t="str">
        <f>IF(ISNUMBER(H211),ROUND('参数'!$C$11+H211*I211*'参数'!$C$12+F211*'参数'!$C$13,2),"")</f>
        <v/>
      </c>
      <c r="K211" s="22" t="n"/>
      <c r="L211" s="20" t="str">
        <f>IF(ISNUMBER(K211),K211,IF(ISNUMBER(H211),J211,""))</f>
        <v/>
      </c>
      <c r="M211" s="46" t="str">
        <f>IF(AND(ISNUMBER(E211),ISNUMBER(G211),ISNUMBER(F211)),(E211-G211)*IF(D211="卖",-1,1)*F211*I211,"")</f>
        <v/>
      </c>
      <c r="N211" s="38" t="str">
        <f>IF(A211="","",IFERROR(T(INDEX('交易记录'!$C$5:$C$304,MATCH(A211,'交易记录'!$A$5:$A$304,0))),"编号没找到"))</f>
        <v/>
      </c>
      <c r="O211" s="31" t="n"/>
    </row>
    <row r="212">
      <c r="A212" s="29" t="n"/>
      <c r="B212" s="30" t="n"/>
      <c r="C212" s="27" t="n"/>
      <c r="D212" s="32" t="n"/>
      <c r="E212" s="33" t="n"/>
      <c r="F212" s="36" t="n"/>
      <c r="G212" s="33" t="n"/>
      <c r="H212" s="20" t="str">
        <f>IF(AND(ISNUMBER(E212),ISNUMBER(F212)),E212*F212,"")</f>
        <v/>
      </c>
      <c r="I212" s="38" t="str">
        <f>IF(A212="","",IFERROR(IF(N(INDEX('交易记录'!$G$5:$G$304,MATCH(A212,'交易记录'!$A$5:$A$304,0)))&gt;0,INDEX('交易记录'!$G$5:$G$304,MATCH(A212,'交易记录'!$A$5:$A$304,0)),1),1))</f>
        <v/>
      </c>
      <c r="J212" s="41" t="str">
        <f>IF(ISNUMBER(H212),ROUND('参数'!$C$11+H212*I212*'参数'!$C$12+F212*'参数'!$C$13,2),"")</f>
        <v/>
      </c>
      <c r="K212" s="22" t="n"/>
      <c r="L212" s="20" t="str">
        <f>IF(ISNUMBER(K212),K212,IF(ISNUMBER(H212),J212,""))</f>
        <v/>
      </c>
      <c r="M212" s="46" t="str">
        <f>IF(AND(ISNUMBER(E212),ISNUMBER(G212),ISNUMBER(F212)),(E212-G212)*IF(D212="卖",-1,1)*F212*I212,"")</f>
        <v/>
      </c>
      <c r="N212" s="38" t="str">
        <f>IF(A212="","",IFERROR(T(INDEX('交易记录'!$C$5:$C$304,MATCH(A212,'交易记录'!$A$5:$A$304,0))),"编号没找到"))</f>
        <v/>
      </c>
      <c r="O212" s="31" t="n"/>
    </row>
    <row r="213">
      <c r="A213" s="29" t="n"/>
      <c r="B213" s="30" t="n"/>
      <c r="C213" s="27" t="n"/>
      <c r="D213" s="32" t="n"/>
      <c r="E213" s="33" t="n"/>
      <c r="F213" s="36" t="n"/>
      <c r="G213" s="33" t="n"/>
      <c r="H213" s="20" t="str">
        <f>IF(AND(ISNUMBER(E213),ISNUMBER(F213)),E213*F213,"")</f>
        <v/>
      </c>
      <c r="I213" s="38" t="str">
        <f>IF(A213="","",IFERROR(IF(N(INDEX('交易记录'!$G$5:$G$304,MATCH(A213,'交易记录'!$A$5:$A$304,0)))&gt;0,INDEX('交易记录'!$G$5:$G$304,MATCH(A213,'交易记录'!$A$5:$A$304,0)),1),1))</f>
        <v/>
      </c>
      <c r="J213" s="41" t="str">
        <f>IF(ISNUMBER(H213),ROUND('参数'!$C$11+H213*I213*'参数'!$C$12+F213*'参数'!$C$13,2),"")</f>
        <v/>
      </c>
      <c r="K213" s="22" t="n"/>
      <c r="L213" s="20" t="str">
        <f>IF(ISNUMBER(K213),K213,IF(ISNUMBER(H213),J213,""))</f>
        <v/>
      </c>
      <c r="M213" s="46" t="str">
        <f>IF(AND(ISNUMBER(E213),ISNUMBER(G213),ISNUMBER(F213)),(E213-G213)*IF(D213="卖",-1,1)*F213*I213,"")</f>
        <v/>
      </c>
      <c r="N213" s="38" t="str">
        <f>IF(A213="","",IFERROR(T(INDEX('交易记录'!$C$5:$C$304,MATCH(A213,'交易记录'!$A$5:$A$304,0))),"编号没找到"))</f>
        <v/>
      </c>
      <c r="O213" s="31" t="n"/>
    </row>
    <row r="214">
      <c r="A214" s="29" t="n"/>
      <c r="B214" s="30" t="n"/>
      <c r="C214" s="27" t="n"/>
      <c r="D214" s="32" t="n"/>
      <c r="E214" s="33" t="n"/>
      <c r="F214" s="36" t="n"/>
      <c r="G214" s="33" t="n"/>
      <c r="H214" s="20" t="str">
        <f>IF(AND(ISNUMBER(E214),ISNUMBER(F214)),E214*F214,"")</f>
        <v/>
      </c>
      <c r="I214" s="38" t="str">
        <f>IF(A214="","",IFERROR(IF(N(INDEX('交易记录'!$G$5:$G$304,MATCH(A214,'交易记录'!$A$5:$A$304,0)))&gt;0,INDEX('交易记录'!$G$5:$G$304,MATCH(A214,'交易记录'!$A$5:$A$304,0)),1),1))</f>
        <v/>
      </c>
      <c r="J214" s="41" t="str">
        <f>IF(ISNUMBER(H214),ROUND('参数'!$C$11+H214*I214*'参数'!$C$12+F214*'参数'!$C$13,2),"")</f>
        <v/>
      </c>
      <c r="K214" s="22" t="n"/>
      <c r="L214" s="20" t="str">
        <f>IF(ISNUMBER(K214),K214,IF(ISNUMBER(H214),J214,""))</f>
        <v/>
      </c>
      <c r="M214" s="46" t="str">
        <f>IF(AND(ISNUMBER(E214),ISNUMBER(G214),ISNUMBER(F214)),(E214-G214)*IF(D214="卖",-1,1)*F214*I214,"")</f>
        <v/>
      </c>
      <c r="N214" s="38" t="str">
        <f>IF(A214="","",IFERROR(T(INDEX('交易记录'!$C$5:$C$304,MATCH(A214,'交易记录'!$A$5:$A$304,0))),"编号没找到"))</f>
        <v/>
      </c>
      <c r="O214" s="31" t="n"/>
    </row>
    <row r="215">
      <c r="A215" s="29" t="n"/>
      <c r="B215" s="30" t="n"/>
      <c r="C215" s="27" t="n"/>
      <c r="D215" s="32" t="n"/>
      <c r="E215" s="33" t="n"/>
      <c r="F215" s="36" t="n"/>
      <c r="G215" s="33" t="n"/>
      <c r="H215" s="20" t="str">
        <f>IF(AND(ISNUMBER(E215),ISNUMBER(F215)),E215*F215,"")</f>
        <v/>
      </c>
      <c r="I215" s="38" t="str">
        <f>IF(A215="","",IFERROR(IF(N(INDEX('交易记录'!$G$5:$G$304,MATCH(A215,'交易记录'!$A$5:$A$304,0)))&gt;0,INDEX('交易记录'!$G$5:$G$304,MATCH(A215,'交易记录'!$A$5:$A$304,0)),1),1))</f>
        <v/>
      </c>
      <c r="J215" s="41" t="str">
        <f>IF(ISNUMBER(H215),ROUND('参数'!$C$11+H215*I215*'参数'!$C$12+F215*'参数'!$C$13,2),"")</f>
        <v/>
      </c>
      <c r="K215" s="22" t="n"/>
      <c r="L215" s="20" t="str">
        <f>IF(ISNUMBER(K215),K215,IF(ISNUMBER(H215),J215,""))</f>
        <v/>
      </c>
      <c r="M215" s="46" t="str">
        <f>IF(AND(ISNUMBER(E215),ISNUMBER(G215),ISNUMBER(F215)),(E215-G215)*IF(D215="卖",-1,1)*F215*I215,"")</f>
        <v/>
      </c>
      <c r="N215" s="38" t="str">
        <f>IF(A215="","",IFERROR(T(INDEX('交易记录'!$C$5:$C$304,MATCH(A215,'交易记录'!$A$5:$A$304,0))),"编号没找到"))</f>
        <v/>
      </c>
      <c r="O215" s="31" t="n"/>
    </row>
    <row r="216">
      <c r="A216" s="29" t="n"/>
      <c r="B216" s="30" t="n"/>
      <c r="C216" s="27" t="n"/>
      <c r="D216" s="32" t="n"/>
      <c r="E216" s="33" t="n"/>
      <c r="F216" s="36" t="n"/>
      <c r="G216" s="33" t="n"/>
      <c r="H216" s="20" t="str">
        <f>IF(AND(ISNUMBER(E216),ISNUMBER(F216)),E216*F216,"")</f>
        <v/>
      </c>
      <c r="I216" s="38" t="str">
        <f>IF(A216="","",IFERROR(IF(N(INDEX('交易记录'!$G$5:$G$304,MATCH(A216,'交易记录'!$A$5:$A$304,0)))&gt;0,INDEX('交易记录'!$G$5:$G$304,MATCH(A216,'交易记录'!$A$5:$A$304,0)),1),1))</f>
        <v/>
      </c>
      <c r="J216" s="41" t="str">
        <f>IF(ISNUMBER(H216),ROUND('参数'!$C$11+H216*I216*'参数'!$C$12+F216*'参数'!$C$13,2),"")</f>
        <v/>
      </c>
      <c r="K216" s="22" t="n"/>
      <c r="L216" s="20" t="str">
        <f>IF(ISNUMBER(K216),K216,IF(ISNUMBER(H216),J216,""))</f>
        <v/>
      </c>
      <c r="M216" s="46" t="str">
        <f>IF(AND(ISNUMBER(E216),ISNUMBER(G216),ISNUMBER(F216)),(E216-G216)*IF(D216="卖",-1,1)*F216*I216,"")</f>
        <v/>
      </c>
      <c r="N216" s="38" t="str">
        <f>IF(A216="","",IFERROR(T(INDEX('交易记录'!$C$5:$C$304,MATCH(A216,'交易记录'!$A$5:$A$304,0))),"编号没找到"))</f>
        <v/>
      </c>
      <c r="O216" s="31" t="n"/>
    </row>
    <row r="217">
      <c r="A217" s="29" t="n"/>
      <c r="B217" s="30" t="n"/>
      <c r="C217" s="27" t="n"/>
      <c r="D217" s="32" t="n"/>
      <c r="E217" s="33" t="n"/>
      <c r="F217" s="36" t="n"/>
      <c r="G217" s="33" t="n"/>
      <c r="H217" s="20" t="str">
        <f>IF(AND(ISNUMBER(E217),ISNUMBER(F217)),E217*F217,"")</f>
        <v/>
      </c>
      <c r="I217" s="38" t="str">
        <f>IF(A217="","",IFERROR(IF(N(INDEX('交易记录'!$G$5:$G$304,MATCH(A217,'交易记录'!$A$5:$A$304,0)))&gt;0,INDEX('交易记录'!$G$5:$G$304,MATCH(A217,'交易记录'!$A$5:$A$304,0)),1),1))</f>
        <v/>
      </c>
      <c r="J217" s="41" t="str">
        <f>IF(ISNUMBER(H217),ROUND('参数'!$C$11+H217*I217*'参数'!$C$12+F217*'参数'!$C$13,2),"")</f>
        <v/>
      </c>
      <c r="K217" s="22" t="n"/>
      <c r="L217" s="20" t="str">
        <f>IF(ISNUMBER(K217),K217,IF(ISNUMBER(H217),J217,""))</f>
        <v/>
      </c>
      <c r="M217" s="46" t="str">
        <f>IF(AND(ISNUMBER(E217),ISNUMBER(G217),ISNUMBER(F217)),(E217-G217)*IF(D217="卖",-1,1)*F217*I217,"")</f>
        <v/>
      </c>
      <c r="N217" s="38" t="str">
        <f>IF(A217="","",IFERROR(T(INDEX('交易记录'!$C$5:$C$304,MATCH(A217,'交易记录'!$A$5:$A$304,0))),"编号没找到"))</f>
        <v/>
      </c>
      <c r="O217" s="31" t="n"/>
    </row>
    <row r="218">
      <c r="A218" s="29" t="n"/>
      <c r="B218" s="30" t="n"/>
      <c r="C218" s="27" t="n"/>
      <c r="D218" s="32" t="n"/>
      <c r="E218" s="33" t="n"/>
      <c r="F218" s="36" t="n"/>
      <c r="G218" s="33" t="n"/>
      <c r="H218" s="20" t="str">
        <f>IF(AND(ISNUMBER(E218),ISNUMBER(F218)),E218*F218,"")</f>
        <v/>
      </c>
      <c r="I218" s="38" t="str">
        <f>IF(A218="","",IFERROR(IF(N(INDEX('交易记录'!$G$5:$G$304,MATCH(A218,'交易记录'!$A$5:$A$304,0)))&gt;0,INDEX('交易记录'!$G$5:$G$304,MATCH(A218,'交易记录'!$A$5:$A$304,0)),1),1))</f>
        <v/>
      </c>
      <c r="J218" s="41" t="str">
        <f>IF(ISNUMBER(H218),ROUND('参数'!$C$11+H218*I218*'参数'!$C$12+F218*'参数'!$C$13,2),"")</f>
        <v/>
      </c>
      <c r="K218" s="22" t="n"/>
      <c r="L218" s="20" t="str">
        <f>IF(ISNUMBER(K218),K218,IF(ISNUMBER(H218),J218,""))</f>
        <v/>
      </c>
      <c r="M218" s="46" t="str">
        <f>IF(AND(ISNUMBER(E218),ISNUMBER(G218),ISNUMBER(F218)),(E218-G218)*IF(D218="卖",-1,1)*F218*I218,"")</f>
        <v/>
      </c>
      <c r="N218" s="38" t="str">
        <f>IF(A218="","",IFERROR(T(INDEX('交易记录'!$C$5:$C$304,MATCH(A218,'交易记录'!$A$5:$A$304,0))),"编号没找到"))</f>
        <v/>
      </c>
      <c r="O218" s="31" t="n"/>
    </row>
    <row r="219">
      <c r="A219" s="29" t="n"/>
      <c r="B219" s="30" t="n"/>
      <c r="C219" s="27" t="n"/>
      <c r="D219" s="32" t="n"/>
      <c r="E219" s="33" t="n"/>
      <c r="F219" s="36" t="n"/>
      <c r="G219" s="33" t="n"/>
      <c r="H219" s="20" t="str">
        <f>IF(AND(ISNUMBER(E219),ISNUMBER(F219)),E219*F219,"")</f>
        <v/>
      </c>
      <c r="I219" s="38" t="str">
        <f>IF(A219="","",IFERROR(IF(N(INDEX('交易记录'!$G$5:$G$304,MATCH(A219,'交易记录'!$A$5:$A$304,0)))&gt;0,INDEX('交易记录'!$G$5:$G$304,MATCH(A219,'交易记录'!$A$5:$A$304,0)),1),1))</f>
        <v/>
      </c>
      <c r="J219" s="41" t="str">
        <f>IF(ISNUMBER(H219),ROUND('参数'!$C$11+H219*I219*'参数'!$C$12+F219*'参数'!$C$13,2),"")</f>
        <v/>
      </c>
      <c r="K219" s="22" t="n"/>
      <c r="L219" s="20" t="str">
        <f>IF(ISNUMBER(K219),K219,IF(ISNUMBER(H219),J219,""))</f>
        <v/>
      </c>
      <c r="M219" s="46" t="str">
        <f>IF(AND(ISNUMBER(E219),ISNUMBER(G219),ISNUMBER(F219)),(E219-G219)*IF(D219="卖",-1,1)*F219*I219,"")</f>
        <v/>
      </c>
      <c r="N219" s="38" t="str">
        <f>IF(A219="","",IFERROR(T(INDEX('交易记录'!$C$5:$C$304,MATCH(A219,'交易记录'!$A$5:$A$304,0))),"编号没找到"))</f>
        <v/>
      </c>
      <c r="O219" s="31" t="n"/>
    </row>
    <row r="220">
      <c r="A220" s="29" t="n"/>
      <c r="B220" s="30" t="n"/>
      <c r="C220" s="27" t="n"/>
      <c r="D220" s="32" t="n"/>
      <c r="E220" s="33" t="n"/>
      <c r="F220" s="36" t="n"/>
      <c r="G220" s="33" t="n"/>
      <c r="H220" s="20" t="str">
        <f>IF(AND(ISNUMBER(E220),ISNUMBER(F220)),E220*F220,"")</f>
        <v/>
      </c>
      <c r="I220" s="38" t="str">
        <f>IF(A220="","",IFERROR(IF(N(INDEX('交易记录'!$G$5:$G$304,MATCH(A220,'交易记录'!$A$5:$A$304,0)))&gt;0,INDEX('交易记录'!$G$5:$G$304,MATCH(A220,'交易记录'!$A$5:$A$304,0)),1),1))</f>
        <v/>
      </c>
      <c r="J220" s="41" t="str">
        <f>IF(ISNUMBER(H220),ROUND('参数'!$C$11+H220*I220*'参数'!$C$12+F220*'参数'!$C$13,2),"")</f>
        <v/>
      </c>
      <c r="K220" s="22" t="n"/>
      <c r="L220" s="20" t="str">
        <f>IF(ISNUMBER(K220),K220,IF(ISNUMBER(H220),J220,""))</f>
        <v/>
      </c>
      <c r="M220" s="46" t="str">
        <f>IF(AND(ISNUMBER(E220),ISNUMBER(G220),ISNUMBER(F220)),(E220-G220)*IF(D220="卖",-1,1)*F220*I220,"")</f>
        <v/>
      </c>
      <c r="N220" s="38" t="str">
        <f>IF(A220="","",IFERROR(T(INDEX('交易记录'!$C$5:$C$304,MATCH(A220,'交易记录'!$A$5:$A$304,0))),"编号没找到"))</f>
        <v/>
      </c>
      <c r="O220" s="31" t="n"/>
    </row>
    <row r="221">
      <c r="A221" s="29" t="n"/>
      <c r="B221" s="30" t="n"/>
      <c r="C221" s="27" t="n"/>
      <c r="D221" s="32" t="n"/>
      <c r="E221" s="33" t="n"/>
      <c r="F221" s="36" t="n"/>
      <c r="G221" s="33" t="n"/>
      <c r="H221" s="20" t="str">
        <f>IF(AND(ISNUMBER(E221),ISNUMBER(F221)),E221*F221,"")</f>
        <v/>
      </c>
      <c r="I221" s="38" t="str">
        <f>IF(A221="","",IFERROR(IF(N(INDEX('交易记录'!$G$5:$G$304,MATCH(A221,'交易记录'!$A$5:$A$304,0)))&gt;0,INDEX('交易记录'!$G$5:$G$304,MATCH(A221,'交易记录'!$A$5:$A$304,0)),1),1))</f>
        <v/>
      </c>
      <c r="J221" s="41" t="str">
        <f>IF(ISNUMBER(H221),ROUND('参数'!$C$11+H221*I221*'参数'!$C$12+F221*'参数'!$C$13,2),"")</f>
        <v/>
      </c>
      <c r="K221" s="22" t="n"/>
      <c r="L221" s="20" t="str">
        <f>IF(ISNUMBER(K221),K221,IF(ISNUMBER(H221),J221,""))</f>
        <v/>
      </c>
      <c r="M221" s="46" t="str">
        <f>IF(AND(ISNUMBER(E221),ISNUMBER(G221),ISNUMBER(F221)),(E221-G221)*IF(D221="卖",-1,1)*F221*I221,"")</f>
        <v/>
      </c>
      <c r="N221" s="38" t="str">
        <f>IF(A221="","",IFERROR(T(INDEX('交易记录'!$C$5:$C$304,MATCH(A221,'交易记录'!$A$5:$A$304,0))),"编号没找到"))</f>
        <v/>
      </c>
      <c r="O221" s="31" t="n"/>
    </row>
    <row r="222">
      <c r="A222" s="29" t="n"/>
      <c r="B222" s="30" t="n"/>
      <c r="C222" s="27" t="n"/>
      <c r="D222" s="32" t="n"/>
      <c r="E222" s="33" t="n"/>
      <c r="F222" s="36" t="n"/>
      <c r="G222" s="33" t="n"/>
      <c r="H222" s="20" t="str">
        <f>IF(AND(ISNUMBER(E222),ISNUMBER(F222)),E222*F222,"")</f>
        <v/>
      </c>
      <c r="I222" s="38" t="str">
        <f>IF(A222="","",IFERROR(IF(N(INDEX('交易记录'!$G$5:$G$304,MATCH(A222,'交易记录'!$A$5:$A$304,0)))&gt;0,INDEX('交易记录'!$G$5:$G$304,MATCH(A222,'交易记录'!$A$5:$A$304,0)),1),1))</f>
        <v/>
      </c>
      <c r="J222" s="41" t="str">
        <f>IF(ISNUMBER(H222),ROUND('参数'!$C$11+H222*I222*'参数'!$C$12+F222*'参数'!$C$13,2),"")</f>
        <v/>
      </c>
      <c r="K222" s="22" t="n"/>
      <c r="L222" s="20" t="str">
        <f>IF(ISNUMBER(K222),K222,IF(ISNUMBER(H222),J222,""))</f>
        <v/>
      </c>
      <c r="M222" s="46" t="str">
        <f>IF(AND(ISNUMBER(E222),ISNUMBER(G222),ISNUMBER(F222)),(E222-G222)*IF(D222="卖",-1,1)*F222*I222,"")</f>
        <v/>
      </c>
      <c r="N222" s="38" t="str">
        <f>IF(A222="","",IFERROR(T(INDEX('交易记录'!$C$5:$C$304,MATCH(A222,'交易记录'!$A$5:$A$304,0))),"编号没找到"))</f>
        <v/>
      </c>
      <c r="O222" s="31" t="n"/>
    </row>
    <row r="223">
      <c r="A223" s="29" t="n"/>
      <c r="B223" s="30" t="n"/>
      <c r="C223" s="27" t="n"/>
      <c r="D223" s="32" t="n"/>
      <c r="E223" s="33" t="n"/>
      <c r="F223" s="36" t="n"/>
      <c r="G223" s="33" t="n"/>
      <c r="H223" s="20" t="str">
        <f>IF(AND(ISNUMBER(E223),ISNUMBER(F223)),E223*F223,"")</f>
        <v/>
      </c>
      <c r="I223" s="38" t="str">
        <f>IF(A223="","",IFERROR(IF(N(INDEX('交易记录'!$G$5:$G$304,MATCH(A223,'交易记录'!$A$5:$A$304,0)))&gt;0,INDEX('交易记录'!$G$5:$G$304,MATCH(A223,'交易记录'!$A$5:$A$304,0)),1),1))</f>
        <v/>
      </c>
      <c r="J223" s="41" t="str">
        <f>IF(ISNUMBER(H223),ROUND('参数'!$C$11+H223*I223*'参数'!$C$12+F223*'参数'!$C$13,2),"")</f>
        <v/>
      </c>
      <c r="K223" s="22" t="n"/>
      <c r="L223" s="20" t="str">
        <f>IF(ISNUMBER(K223),K223,IF(ISNUMBER(H223),J223,""))</f>
        <v/>
      </c>
      <c r="M223" s="46" t="str">
        <f>IF(AND(ISNUMBER(E223),ISNUMBER(G223),ISNUMBER(F223)),(E223-G223)*IF(D223="卖",-1,1)*F223*I223,"")</f>
        <v/>
      </c>
      <c r="N223" s="38" t="str">
        <f>IF(A223="","",IFERROR(T(INDEX('交易记录'!$C$5:$C$304,MATCH(A223,'交易记录'!$A$5:$A$304,0))),"编号没找到"))</f>
        <v/>
      </c>
      <c r="O223" s="31" t="n"/>
    </row>
    <row r="224">
      <c r="A224" s="29" t="n"/>
      <c r="B224" s="30" t="n"/>
      <c r="C224" s="27" t="n"/>
      <c r="D224" s="32" t="n"/>
      <c r="E224" s="33" t="n"/>
      <c r="F224" s="36" t="n"/>
      <c r="G224" s="33" t="n"/>
      <c r="H224" s="20" t="str">
        <f>IF(AND(ISNUMBER(E224),ISNUMBER(F224)),E224*F224,"")</f>
        <v/>
      </c>
      <c r="I224" s="38" t="str">
        <f>IF(A224="","",IFERROR(IF(N(INDEX('交易记录'!$G$5:$G$304,MATCH(A224,'交易记录'!$A$5:$A$304,0)))&gt;0,INDEX('交易记录'!$G$5:$G$304,MATCH(A224,'交易记录'!$A$5:$A$304,0)),1),1))</f>
        <v/>
      </c>
      <c r="J224" s="41" t="str">
        <f>IF(ISNUMBER(H224),ROUND('参数'!$C$11+H224*I224*'参数'!$C$12+F224*'参数'!$C$13,2),"")</f>
        <v/>
      </c>
      <c r="K224" s="22" t="n"/>
      <c r="L224" s="20" t="str">
        <f>IF(ISNUMBER(K224),K224,IF(ISNUMBER(H224),J224,""))</f>
        <v/>
      </c>
      <c r="M224" s="46" t="str">
        <f>IF(AND(ISNUMBER(E224),ISNUMBER(G224),ISNUMBER(F224)),(E224-G224)*IF(D224="卖",-1,1)*F224*I224,"")</f>
        <v/>
      </c>
      <c r="N224" s="38" t="str">
        <f>IF(A224="","",IFERROR(T(INDEX('交易记录'!$C$5:$C$304,MATCH(A224,'交易记录'!$A$5:$A$304,0))),"编号没找到"))</f>
        <v/>
      </c>
      <c r="O224" s="31" t="n"/>
    </row>
    <row r="225">
      <c r="A225" s="29" t="n"/>
      <c r="B225" s="30" t="n"/>
      <c r="C225" s="27" t="n"/>
      <c r="D225" s="32" t="n"/>
      <c r="E225" s="33" t="n"/>
      <c r="F225" s="36" t="n"/>
      <c r="G225" s="33" t="n"/>
      <c r="H225" s="20" t="str">
        <f>IF(AND(ISNUMBER(E225),ISNUMBER(F225)),E225*F225,"")</f>
        <v/>
      </c>
      <c r="I225" s="38" t="str">
        <f>IF(A225="","",IFERROR(IF(N(INDEX('交易记录'!$G$5:$G$304,MATCH(A225,'交易记录'!$A$5:$A$304,0)))&gt;0,INDEX('交易记录'!$G$5:$G$304,MATCH(A225,'交易记录'!$A$5:$A$304,0)),1),1))</f>
        <v/>
      </c>
      <c r="J225" s="41" t="str">
        <f>IF(ISNUMBER(H225),ROUND('参数'!$C$11+H225*I225*'参数'!$C$12+F225*'参数'!$C$13,2),"")</f>
        <v/>
      </c>
      <c r="K225" s="22" t="n"/>
      <c r="L225" s="20" t="str">
        <f>IF(ISNUMBER(K225),K225,IF(ISNUMBER(H225),J225,""))</f>
        <v/>
      </c>
      <c r="M225" s="46" t="str">
        <f>IF(AND(ISNUMBER(E225),ISNUMBER(G225),ISNUMBER(F225)),(E225-G225)*IF(D225="卖",-1,1)*F225*I225,"")</f>
        <v/>
      </c>
      <c r="N225" s="38" t="str">
        <f>IF(A225="","",IFERROR(T(INDEX('交易记录'!$C$5:$C$304,MATCH(A225,'交易记录'!$A$5:$A$304,0))),"编号没找到"))</f>
        <v/>
      </c>
      <c r="O225" s="31" t="n"/>
    </row>
    <row r="226">
      <c r="A226" s="29" t="n"/>
      <c r="B226" s="30" t="n"/>
      <c r="C226" s="27" t="n"/>
      <c r="D226" s="32" t="n"/>
      <c r="E226" s="33" t="n"/>
      <c r="F226" s="36" t="n"/>
      <c r="G226" s="33" t="n"/>
      <c r="H226" s="20" t="str">
        <f>IF(AND(ISNUMBER(E226),ISNUMBER(F226)),E226*F226,"")</f>
        <v/>
      </c>
      <c r="I226" s="38" t="str">
        <f>IF(A226="","",IFERROR(IF(N(INDEX('交易记录'!$G$5:$G$304,MATCH(A226,'交易记录'!$A$5:$A$304,0)))&gt;0,INDEX('交易记录'!$G$5:$G$304,MATCH(A226,'交易记录'!$A$5:$A$304,0)),1),1))</f>
        <v/>
      </c>
      <c r="J226" s="41" t="str">
        <f>IF(ISNUMBER(H226),ROUND('参数'!$C$11+H226*I226*'参数'!$C$12+F226*'参数'!$C$13,2),"")</f>
        <v/>
      </c>
      <c r="K226" s="22" t="n"/>
      <c r="L226" s="20" t="str">
        <f>IF(ISNUMBER(K226),K226,IF(ISNUMBER(H226),J226,""))</f>
        <v/>
      </c>
      <c r="M226" s="46" t="str">
        <f>IF(AND(ISNUMBER(E226),ISNUMBER(G226),ISNUMBER(F226)),(E226-G226)*IF(D226="卖",-1,1)*F226*I226,"")</f>
        <v/>
      </c>
      <c r="N226" s="38" t="str">
        <f>IF(A226="","",IFERROR(T(INDEX('交易记录'!$C$5:$C$304,MATCH(A226,'交易记录'!$A$5:$A$304,0))),"编号没找到"))</f>
        <v/>
      </c>
      <c r="O226" s="31" t="n"/>
    </row>
    <row r="227">
      <c r="A227" s="29" t="n"/>
      <c r="B227" s="30" t="n"/>
      <c r="C227" s="27" t="n"/>
      <c r="D227" s="32" t="n"/>
      <c r="E227" s="33" t="n"/>
      <c r="F227" s="36" t="n"/>
      <c r="G227" s="33" t="n"/>
      <c r="H227" s="20" t="str">
        <f>IF(AND(ISNUMBER(E227),ISNUMBER(F227)),E227*F227,"")</f>
        <v/>
      </c>
      <c r="I227" s="38" t="str">
        <f>IF(A227="","",IFERROR(IF(N(INDEX('交易记录'!$G$5:$G$304,MATCH(A227,'交易记录'!$A$5:$A$304,0)))&gt;0,INDEX('交易记录'!$G$5:$G$304,MATCH(A227,'交易记录'!$A$5:$A$304,0)),1),1))</f>
        <v/>
      </c>
      <c r="J227" s="41" t="str">
        <f>IF(ISNUMBER(H227),ROUND('参数'!$C$11+H227*I227*'参数'!$C$12+F227*'参数'!$C$13,2),"")</f>
        <v/>
      </c>
      <c r="K227" s="22" t="n"/>
      <c r="L227" s="20" t="str">
        <f>IF(ISNUMBER(K227),K227,IF(ISNUMBER(H227),J227,""))</f>
        <v/>
      </c>
      <c r="M227" s="46" t="str">
        <f>IF(AND(ISNUMBER(E227),ISNUMBER(G227),ISNUMBER(F227)),(E227-G227)*IF(D227="卖",-1,1)*F227*I227,"")</f>
        <v/>
      </c>
      <c r="N227" s="38" t="str">
        <f>IF(A227="","",IFERROR(T(INDEX('交易记录'!$C$5:$C$304,MATCH(A227,'交易记录'!$A$5:$A$304,0))),"编号没找到"))</f>
        <v/>
      </c>
      <c r="O227" s="31" t="n"/>
    </row>
    <row r="228">
      <c r="A228" s="29" t="n"/>
      <c r="B228" s="30" t="n"/>
      <c r="C228" s="27" t="n"/>
      <c r="D228" s="32" t="n"/>
      <c r="E228" s="33" t="n"/>
      <c r="F228" s="36" t="n"/>
      <c r="G228" s="33" t="n"/>
      <c r="H228" s="20" t="str">
        <f>IF(AND(ISNUMBER(E228),ISNUMBER(F228)),E228*F228,"")</f>
        <v/>
      </c>
      <c r="I228" s="38" t="str">
        <f>IF(A228="","",IFERROR(IF(N(INDEX('交易记录'!$G$5:$G$304,MATCH(A228,'交易记录'!$A$5:$A$304,0)))&gt;0,INDEX('交易记录'!$G$5:$G$304,MATCH(A228,'交易记录'!$A$5:$A$304,0)),1),1))</f>
        <v/>
      </c>
      <c r="J228" s="41" t="str">
        <f>IF(ISNUMBER(H228),ROUND('参数'!$C$11+H228*I228*'参数'!$C$12+F228*'参数'!$C$13,2),"")</f>
        <v/>
      </c>
      <c r="K228" s="22" t="n"/>
      <c r="L228" s="20" t="str">
        <f>IF(ISNUMBER(K228),K228,IF(ISNUMBER(H228),J228,""))</f>
        <v/>
      </c>
      <c r="M228" s="46" t="str">
        <f>IF(AND(ISNUMBER(E228),ISNUMBER(G228),ISNUMBER(F228)),(E228-G228)*IF(D228="卖",-1,1)*F228*I228,"")</f>
        <v/>
      </c>
      <c r="N228" s="38" t="str">
        <f>IF(A228="","",IFERROR(T(INDEX('交易记录'!$C$5:$C$304,MATCH(A228,'交易记录'!$A$5:$A$304,0))),"编号没找到"))</f>
        <v/>
      </c>
      <c r="O228" s="31" t="n"/>
    </row>
    <row r="229">
      <c r="A229" s="29" t="n"/>
      <c r="B229" s="30" t="n"/>
      <c r="C229" s="27" t="n"/>
      <c r="D229" s="32" t="n"/>
      <c r="E229" s="33" t="n"/>
      <c r="F229" s="36" t="n"/>
      <c r="G229" s="33" t="n"/>
      <c r="H229" s="20" t="str">
        <f>IF(AND(ISNUMBER(E229),ISNUMBER(F229)),E229*F229,"")</f>
        <v/>
      </c>
      <c r="I229" s="38" t="str">
        <f>IF(A229="","",IFERROR(IF(N(INDEX('交易记录'!$G$5:$G$304,MATCH(A229,'交易记录'!$A$5:$A$304,0)))&gt;0,INDEX('交易记录'!$G$5:$G$304,MATCH(A229,'交易记录'!$A$5:$A$304,0)),1),1))</f>
        <v/>
      </c>
      <c r="J229" s="41" t="str">
        <f>IF(ISNUMBER(H229),ROUND('参数'!$C$11+H229*I229*'参数'!$C$12+F229*'参数'!$C$13,2),"")</f>
        <v/>
      </c>
      <c r="K229" s="22" t="n"/>
      <c r="L229" s="20" t="str">
        <f>IF(ISNUMBER(K229),K229,IF(ISNUMBER(H229),J229,""))</f>
        <v/>
      </c>
      <c r="M229" s="46" t="str">
        <f>IF(AND(ISNUMBER(E229),ISNUMBER(G229),ISNUMBER(F229)),(E229-G229)*IF(D229="卖",-1,1)*F229*I229,"")</f>
        <v/>
      </c>
      <c r="N229" s="38" t="str">
        <f>IF(A229="","",IFERROR(T(INDEX('交易记录'!$C$5:$C$304,MATCH(A229,'交易记录'!$A$5:$A$304,0))),"编号没找到"))</f>
        <v/>
      </c>
      <c r="O229" s="31" t="n"/>
    </row>
    <row r="230">
      <c r="A230" s="29" t="n"/>
      <c r="B230" s="30" t="n"/>
      <c r="C230" s="27" t="n"/>
      <c r="D230" s="32" t="n"/>
      <c r="E230" s="33" t="n"/>
      <c r="F230" s="36" t="n"/>
      <c r="G230" s="33" t="n"/>
      <c r="H230" s="20" t="str">
        <f>IF(AND(ISNUMBER(E230),ISNUMBER(F230)),E230*F230,"")</f>
        <v/>
      </c>
      <c r="I230" s="38" t="str">
        <f>IF(A230="","",IFERROR(IF(N(INDEX('交易记录'!$G$5:$G$304,MATCH(A230,'交易记录'!$A$5:$A$304,0)))&gt;0,INDEX('交易记录'!$G$5:$G$304,MATCH(A230,'交易记录'!$A$5:$A$304,0)),1),1))</f>
        <v/>
      </c>
      <c r="J230" s="41" t="str">
        <f>IF(ISNUMBER(H230),ROUND('参数'!$C$11+H230*I230*'参数'!$C$12+F230*'参数'!$C$13,2),"")</f>
        <v/>
      </c>
      <c r="K230" s="22" t="n"/>
      <c r="L230" s="20" t="str">
        <f>IF(ISNUMBER(K230),K230,IF(ISNUMBER(H230),J230,""))</f>
        <v/>
      </c>
      <c r="M230" s="46" t="str">
        <f>IF(AND(ISNUMBER(E230),ISNUMBER(G230),ISNUMBER(F230)),(E230-G230)*IF(D230="卖",-1,1)*F230*I230,"")</f>
        <v/>
      </c>
      <c r="N230" s="38" t="str">
        <f>IF(A230="","",IFERROR(T(INDEX('交易记录'!$C$5:$C$304,MATCH(A230,'交易记录'!$A$5:$A$304,0))),"编号没找到"))</f>
        <v/>
      </c>
      <c r="O230" s="31" t="n"/>
    </row>
    <row r="231">
      <c r="A231" s="29" t="n"/>
      <c r="B231" s="30" t="n"/>
      <c r="C231" s="27" t="n"/>
      <c r="D231" s="32" t="n"/>
      <c r="E231" s="33" t="n"/>
      <c r="F231" s="36" t="n"/>
      <c r="G231" s="33" t="n"/>
      <c r="H231" s="20" t="str">
        <f>IF(AND(ISNUMBER(E231),ISNUMBER(F231)),E231*F231,"")</f>
        <v/>
      </c>
      <c r="I231" s="38" t="str">
        <f>IF(A231="","",IFERROR(IF(N(INDEX('交易记录'!$G$5:$G$304,MATCH(A231,'交易记录'!$A$5:$A$304,0)))&gt;0,INDEX('交易记录'!$G$5:$G$304,MATCH(A231,'交易记录'!$A$5:$A$304,0)),1),1))</f>
        <v/>
      </c>
      <c r="J231" s="41" t="str">
        <f>IF(ISNUMBER(H231),ROUND('参数'!$C$11+H231*I231*'参数'!$C$12+F231*'参数'!$C$13,2),"")</f>
        <v/>
      </c>
      <c r="K231" s="22" t="n"/>
      <c r="L231" s="20" t="str">
        <f>IF(ISNUMBER(K231),K231,IF(ISNUMBER(H231),J231,""))</f>
        <v/>
      </c>
      <c r="M231" s="46" t="str">
        <f>IF(AND(ISNUMBER(E231),ISNUMBER(G231),ISNUMBER(F231)),(E231-G231)*IF(D231="卖",-1,1)*F231*I231,"")</f>
        <v/>
      </c>
      <c r="N231" s="38" t="str">
        <f>IF(A231="","",IFERROR(T(INDEX('交易记录'!$C$5:$C$304,MATCH(A231,'交易记录'!$A$5:$A$304,0))),"编号没找到"))</f>
        <v/>
      </c>
      <c r="O231" s="31" t="n"/>
    </row>
    <row r="232">
      <c r="A232" s="29" t="n"/>
      <c r="B232" s="30" t="n"/>
      <c r="C232" s="27" t="n"/>
      <c r="D232" s="32" t="n"/>
      <c r="E232" s="33" t="n"/>
      <c r="F232" s="36" t="n"/>
      <c r="G232" s="33" t="n"/>
      <c r="H232" s="20" t="str">
        <f>IF(AND(ISNUMBER(E232),ISNUMBER(F232)),E232*F232,"")</f>
        <v/>
      </c>
      <c r="I232" s="38" t="str">
        <f>IF(A232="","",IFERROR(IF(N(INDEX('交易记录'!$G$5:$G$304,MATCH(A232,'交易记录'!$A$5:$A$304,0)))&gt;0,INDEX('交易记录'!$G$5:$G$304,MATCH(A232,'交易记录'!$A$5:$A$304,0)),1),1))</f>
        <v/>
      </c>
      <c r="J232" s="41" t="str">
        <f>IF(ISNUMBER(H232),ROUND('参数'!$C$11+H232*I232*'参数'!$C$12+F232*'参数'!$C$13,2),"")</f>
        <v/>
      </c>
      <c r="K232" s="22" t="n"/>
      <c r="L232" s="20" t="str">
        <f>IF(ISNUMBER(K232),K232,IF(ISNUMBER(H232),J232,""))</f>
        <v/>
      </c>
      <c r="M232" s="46" t="str">
        <f>IF(AND(ISNUMBER(E232),ISNUMBER(G232),ISNUMBER(F232)),(E232-G232)*IF(D232="卖",-1,1)*F232*I232,"")</f>
        <v/>
      </c>
      <c r="N232" s="38" t="str">
        <f>IF(A232="","",IFERROR(T(INDEX('交易记录'!$C$5:$C$304,MATCH(A232,'交易记录'!$A$5:$A$304,0))),"编号没找到"))</f>
        <v/>
      </c>
      <c r="O232" s="31" t="n"/>
    </row>
    <row r="233">
      <c r="A233" s="29" t="n"/>
      <c r="B233" s="30" t="n"/>
      <c r="C233" s="27" t="n"/>
      <c r="D233" s="32" t="n"/>
      <c r="E233" s="33" t="n"/>
      <c r="F233" s="36" t="n"/>
      <c r="G233" s="33" t="n"/>
      <c r="H233" s="20" t="str">
        <f>IF(AND(ISNUMBER(E233),ISNUMBER(F233)),E233*F233,"")</f>
        <v/>
      </c>
      <c r="I233" s="38" t="str">
        <f>IF(A233="","",IFERROR(IF(N(INDEX('交易记录'!$G$5:$G$304,MATCH(A233,'交易记录'!$A$5:$A$304,0)))&gt;0,INDEX('交易记录'!$G$5:$G$304,MATCH(A233,'交易记录'!$A$5:$A$304,0)),1),1))</f>
        <v/>
      </c>
      <c r="J233" s="41" t="str">
        <f>IF(ISNUMBER(H233),ROUND('参数'!$C$11+H233*I233*'参数'!$C$12+F233*'参数'!$C$13,2),"")</f>
        <v/>
      </c>
      <c r="K233" s="22" t="n"/>
      <c r="L233" s="20" t="str">
        <f>IF(ISNUMBER(K233),K233,IF(ISNUMBER(H233),J233,""))</f>
        <v/>
      </c>
      <c r="M233" s="46" t="str">
        <f>IF(AND(ISNUMBER(E233),ISNUMBER(G233),ISNUMBER(F233)),(E233-G233)*IF(D233="卖",-1,1)*F233*I233,"")</f>
        <v/>
      </c>
      <c r="N233" s="38" t="str">
        <f>IF(A233="","",IFERROR(T(INDEX('交易记录'!$C$5:$C$304,MATCH(A233,'交易记录'!$A$5:$A$304,0))),"编号没找到"))</f>
        <v/>
      </c>
      <c r="O233" s="31" t="n"/>
    </row>
    <row r="234">
      <c r="A234" s="29" t="n"/>
      <c r="B234" s="30" t="n"/>
      <c r="C234" s="27" t="n"/>
      <c r="D234" s="32" t="n"/>
      <c r="E234" s="33" t="n"/>
      <c r="F234" s="36" t="n"/>
      <c r="G234" s="33" t="n"/>
      <c r="H234" s="20" t="str">
        <f>IF(AND(ISNUMBER(E234),ISNUMBER(F234)),E234*F234,"")</f>
        <v/>
      </c>
      <c r="I234" s="38" t="str">
        <f>IF(A234="","",IFERROR(IF(N(INDEX('交易记录'!$G$5:$G$304,MATCH(A234,'交易记录'!$A$5:$A$304,0)))&gt;0,INDEX('交易记录'!$G$5:$G$304,MATCH(A234,'交易记录'!$A$5:$A$304,0)),1),1))</f>
        <v/>
      </c>
      <c r="J234" s="41" t="str">
        <f>IF(ISNUMBER(H234),ROUND('参数'!$C$11+H234*I234*'参数'!$C$12+F234*'参数'!$C$13,2),"")</f>
        <v/>
      </c>
      <c r="K234" s="22" t="n"/>
      <c r="L234" s="20" t="str">
        <f>IF(ISNUMBER(K234),K234,IF(ISNUMBER(H234),J234,""))</f>
        <v/>
      </c>
      <c r="M234" s="46" t="str">
        <f>IF(AND(ISNUMBER(E234),ISNUMBER(G234),ISNUMBER(F234)),(E234-G234)*IF(D234="卖",-1,1)*F234*I234,"")</f>
        <v/>
      </c>
      <c r="N234" s="38" t="str">
        <f>IF(A234="","",IFERROR(T(INDEX('交易记录'!$C$5:$C$304,MATCH(A234,'交易记录'!$A$5:$A$304,0))),"编号没找到"))</f>
        <v/>
      </c>
      <c r="O234" s="31" t="n"/>
    </row>
    <row r="235">
      <c r="A235" s="29" t="n"/>
      <c r="B235" s="30" t="n"/>
      <c r="C235" s="27" t="n"/>
      <c r="D235" s="32" t="n"/>
      <c r="E235" s="33" t="n"/>
      <c r="F235" s="36" t="n"/>
      <c r="G235" s="33" t="n"/>
      <c r="H235" s="20" t="str">
        <f>IF(AND(ISNUMBER(E235),ISNUMBER(F235)),E235*F235,"")</f>
        <v/>
      </c>
      <c r="I235" s="38" t="str">
        <f>IF(A235="","",IFERROR(IF(N(INDEX('交易记录'!$G$5:$G$304,MATCH(A235,'交易记录'!$A$5:$A$304,0)))&gt;0,INDEX('交易记录'!$G$5:$G$304,MATCH(A235,'交易记录'!$A$5:$A$304,0)),1),1))</f>
        <v/>
      </c>
      <c r="J235" s="41" t="str">
        <f>IF(ISNUMBER(H235),ROUND('参数'!$C$11+H235*I235*'参数'!$C$12+F235*'参数'!$C$13,2),"")</f>
        <v/>
      </c>
      <c r="K235" s="22" t="n"/>
      <c r="L235" s="20" t="str">
        <f>IF(ISNUMBER(K235),K235,IF(ISNUMBER(H235),J235,""))</f>
        <v/>
      </c>
      <c r="M235" s="46" t="str">
        <f>IF(AND(ISNUMBER(E235),ISNUMBER(G235),ISNUMBER(F235)),(E235-G235)*IF(D235="卖",-1,1)*F235*I235,"")</f>
        <v/>
      </c>
      <c r="N235" s="38" t="str">
        <f>IF(A235="","",IFERROR(T(INDEX('交易记录'!$C$5:$C$304,MATCH(A235,'交易记录'!$A$5:$A$304,0))),"编号没找到"))</f>
        <v/>
      </c>
      <c r="O235" s="31" t="n"/>
    </row>
    <row r="236">
      <c r="A236" s="29" t="n"/>
      <c r="B236" s="30" t="n"/>
      <c r="C236" s="27" t="n"/>
      <c r="D236" s="32" t="n"/>
      <c r="E236" s="33" t="n"/>
      <c r="F236" s="36" t="n"/>
      <c r="G236" s="33" t="n"/>
      <c r="H236" s="20" t="str">
        <f>IF(AND(ISNUMBER(E236),ISNUMBER(F236)),E236*F236,"")</f>
        <v/>
      </c>
      <c r="I236" s="38" t="str">
        <f>IF(A236="","",IFERROR(IF(N(INDEX('交易记录'!$G$5:$G$304,MATCH(A236,'交易记录'!$A$5:$A$304,0)))&gt;0,INDEX('交易记录'!$G$5:$G$304,MATCH(A236,'交易记录'!$A$5:$A$304,0)),1),1))</f>
        <v/>
      </c>
      <c r="J236" s="41" t="str">
        <f>IF(ISNUMBER(H236),ROUND('参数'!$C$11+H236*I236*'参数'!$C$12+F236*'参数'!$C$13,2),"")</f>
        <v/>
      </c>
      <c r="K236" s="22" t="n"/>
      <c r="L236" s="20" t="str">
        <f>IF(ISNUMBER(K236),K236,IF(ISNUMBER(H236),J236,""))</f>
        <v/>
      </c>
      <c r="M236" s="46" t="str">
        <f>IF(AND(ISNUMBER(E236),ISNUMBER(G236),ISNUMBER(F236)),(E236-G236)*IF(D236="卖",-1,1)*F236*I236,"")</f>
        <v/>
      </c>
      <c r="N236" s="38" t="str">
        <f>IF(A236="","",IFERROR(T(INDEX('交易记录'!$C$5:$C$304,MATCH(A236,'交易记录'!$A$5:$A$304,0))),"编号没找到"))</f>
        <v/>
      </c>
      <c r="O236" s="31" t="n"/>
    </row>
    <row r="237">
      <c r="A237" s="29" t="n"/>
      <c r="B237" s="30" t="n"/>
      <c r="C237" s="27" t="n"/>
      <c r="D237" s="32" t="n"/>
      <c r="E237" s="33" t="n"/>
      <c r="F237" s="36" t="n"/>
      <c r="G237" s="33" t="n"/>
      <c r="H237" s="20" t="str">
        <f>IF(AND(ISNUMBER(E237),ISNUMBER(F237)),E237*F237,"")</f>
        <v/>
      </c>
      <c r="I237" s="38" t="str">
        <f>IF(A237="","",IFERROR(IF(N(INDEX('交易记录'!$G$5:$G$304,MATCH(A237,'交易记录'!$A$5:$A$304,0)))&gt;0,INDEX('交易记录'!$G$5:$G$304,MATCH(A237,'交易记录'!$A$5:$A$304,0)),1),1))</f>
        <v/>
      </c>
      <c r="J237" s="41" t="str">
        <f>IF(ISNUMBER(H237),ROUND('参数'!$C$11+H237*I237*'参数'!$C$12+F237*'参数'!$C$13,2),"")</f>
        <v/>
      </c>
      <c r="K237" s="22" t="n"/>
      <c r="L237" s="20" t="str">
        <f>IF(ISNUMBER(K237),K237,IF(ISNUMBER(H237),J237,""))</f>
        <v/>
      </c>
      <c r="M237" s="46" t="str">
        <f>IF(AND(ISNUMBER(E237),ISNUMBER(G237),ISNUMBER(F237)),(E237-G237)*IF(D237="卖",-1,1)*F237*I237,"")</f>
        <v/>
      </c>
      <c r="N237" s="38" t="str">
        <f>IF(A237="","",IFERROR(T(INDEX('交易记录'!$C$5:$C$304,MATCH(A237,'交易记录'!$A$5:$A$304,0))),"编号没找到"))</f>
        <v/>
      </c>
      <c r="O237" s="31" t="n"/>
    </row>
    <row r="238">
      <c r="A238" s="29" t="n"/>
      <c r="B238" s="30" t="n"/>
      <c r="C238" s="27" t="n"/>
      <c r="D238" s="32" t="n"/>
      <c r="E238" s="33" t="n"/>
      <c r="F238" s="36" t="n"/>
      <c r="G238" s="33" t="n"/>
      <c r="H238" s="20" t="str">
        <f>IF(AND(ISNUMBER(E238),ISNUMBER(F238)),E238*F238,"")</f>
        <v/>
      </c>
      <c r="I238" s="38" t="str">
        <f>IF(A238="","",IFERROR(IF(N(INDEX('交易记录'!$G$5:$G$304,MATCH(A238,'交易记录'!$A$5:$A$304,0)))&gt;0,INDEX('交易记录'!$G$5:$G$304,MATCH(A238,'交易记录'!$A$5:$A$304,0)),1),1))</f>
        <v/>
      </c>
      <c r="J238" s="41" t="str">
        <f>IF(ISNUMBER(H238),ROUND('参数'!$C$11+H238*I238*'参数'!$C$12+F238*'参数'!$C$13,2),"")</f>
        <v/>
      </c>
      <c r="K238" s="22" t="n"/>
      <c r="L238" s="20" t="str">
        <f>IF(ISNUMBER(K238),K238,IF(ISNUMBER(H238),J238,""))</f>
        <v/>
      </c>
      <c r="M238" s="46" t="str">
        <f>IF(AND(ISNUMBER(E238),ISNUMBER(G238),ISNUMBER(F238)),(E238-G238)*IF(D238="卖",-1,1)*F238*I238,"")</f>
        <v/>
      </c>
      <c r="N238" s="38" t="str">
        <f>IF(A238="","",IFERROR(T(INDEX('交易记录'!$C$5:$C$304,MATCH(A238,'交易记录'!$A$5:$A$304,0))),"编号没找到"))</f>
        <v/>
      </c>
      <c r="O238" s="31" t="n"/>
    </row>
    <row r="239">
      <c r="A239" s="29" t="n"/>
      <c r="B239" s="30" t="n"/>
      <c r="C239" s="27" t="n"/>
      <c r="D239" s="32" t="n"/>
      <c r="E239" s="33" t="n"/>
      <c r="F239" s="36" t="n"/>
      <c r="G239" s="33" t="n"/>
      <c r="H239" s="20" t="str">
        <f>IF(AND(ISNUMBER(E239),ISNUMBER(F239)),E239*F239,"")</f>
        <v/>
      </c>
      <c r="I239" s="38" t="str">
        <f>IF(A239="","",IFERROR(IF(N(INDEX('交易记录'!$G$5:$G$304,MATCH(A239,'交易记录'!$A$5:$A$304,0)))&gt;0,INDEX('交易记录'!$G$5:$G$304,MATCH(A239,'交易记录'!$A$5:$A$304,0)),1),1))</f>
        <v/>
      </c>
      <c r="J239" s="41" t="str">
        <f>IF(ISNUMBER(H239),ROUND('参数'!$C$11+H239*I239*'参数'!$C$12+F239*'参数'!$C$13,2),"")</f>
        <v/>
      </c>
      <c r="K239" s="22" t="n"/>
      <c r="L239" s="20" t="str">
        <f>IF(ISNUMBER(K239),K239,IF(ISNUMBER(H239),J239,""))</f>
        <v/>
      </c>
      <c r="M239" s="46" t="str">
        <f>IF(AND(ISNUMBER(E239),ISNUMBER(G239),ISNUMBER(F239)),(E239-G239)*IF(D239="卖",-1,1)*F239*I239,"")</f>
        <v/>
      </c>
      <c r="N239" s="38" t="str">
        <f>IF(A239="","",IFERROR(T(INDEX('交易记录'!$C$5:$C$304,MATCH(A239,'交易记录'!$A$5:$A$304,0))),"编号没找到"))</f>
        <v/>
      </c>
      <c r="O239" s="31" t="n"/>
    </row>
    <row r="240">
      <c r="A240" s="29" t="n"/>
      <c r="B240" s="30" t="n"/>
      <c r="C240" s="27" t="n"/>
      <c r="D240" s="32" t="n"/>
      <c r="E240" s="33" t="n"/>
      <c r="F240" s="36" t="n"/>
      <c r="G240" s="33" t="n"/>
      <c r="H240" s="20" t="str">
        <f>IF(AND(ISNUMBER(E240),ISNUMBER(F240)),E240*F240,"")</f>
        <v/>
      </c>
      <c r="I240" s="38" t="str">
        <f>IF(A240="","",IFERROR(IF(N(INDEX('交易记录'!$G$5:$G$304,MATCH(A240,'交易记录'!$A$5:$A$304,0)))&gt;0,INDEX('交易记录'!$G$5:$G$304,MATCH(A240,'交易记录'!$A$5:$A$304,0)),1),1))</f>
        <v/>
      </c>
      <c r="J240" s="41" t="str">
        <f>IF(ISNUMBER(H240),ROUND('参数'!$C$11+H240*I240*'参数'!$C$12+F240*'参数'!$C$13,2),"")</f>
        <v/>
      </c>
      <c r="K240" s="22" t="n"/>
      <c r="L240" s="20" t="str">
        <f>IF(ISNUMBER(K240),K240,IF(ISNUMBER(H240),J240,""))</f>
        <v/>
      </c>
      <c r="M240" s="46" t="str">
        <f>IF(AND(ISNUMBER(E240),ISNUMBER(G240),ISNUMBER(F240)),(E240-G240)*IF(D240="卖",-1,1)*F240*I240,"")</f>
        <v/>
      </c>
      <c r="N240" s="38" t="str">
        <f>IF(A240="","",IFERROR(T(INDEX('交易记录'!$C$5:$C$304,MATCH(A240,'交易记录'!$A$5:$A$304,0))),"编号没找到"))</f>
        <v/>
      </c>
      <c r="O240" s="31" t="n"/>
    </row>
    <row r="241">
      <c r="A241" s="29" t="n"/>
      <c r="B241" s="30" t="n"/>
      <c r="C241" s="27" t="n"/>
      <c r="D241" s="32" t="n"/>
      <c r="E241" s="33" t="n"/>
      <c r="F241" s="36" t="n"/>
      <c r="G241" s="33" t="n"/>
      <c r="H241" s="20" t="str">
        <f>IF(AND(ISNUMBER(E241),ISNUMBER(F241)),E241*F241,"")</f>
        <v/>
      </c>
      <c r="I241" s="38" t="str">
        <f>IF(A241="","",IFERROR(IF(N(INDEX('交易记录'!$G$5:$G$304,MATCH(A241,'交易记录'!$A$5:$A$304,0)))&gt;0,INDEX('交易记录'!$G$5:$G$304,MATCH(A241,'交易记录'!$A$5:$A$304,0)),1),1))</f>
        <v/>
      </c>
      <c r="J241" s="41" t="str">
        <f>IF(ISNUMBER(H241),ROUND('参数'!$C$11+H241*I241*'参数'!$C$12+F241*'参数'!$C$13,2),"")</f>
        <v/>
      </c>
      <c r="K241" s="22" t="n"/>
      <c r="L241" s="20" t="str">
        <f>IF(ISNUMBER(K241),K241,IF(ISNUMBER(H241),J241,""))</f>
        <v/>
      </c>
      <c r="M241" s="46" t="str">
        <f>IF(AND(ISNUMBER(E241),ISNUMBER(G241),ISNUMBER(F241)),(E241-G241)*IF(D241="卖",-1,1)*F241*I241,"")</f>
        <v/>
      </c>
      <c r="N241" s="38" t="str">
        <f>IF(A241="","",IFERROR(T(INDEX('交易记录'!$C$5:$C$304,MATCH(A241,'交易记录'!$A$5:$A$304,0))),"编号没找到"))</f>
        <v/>
      </c>
      <c r="O241" s="31" t="n"/>
    </row>
    <row r="242">
      <c r="A242" s="29" t="n"/>
      <c r="B242" s="30" t="n"/>
      <c r="C242" s="27" t="n"/>
      <c r="D242" s="32" t="n"/>
      <c r="E242" s="33" t="n"/>
      <c r="F242" s="36" t="n"/>
      <c r="G242" s="33" t="n"/>
      <c r="H242" s="20" t="str">
        <f>IF(AND(ISNUMBER(E242),ISNUMBER(F242)),E242*F242,"")</f>
        <v/>
      </c>
      <c r="I242" s="38" t="str">
        <f>IF(A242="","",IFERROR(IF(N(INDEX('交易记录'!$G$5:$G$304,MATCH(A242,'交易记录'!$A$5:$A$304,0)))&gt;0,INDEX('交易记录'!$G$5:$G$304,MATCH(A242,'交易记录'!$A$5:$A$304,0)),1),1))</f>
        <v/>
      </c>
      <c r="J242" s="41" t="str">
        <f>IF(ISNUMBER(H242),ROUND('参数'!$C$11+H242*I242*'参数'!$C$12+F242*'参数'!$C$13,2),"")</f>
        <v/>
      </c>
      <c r="K242" s="22" t="n"/>
      <c r="L242" s="20" t="str">
        <f>IF(ISNUMBER(K242),K242,IF(ISNUMBER(H242),J242,""))</f>
        <v/>
      </c>
      <c r="M242" s="46" t="str">
        <f>IF(AND(ISNUMBER(E242),ISNUMBER(G242),ISNUMBER(F242)),(E242-G242)*IF(D242="卖",-1,1)*F242*I242,"")</f>
        <v/>
      </c>
      <c r="N242" s="38" t="str">
        <f>IF(A242="","",IFERROR(T(INDEX('交易记录'!$C$5:$C$304,MATCH(A242,'交易记录'!$A$5:$A$304,0))),"编号没找到"))</f>
        <v/>
      </c>
      <c r="O242" s="31" t="n"/>
    </row>
    <row r="243">
      <c r="A243" s="29" t="n"/>
      <c r="B243" s="30" t="n"/>
      <c r="C243" s="27" t="n"/>
      <c r="D243" s="32" t="n"/>
      <c r="E243" s="33" t="n"/>
      <c r="F243" s="36" t="n"/>
      <c r="G243" s="33" t="n"/>
      <c r="H243" s="20" t="str">
        <f>IF(AND(ISNUMBER(E243),ISNUMBER(F243)),E243*F243,"")</f>
        <v/>
      </c>
      <c r="I243" s="38" t="str">
        <f>IF(A243="","",IFERROR(IF(N(INDEX('交易记录'!$G$5:$G$304,MATCH(A243,'交易记录'!$A$5:$A$304,0)))&gt;0,INDEX('交易记录'!$G$5:$G$304,MATCH(A243,'交易记录'!$A$5:$A$304,0)),1),1))</f>
        <v/>
      </c>
      <c r="J243" s="41" t="str">
        <f>IF(ISNUMBER(H243),ROUND('参数'!$C$11+H243*I243*'参数'!$C$12+F243*'参数'!$C$13,2),"")</f>
        <v/>
      </c>
      <c r="K243" s="22" t="n"/>
      <c r="L243" s="20" t="str">
        <f>IF(ISNUMBER(K243),K243,IF(ISNUMBER(H243),J243,""))</f>
        <v/>
      </c>
      <c r="M243" s="46" t="str">
        <f>IF(AND(ISNUMBER(E243),ISNUMBER(G243),ISNUMBER(F243)),(E243-G243)*IF(D243="卖",-1,1)*F243*I243,"")</f>
        <v/>
      </c>
      <c r="N243" s="38" t="str">
        <f>IF(A243="","",IFERROR(T(INDEX('交易记录'!$C$5:$C$304,MATCH(A243,'交易记录'!$A$5:$A$304,0))),"编号没找到"))</f>
        <v/>
      </c>
      <c r="O243" s="31" t="n"/>
    </row>
    <row r="244">
      <c r="A244" s="29" t="n"/>
      <c r="B244" s="30" t="n"/>
      <c r="C244" s="27" t="n"/>
      <c r="D244" s="32" t="n"/>
      <c r="E244" s="33" t="n"/>
      <c r="F244" s="36" t="n"/>
      <c r="G244" s="33" t="n"/>
      <c r="H244" s="20" t="str">
        <f>IF(AND(ISNUMBER(E244),ISNUMBER(F244)),E244*F244,"")</f>
        <v/>
      </c>
      <c r="I244" s="38" t="str">
        <f>IF(A244="","",IFERROR(IF(N(INDEX('交易记录'!$G$5:$G$304,MATCH(A244,'交易记录'!$A$5:$A$304,0)))&gt;0,INDEX('交易记录'!$G$5:$G$304,MATCH(A244,'交易记录'!$A$5:$A$304,0)),1),1))</f>
        <v/>
      </c>
      <c r="J244" s="41" t="str">
        <f>IF(ISNUMBER(H244),ROUND('参数'!$C$11+H244*I244*'参数'!$C$12+F244*'参数'!$C$13,2),"")</f>
        <v/>
      </c>
      <c r="K244" s="22" t="n"/>
      <c r="L244" s="20" t="str">
        <f>IF(ISNUMBER(K244),K244,IF(ISNUMBER(H244),J244,""))</f>
        <v/>
      </c>
      <c r="M244" s="46" t="str">
        <f>IF(AND(ISNUMBER(E244),ISNUMBER(G244),ISNUMBER(F244)),(E244-G244)*IF(D244="卖",-1,1)*F244*I244,"")</f>
        <v/>
      </c>
      <c r="N244" s="38" t="str">
        <f>IF(A244="","",IFERROR(T(INDEX('交易记录'!$C$5:$C$304,MATCH(A244,'交易记录'!$A$5:$A$304,0))),"编号没找到"))</f>
        <v/>
      </c>
      <c r="O244" s="31" t="n"/>
    </row>
    <row r="245">
      <c r="A245" s="29" t="n"/>
      <c r="B245" s="30" t="n"/>
      <c r="C245" s="27" t="n"/>
      <c r="D245" s="32" t="n"/>
      <c r="E245" s="33" t="n"/>
      <c r="F245" s="36" t="n"/>
      <c r="G245" s="33" t="n"/>
      <c r="H245" s="20" t="str">
        <f>IF(AND(ISNUMBER(E245),ISNUMBER(F245)),E245*F245,"")</f>
        <v/>
      </c>
      <c r="I245" s="38" t="str">
        <f>IF(A245="","",IFERROR(IF(N(INDEX('交易记录'!$G$5:$G$304,MATCH(A245,'交易记录'!$A$5:$A$304,0)))&gt;0,INDEX('交易记录'!$G$5:$G$304,MATCH(A245,'交易记录'!$A$5:$A$304,0)),1),1))</f>
        <v/>
      </c>
      <c r="J245" s="41" t="str">
        <f>IF(ISNUMBER(H245),ROUND('参数'!$C$11+H245*I245*'参数'!$C$12+F245*'参数'!$C$13,2),"")</f>
        <v/>
      </c>
      <c r="K245" s="22" t="n"/>
      <c r="L245" s="20" t="str">
        <f>IF(ISNUMBER(K245),K245,IF(ISNUMBER(H245),J245,""))</f>
        <v/>
      </c>
      <c r="M245" s="46" t="str">
        <f>IF(AND(ISNUMBER(E245),ISNUMBER(G245),ISNUMBER(F245)),(E245-G245)*IF(D245="卖",-1,1)*F245*I245,"")</f>
        <v/>
      </c>
      <c r="N245" s="38" t="str">
        <f>IF(A245="","",IFERROR(T(INDEX('交易记录'!$C$5:$C$304,MATCH(A245,'交易记录'!$A$5:$A$304,0))),"编号没找到"))</f>
        <v/>
      </c>
      <c r="O245" s="31" t="n"/>
    </row>
    <row r="246">
      <c r="A246" s="29" t="n"/>
      <c r="B246" s="30" t="n"/>
      <c r="C246" s="27" t="n"/>
      <c r="D246" s="32" t="n"/>
      <c r="E246" s="33" t="n"/>
      <c r="F246" s="36" t="n"/>
      <c r="G246" s="33" t="n"/>
      <c r="H246" s="20" t="str">
        <f>IF(AND(ISNUMBER(E246),ISNUMBER(F246)),E246*F246,"")</f>
        <v/>
      </c>
      <c r="I246" s="38" t="str">
        <f>IF(A246="","",IFERROR(IF(N(INDEX('交易记录'!$G$5:$G$304,MATCH(A246,'交易记录'!$A$5:$A$304,0)))&gt;0,INDEX('交易记录'!$G$5:$G$304,MATCH(A246,'交易记录'!$A$5:$A$304,0)),1),1))</f>
        <v/>
      </c>
      <c r="J246" s="41" t="str">
        <f>IF(ISNUMBER(H246),ROUND('参数'!$C$11+H246*I246*'参数'!$C$12+F246*'参数'!$C$13,2),"")</f>
        <v/>
      </c>
      <c r="K246" s="22" t="n"/>
      <c r="L246" s="20" t="str">
        <f>IF(ISNUMBER(K246),K246,IF(ISNUMBER(H246),J246,""))</f>
        <v/>
      </c>
      <c r="M246" s="46" t="str">
        <f>IF(AND(ISNUMBER(E246),ISNUMBER(G246),ISNUMBER(F246)),(E246-G246)*IF(D246="卖",-1,1)*F246*I246,"")</f>
        <v/>
      </c>
      <c r="N246" s="38" t="str">
        <f>IF(A246="","",IFERROR(T(INDEX('交易记录'!$C$5:$C$304,MATCH(A246,'交易记录'!$A$5:$A$304,0))),"编号没找到"))</f>
        <v/>
      </c>
      <c r="O246" s="31" t="n"/>
    </row>
    <row r="247">
      <c r="A247" s="29" t="n"/>
      <c r="B247" s="30" t="n"/>
      <c r="C247" s="27" t="n"/>
      <c r="D247" s="32" t="n"/>
      <c r="E247" s="33" t="n"/>
      <c r="F247" s="36" t="n"/>
      <c r="G247" s="33" t="n"/>
      <c r="H247" s="20" t="str">
        <f>IF(AND(ISNUMBER(E247),ISNUMBER(F247)),E247*F247,"")</f>
        <v/>
      </c>
      <c r="I247" s="38" t="str">
        <f>IF(A247="","",IFERROR(IF(N(INDEX('交易记录'!$G$5:$G$304,MATCH(A247,'交易记录'!$A$5:$A$304,0)))&gt;0,INDEX('交易记录'!$G$5:$G$304,MATCH(A247,'交易记录'!$A$5:$A$304,0)),1),1))</f>
        <v/>
      </c>
      <c r="J247" s="41" t="str">
        <f>IF(ISNUMBER(H247),ROUND('参数'!$C$11+H247*I247*'参数'!$C$12+F247*'参数'!$C$13,2),"")</f>
        <v/>
      </c>
      <c r="K247" s="22" t="n"/>
      <c r="L247" s="20" t="str">
        <f>IF(ISNUMBER(K247),K247,IF(ISNUMBER(H247),J247,""))</f>
        <v/>
      </c>
      <c r="M247" s="46" t="str">
        <f>IF(AND(ISNUMBER(E247),ISNUMBER(G247),ISNUMBER(F247)),(E247-G247)*IF(D247="卖",-1,1)*F247*I247,"")</f>
        <v/>
      </c>
      <c r="N247" s="38" t="str">
        <f>IF(A247="","",IFERROR(T(INDEX('交易记录'!$C$5:$C$304,MATCH(A247,'交易记录'!$A$5:$A$304,0))),"编号没找到"))</f>
        <v/>
      </c>
      <c r="O247" s="31" t="n"/>
    </row>
    <row r="248">
      <c r="A248" s="29" t="n"/>
      <c r="B248" s="30" t="n"/>
      <c r="C248" s="27" t="n"/>
      <c r="D248" s="32" t="n"/>
      <c r="E248" s="33" t="n"/>
      <c r="F248" s="36" t="n"/>
      <c r="G248" s="33" t="n"/>
      <c r="H248" s="20" t="str">
        <f>IF(AND(ISNUMBER(E248),ISNUMBER(F248)),E248*F248,"")</f>
        <v/>
      </c>
      <c r="I248" s="38" t="str">
        <f>IF(A248="","",IFERROR(IF(N(INDEX('交易记录'!$G$5:$G$304,MATCH(A248,'交易记录'!$A$5:$A$304,0)))&gt;0,INDEX('交易记录'!$G$5:$G$304,MATCH(A248,'交易记录'!$A$5:$A$304,0)),1),1))</f>
        <v/>
      </c>
      <c r="J248" s="41" t="str">
        <f>IF(ISNUMBER(H248),ROUND('参数'!$C$11+H248*I248*'参数'!$C$12+F248*'参数'!$C$13,2),"")</f>
        <v/>
      </c>
      <c r="K248" s="22" t="n"/>
      <c r="L248" s="20" t="str">
        <f>IF(ISNUMBER(K248),K248,IF(ISNUMBER(H248),J248,""))</f>
        <v/>
      </c>
      <c r="M248" s="46" t="str">
        <f>IF(AND(ISNUMBER(E248),ISNUMBER(G248),ISNUMBER(F248)),(E248-G248)*IF(D248="卖",-1,1)*F248*I248,"")</f>
        <v/>
      </c>
      <c r="N248" s="38" t="str">
        <f>IF(A248="","",IFERROR(T(INDEX('交易记录'!$C$5:$C$304,MATCH(A248,'交易记录'!$A$5:$A$304,0))),"编号没找到"))</f>
        <v/>
      </c>
      <c r="O248" s="31" t="n"/>
    </row>
    <row r="249">
      <c r="A249" s="29" t="n"/>
      <c r="B249" s="30" t="n"/>
      <c r="C249" s="27" t="n"/>
      <c r="D249" s="32" t="n"/>
      <c r="E249" s="33" t="n"/>
      <c r="F249" s="36" t="n"/>
      <c r="G249" s="33" t="n"/>
      <c r="H249" s="20" t="str">
        <f>IF(AND(ISNUMBER(E249),ISNUMBER(F249)),E249*F249,"")</f>
        <v/>
      </c>
      <c r="I249" s="38" t="str">
        <f>IF(A249="","",IFERROR(IF(N(INDEX('交易记录'!$G$5:$G$304,MATCH(A249,'交易记录'!$A$5:$A$304,0)))&gt;0,INDEX('交易记录'!$G$5:$G$304,MATCH(A249,'交易记录'!$A$5:$A$304,0)),1),1))</f>
        <v/>
      </c>
      <c r="J249" s="41" t="str">
        <f>IF(ISNUMBER(H249),ROUND('参数'!$C$11+H249*I249*'参数'!$C$12+F249*'参数'!$C$13,2),"")</f>
        <v/>
      </c>
      <c r="K249" s="22" t="n"/>
      <c r="L249" s="20" t="str">
        <f>IF(ISNUMBER(K249),K249,IF(ISNUMBER(H249),J249,""))</f>
        <v/>
      </c>
      <c r="M249" s="46" t="str">
        <f>IF(AND(ISNUMBER(E249),ISNUMBER(G249),ISNUMBER(F249)),(E249-G249)*IF(D249="卖",-1,1)*F249*I249,"")</f>
        <v/>
      </c>
      <c r="N249" s="38" t="str">
        <f>IF(A249="","",IFERROR(T(INDEX('交易记录'!$C$5:$C$304,MATCH(A249,'交易记录'!$A$5:$A$304,0))),"编号没找到"))</f>
        <v/>
      </c>
      <c r="O249" s="31" t="n"/>
    </row>
    <row r="250">
      <c r="A250" s="29" t="n"/>
      <c r="B250" s="30" t="n"/>
      <c r="C250" s="27" t="n"/>
      <c r="D250" s="32" t="n"/>
      <c r="E250" s="33" t="n"/>
      <c r="F250" s="36" t="n"/>
      <c r="G250" s="33" t="n"/>
      <c r="H250" s="20" t="str">
        <f>IF(AND(ISNUMBER(E250),ISNUMBER(F250)),E250*F250,"")</f>
        <v/>
      </c>
      <c r="I250" s="38" t="str">
        <f>IF(A250="","",IFERROR(IF(N(INDEX('交易记录'!$G$5:$G$304,MATCH(A250,'交易记录'!$A$5:$A$304,0)))&gt;0,INDEX('交易记录'!$G$5:$G$304,MATCH(A250,'交易记录'!$A$5:$A$304,0)),1),1))</f>
        <v/>
      </c>
      <c r="J250" s="41" t="str">
        <f>IF(ISNUMBER(H250),ROUND('参数'!$C$11+H250*I250*'参数'!$C$12+F250*'参数'!$C$13,2),"")</f>
        <v/>
      </c>
      <c r="K250" s="22" t="n"/>
      <c r="L250" s="20" t="str">
        <f>IF(ISNUMBER(K250),K250,IF(ISNUMBER(H250),J250,""))</f>
        <v/>
      </c>
      <c r="M250" s="46" t="str">
        <f>IF(AND(ISNUMBER(E250),ISNUMBER(G250),ISNUMBER(F250)),(E250-G250)*IF(D250="卖",-1,1)*F250*I250,"")</f>
        <v/>
      </c>
      <c r="N250" s="38" t="str">
        <f>IF(A250="","",IFERROR(T(INDEX('交易记录'!$C$5:$C$304,MATCH(A250,'交易记录'!$A$5:$A$304,0))),"编号没找到"))</f>
        <v/>
      </c>
      <c r="O250" s="31" t="n"/>
    </row>
    <row r="251">
      <c r="A251" s="29" t="n"/>
      <c r="B251" s="30" t="n"/>
      <c r="C251" s="27" t="n"/>
      <c r="D251" s="32" t="n"/>
      <c r="E251" s="33" t="n"/>
      <c r="F251" s="36" t="n"/>
      <c r="G251" s="33" t="n"/>
      <c r="H251" s="20" t="str">
        <f>IF(AND(ISNUMBER(E251),ISNUMBER(F251)),E251*F251,"")</f>
        <v/>
      </c>
      <c r="I251" s="38" t="str">
        <f>IF(A251="","",IFERROR(IF(N(INDEX('交易记录'!$G$5:$G$304,MATCH(A251,'交易记录'!$A$5:$A$304,0)))&gt;0,INDEX('交易记录'!$G$5:$G$304,MATCH(A251,'交易记录'!$A$5:$A$304,0)),1),1))</f>
        <v/>
      </c>
      <c r="J251" s="41" t="str">
        <f>IF(ISNUMBER(H251),ROUND('参数'!$C$11+H251*I251*'参数'!$C$12+F251*'参数'!$C$13,2),"")</f>
        <v/>
      </c>
      <c r="K251" s="22" t="n"/>
      <c r="L251" s="20" t="str">
        <f>IF(ISNUMBER(K251),K251,IF(ISNUMBER(H251),J251,""))</f>
        <v/>
      </c>
      <c r="M251" s="46" t="str">
        <f>IF(AND(ISNUMBER(E251),ISNUMBER(G251),ISNUMBER(F251)),(E251-G251)*IF(D251="卖",-1,1)*F251*I251,"")</f>
        <v/>
      </c>
      <c r="N251" s="38" t="str">
        <f>IF(A251="","",IFERROR(T(INDEX('交易记录'!$C$5:$C$304,MATCH(A251,'交易记录'!$A$5:$A$304,0))),"编号没找到"))</f>
        <v/>
      </c>
      <c r="O251" s="31" t="n"/>
    </row>
    <row r="252">
      <c r="A252" s="29" t="n"/>
      <c r="B252" s="30" t="n"/>
      <c r="C252" s="27" t="n"/>
      <c r="D252" s="32" t="n"/>
      <c r="E252" s="33" t="n"/>
      <c r="F252" s="36" t="n"/>
      <c r="G252" s="33" t="n"/>
      <c r="H252" s="20" t="str">
        <f>IF(AND(ISNUMBER(E252),ISNUMBER(F252)),E252*F252,"")</f>
        <v/>
      </c>
      <c r="I252" s="38" t="str">
        <f>IF(A252="","",IFERROR(IF(N(INDEX('交易记录'!$G$5:$G$304,MATCH(A252,'交易记录'!$A$5:$A$304,0)))&gt;0,INDEX('交易记录'!$G$5:$G$304,MATCH(A252,'交易记录'!$A$5:$A$304,0)),1),1))</f>
        <v/>
      </c>
      <c r="J252" s="41" t="str">
        <f>IF(ISNUMBER(H252),ROUND('参数'!$C$11+H252*I252*'参数'!$C$12+F252*'参数'!$C$13,2),"")</f>
        <v/>
      </c>
      <c r="K252" s="22" t="n"/>
      <c r="L252" s="20" t="str">
        <f>IF(ISNUMBER(K252),K252,IF(ISNUMBER(H252),J252,""))</f>
        <v/>
      </c>
      <c r="M252" s="46" t="str">
        <f>IF(AND(ISNUMBER(E252),ISNUMBER(G252),ISNUMBER(F252)),(E252-G252)*IF(D252="卖",-1,1)*F252*I252,"")</f>
        <v/>
      </c>
      <c r="N252" s="38" t="str">
        <f>IF(A252="","",IFERROR(T(INDEX('交易记录'!$C$5:$C$304,MATCH(A252,'交易记录'!$A$5:$A$304,0))),"编号没找到"))</f>
        <v/>
      </c>
      <c r="O252" s="31" t="n"/>
    </row>
    <row r="253">
      <c r="A253" s="29" t="n"/>
      <c r="B253" s="30" t="n"/>
      <c r="C253" s="27" t="n"/>
      <c r="D253" s="32" t="n"/>
      <c r="E253" s="33" t="n"/>
      <c r="F253" s="36" t="n"/>
      <c r="G253" s="33" t="n"/>
      <c r="H253" s="20" t="str">
        <f>IF(AND(ISNUMBER(E253),ISNUMBER(F253)),E253*F253,"")</f>
        <v/>
      </c>
      <c r="I253" s="38" t="str">
        <f>IF(A253="","",IFERROR(IF(N(INDEX('交易记录'!$G$5:$G$304,MATCH(A253,'交易记录'!$A$5:$A$304,0)))&gt;0,INDEX('交易记录'!$G$5:$G$304,MATCH(A253,'交易记录'!$A$5:$A$304,0)),1),1))</f>
        <v/>
      </c>
      <c r="J253" s="41" t="str">
        <f>IF(ISNUMBER(H253),ROUND('参数'!$C$11+H253*I253*'参数'!$C$12+F253*'参数'!$C$13,2),"")</f>
        <v/>
      </c>
      <c r="K253" s="22" t="n"/>
      <c r="L253" s="20" t="str">
        <f>IF(ISNUMBER(K253),K253,IF(ISNUMBER(H253),J253,""))</f>
        <v/>
      </c>
      <c r="M253" s="46" t="str">
        <f>IF(AND(ISNUMBER(E253),ISNUMBER(G253),ISNUMBER(F253)),(E253-G253)*IF(D253="卖",-1,1)*F253*I253,"")</f>
        <v/>
      </c>
      <c r="N253" s="38" t="str">
        <f>IF(A253="","",IFERROR(T(INDEX('交易记录'!$C$5:$C$304,MATCH(A253,'交易记录'!$A$5:$A$304,0))),"编号没找到"))</f>
        <v/>
      </c>
      <c r="O253" s="31" t="n"/>
    </row>
    <row r="254">
      <c r="A254" s="29" t="n"/>
      <c r="B254" s="30" t="n"/>
      <c r="C254" s="27" t="n"/>
      <c r="D254" s="32" t="n"/>
      <c r="E254" s="33" t="n"/>
      <c r="F254" s="36" t="n"/>
      <c r="G254" s="33" t="n"/>
      <c r="H254" s="20" t="str">
        <f>IF(AND(ISNUMBER(E254),ISNUMBER(F254)),E254*F254,"")</f>
        <v/>
      </c>
      <c r="I254" s="38" t="str">
        <f>IF(A254="","",IFERROR(IF(N(INDEX('交易记录'!$G$5:$G$304,MATCH(A254,'交易记录'!$A$5:$A$304,0)))&gt;0,INDEX('交易记录'!$G$5:$G$304,MATCH(A254,'交易记录'!$A$5:$A$304,0)),1),1))</f>
        <v/>
      </c>
      <c r="J254" s="41" t="str">
        <f>IF(ISNUMBER(H254),ROUND('参数'!$C$11+H254*I254*'参数'!$C$12+F254*'参数'!$C$13,2),"")</f>
        <v/>
      </c>
      <c r="K254" s="22" t="n"/>
      <c r="L254" s="20" t="str">
        <f>IF(ISNUMBER(K254),K254,IF(ISNUMBER(H254),J254,""))</f>
        <v/>
      </c>
      <c r="M254" s="46" t="str">
        <f>IF(AND(ISNUMBER(E254),ISNUMBER(G254),ISNUMBER(F254)),(E254-G254)*IF(D254="卖",-1,1)*F254*I254,"")</f>
        <v/>
      </c>
      <c r="N254" s="38" t="str">
        <f>IF(A254="","",IFERROR(T(INDEX('交易记录'!$C$5:$C$304,MATCH(A254,'交易记录'!$A$5:$A$304,0))),"编号没找到"))</f>
        <v/>
      </c>
      <c r="O254" s="31" t="n"/>
    </row>
    <row r="255">
      <c r="A255" s="29" t="n"/>
      <c r="B255" s="30" t="n"/>
      <c r="C255" s="27" t="n"/>
      <c r="D255" s="32" t="n"/>
      <c r="E255" s="33" t="n"/>
      <c r="F255" s="36" t="n"/>
      <c r="G255" s="33" t="n"/>
      <c r="H255" s="20" t="str">
        <f>IF(AND(ISNUMBER(E255),ISNUMBER(F255)),E255*F255,"")</f>
        <v/>
      </c>
      <c r="I255" s="38" t="str">
        <f>IF(A255="","",IFERROR(IF(N(INDEX('交易记录'!$G$5:$G$304,MATCH(A255,'交易记录'!$A$5:$A$304,0)))&gt;0,INDEX('交易记录'!$G$5:$G$304,MATCH(A255,'交易记录'!$A$5:$A$304,0)),1),1))</f>
        <v/>
      </c>
      <c r="J255" s="41" t="str">
        <f>IF(ISNUMBER(H255),ROUND('参数'!$C$11+H255*I255*'参数'!$C$12+F255*'参数'!$C$13,2),"")</f>
        <v/>
      </c>
      <c r="K255" s="22" t="n"/>
      <c r="L255" s="20" t="str">
        <f>IF(ISNUMBER(K255),K255,IF(ISNUMBER(H255),J255,""))</f>
        <v/>
      </c>
      <c r="M255" s="46" t="str">
        <f>IF(AND(ISNUMBER(E255),ISNUMBER(G255),ISNUMBER(F255)),(E255-G255)*IF(D255="卖",-1,1)*F255*I255,"")</f>
        <v/>
      </c>
      <c r="N255" s="38" t="str">
        <f>IF(A255="","",IFERROR(T(INDEX('交易记录'!$C$5:$C$304,MATCH(A255,'交易记录'!$A$5:$A$304,0))),"编号没找到"))</f>
        <v/>
      </c>
      <c r="O255" s="31" t="n"/>
    </row>
    <row r="256">
      <c r="A256" s="29" t="n"/>
      <c r="B256" s="30" t="n"/>
      <c r="C256" s="27" t="n"/>
      <c r="D256" s="32" t="n"/>
      <c r="E256" s="33" t="n"/>
      <c r="F256" s="36" t="n"/>
      <c r="G256" s="33" t="n"/>
      <c r="H256" s="20" t="str">
        <f>IF(AND(ISNUMBER(E256),ISNUMBER(F256)),E256*F256,"")</f>
        <v/>
      </c>
      <c r="I256" s="38" t="str">
        <f>IF(A256="","",IFERROR(IF(N(INDEX('交易记录'!$G$5:$G$304,MATCH(A256,'交易记录'!$A$5:$A$304,0)))&gt;0,INDEX('交易记录'!$G$5:$G$304,MATCH(A256,'交易记录'!$A$5:$A$304,0)),1),1))</f>
        <v/>
      </c>
      <c r="J256" s="41" t="str">
        <f>IF(ISNUMBER(H256),ROUND('参数'!$C$11+H256*I256*'参数'!$C$12+F256*'参数'!$C$13,2),"")</f>
        <v/>
      </c>
      <c r="K256" s="22" t="n"/>
      <c r="L256" s="20" t="str">
        <f>IF(ISNUMBER(K256),K256,IF(ISNUMBER(H256),J256,""))</f>
        <v/>
      </c>
      <c r="M256" s="46" t="str">
        <f>IF(AND(ISNUMBER(E256),ISNUMBER(G256),ISNUMBER(F256)),(E256-G256)*IF(D256="卖",-1,1)*F256*I256,"")</f>
        <v/>
      </c>
      <c r="N256" s="38" t="str">
        <f>IF(A256="","",IFERROR(T(INDEX('交易记录'!$C$5:$C$304,MATCH(A256,'交易记录'!$A$5:$A$304,0))),"编号没找到"))</f>
        <v/>
      </c>
      <c r="O256" s="31" t="n"/>
    </row>
    <row r="257">
      <c r="A257" s="29" t="n"/>
      <c r="B257" s="30" t="n"/>
      <c r="C257" s="27" t="n"/>
      <c r="D257" s="32" t="n"/>
      <c r="E257" s="33" t="n"/>
      <c r="F257" s="36" t="n"/>
      <c r="G257" s="33" t="n"/>
      <c r="H257" s="20" t="str">
        <f>IF(AND(ISNUMBER(E257),ISNUMBER(F257)),E257*F257,"")</f>
        <v/>
      </c>
      <c r="I257" s="38" t="str">
        <f>IF(A257="","",IFERROR(IF(N(INDEX('交易记录'!$G$5:$G$304,MATCH(A257,'交易记录'!$A$5:$A$304,0)))&gt;0,INDEX('交易记录'!$G$5:$G$304,MATCH(A257,'交易记录'!$A$5:$A$304,0)),1),1))</f>
        <v/>
      </c>
      <c r="J257" s="41" t="str">
        <f>IF(ISNUMBER(H257),ROUND('参数'!$C$11+H257*I257*'参数'!$C$12+F257*'参数'!$C$13,2),"")</f>
        <v/>
      </c>
      <c r="K257" s="22" t="n"/>
      <c r="L257" s="20" t="str">
        <f>IF(ISNUMBER(K257),K257,IF(ISNUMBER(H257),J257,""))</f>
        <v/>
      </c>
      <c r="M257" s="46" t="str">
        <f>IF(AND(ISNUMBER(E257),ISNUMBER(G257),ISNUMBER(F257)),(E257-G257)*IF(D257="卖",-1,1)*F257*I257,"")</f>
        <v/>
      </c>
      <c r="N257" s="38" t="str">
        <f>IF(A257="","",IFERROR(T(INDEX('交易记录'!$C$5:$C$304,MATCH(A257,'交易记录'!$A$5:$A$304,0))),"编号没找到"))</f>
        <v/>
      </c>
      <c r="O257" s="31" t="n"/>
    </row>
    <row r="258">
      <c r="A258" s="29" t="n"/>
      <c r="B258" s="30" t="n"/>
      <c r="C258" s="27" t="n"/>
      <c r="D258" s="32" t="n"/>
      <c r="E258" s="33" t="n"/>
      <c r="F258" s="36" t="n"/>
      <c r="G258" s="33" t="n"/>
      <c r="H258" s="20" t="str">
        <f>IF(AND(ISNUMBER(E258),ISNUMBER(F258)),E258*F258,"")</f>
        <v/>
      </c>
      <c r="I258" s="38" t="str">
        <f>IF(A258="","",IFERROR(IF(N(INDEX('交易记录'!$G$5:$G$304,MATCH(A258,'交易记录'!$A$5:$A$304,0)))&gt;0,INDEX('交易记录'!$G$5:$G$304,MATCH(A258,'交易记录'!$A$5:$A$304,0)),1),1))</f>
        <v/>
      </c>
      <c r="J258" s="41" t="str">
        <f>IF(ISNUMBER(H258),ROUND('参数'!$C$11+H258*I258*'参数'!$C$12+F258*'参数'!$C$13,2),"")</f>
        <v/>
      </c>
      <c r="K258" s="22" t="n"/>
      <c r="L258" s="20" t="str">
        <f>IF(ISNUMBER(K258),K258,IF(ISNUMBER(H258),J258,""))</f>
        <v/>
      </c>
      <c r="M258" s="46" t="str">
        <f>IF(AND(ISNUMBER(E258),ISNUMBER(G258),ISNUMBER(F258)),(E258-G258)*IF(D258="卖",-1,1)*F258*I258,"")</f>
        <v/>
      </c>
      <c r="N258" s="38" t="str">
        <f>IF(A258="","",IFERROR(T(INDEX('交易记录'!$C$5:$C$304,MATCH(A258,'交易记录'!$A$5:$A$304,0))),"编号没找到"))</f>
        <v/>
      </c>
      <c r="O258" s="31" t="n"/>
    </row>
    <row r="259">
      <c r="A259" s="29" t="n"/>
      <c r="B259" s="30" t="n"/>
      <c r="C259" s="27" t="n"/>
      <c r="D259" s="32" t="n"/>
      <c r="E259" s="33" t="n"/>
      <c r="F259" s="36" t="n"/>
      <c r="G259" s="33" t="n"/>
      <c r="H259" s="20" t="str">
        <f>IF(AND(ISNUMBER(E259),ISNUMBER(F259)),E259*F259,"")</f>
        <v/>
      </c>
      <c r="I259" s="38" t="str">
        <f>IF(A259="","",IFERROR(IF(N(INDEX('交易记录'!$G$5:$G$304,MATCH(A259,'交易记录'!$A$5:$A$304,0)))&gt;0,INDEX('交易记录'!$G$5:$G$304,MATCH(A259,'交易记录'!$A$5:$A$304,0)),1),1))</f>
        <v/>
      </c>
      <c r="J259" s="41" t="str">
        <f>IF(ISNUMBER(H259),ROUND('参数'!$C$11+H259*I259*'参数'!$C$12+F259*'参数'!$C$13,2),"")</f>
        <v/>
      </c>
      <c r="K259" s="22" t="n"/>
      <c r="L259" s="20" t="str">
        <f>IF(ISNUMBER(K259),K259,IF(ISNUMBER(H259),J259,""))</f>
        <v/>
      </c>
      <c r="M259" s="46" t="str">
        <f>IF(AND(ISNUMBER(E259),ISNUMBER(G259),ISNUMBER(F259)),(E259-G259)*IF(D259="卖",-1,1)*F259*I259,"")</f>
        <v/>
      </c>
      <c r="N259" s="38" t="str">
        <f>IF(A259="","",IFERROR(T(INDEX('交易记录'!$C$5:$C$304,MATCH(A259,'交易记录'!$A$5:$A$304,0))),"编号没找到"))</f>
        <v/>
      </c>
      <c r="O259" s="31" t="n"/>
    </row>
    <row r="260">
      <c r="A260" s="29" t="n"/>
      <c r="B260" s="30" t="n"/>
      <c r="C260" s="27" t="n"/>
      <c r="D260" s="32" t="n"/>
      <c r="E260" s="33" t="n"/>
      <c r="F260" s="36" t="n"/>
      <c r="G260" s="33" t="n"/>
      <c r="H260" s="20" t="str">
        <f>IF(AND(ISNUMBER(E260),ISNUMBER(F260)),E260*F260,"")</f>
        <v/>
      </c>
      <c r="I260" s="38" t="str">
        <f>IF(A260="","",IFERROR(IF(N(INDEX('交易记录'!$G$5:$G$304,MATCH(A260,'交易记录'!$A$5:$A$304,0)))&gt;0,INDEX('交易记录'!$G$5:$G$304,MATCH(A260,'交易记录'!$A$5:$A$304,0)),1),1))</f>
        <v/>
      </c>
      <c r="J260" s="41" t="str">
        <f>IF(ISNUMBER(H260),ROUND('参数'!$C$11+H260*I260*'参数'!$C$12+F260*'参数'!$C$13,2),"")</f>
        <v/>
      </c>
      <c r="K260" s="22" t="n"/>
      <c r="L260" s="20" t="str">
        <f>IF(ISNUMBER(K260),K260,IF(ISNUMBER(H260),J260,""))</f>
        <v/>
      </c>
      <c r="M260" s="46" t="str">
        <f>IF(AND(ISNUMBER(E260),ISNUMBER(G260),ISNUMBER(F260)),(E260-G260)*IF(D260="卖",-1,1)*F260*I260,"")</f>
        <v/>
      </c>
      <c r="N260" s="38" t="str">
        <f>IF(A260="","",IFERROR(T(INDEX('交易记录'!$C$5:$C$304,MATCH(A260,'交易记录'!$A$5:$A$304,0))),"编号没找到"))</f>
        <v/>
      </c>
      <c r="O260" s="31" t="n"/>
    </row>
    <row r="261">
      <c r="A261" s="29" t="n"/>
      <c r="B261" s="30" t="n"/>
      <c r="C261" s="27" t="n"/>
      <c r="D261" s="32" t="n"/>
      <c r="E261" s="33" t="n"/>
      <c r="F261" s="36" t="n"/>
      <c r="G261" s="33" t="n"/>
      <c r="H261" s="20" t="str">
        <f>IF(AND(ISNUMBER(E261),ISNUMBER(F261)),E261*F261,"")</f>
        <v/>
      </c>
      <c r="I261" s="38" t="str">
        <f>IF(A261="","",IFERROR(IF(N(INDEX('交易记录'!$G$5:$G$304,MATCH(A261,'交易记录'!$A$5:$A$304,0)))&gt;0,INDEX('交易记录'!$G$5:$G$304,MATCH(A261,'交易记录'!$A$5:$A$304,0)),1),1))</f>
        <v/>
      </c>
      <c r="J261" s="41" t="str">
        <f>IF(ISNUMBER(H261),ROUND('参数'!$C$11+H261*I261*'参数'!$C$12+F261*'参数'!$C$13,2),"")</f>
        <v/>
      </c>
      <c r="K261" s="22" t="n"/>
      <c r="L261" s="20" t="str">
        <f>IF(ISNUMBER(K261),K261,IF(ISNUMBER(H261),J261,""))</f>
        <v/>
      </c>
      <c r="M261" s="46" t="str">
        <f>IF(AND(ISNUMBER(E261),ISNUMBER(G261),ISNUMBER(F261)),(E261-G261)*IF(D261="卖",-1,1)*F261*I261,"")</f>
        <v/>
      </c>
      <c r="N261" s="38" t="str">
        <f>IF(A261="","",IFERROR(T(INDEX('交易记录'!$C$5:$C$304,MATCH(A261,'交易记录'!$A$5:$A$304,0))),"编号没找到"))</f>
        <v/>
      </c>
      <c r="O261" s="31" t="n"/>
    </row>
    <row r="262">
      <c r="A262" s="29" t="n"/>
      <c r="B262" s="30" t="n"/>
      <c r="C262" s="27" t="n"/>
      <c r="D262" s="32" t="n"/>
      <c r="E262" s="33" t="n"/>
      <c r="F262" s="36" t="n"/>
      <c r="G262" s="33" t="n"/>
      <c r="H262" s="20" t="str">
        <f>IF(AND(ISNUMBER(E262),ISNUMBER(F262)),E262*F262,"")</f>
        <v/>
      </c>
      <c r="I262" s="38" t="str">
        <f>IF(A262="","",IFERROR(IF(N(INDEX('交易记录'!$G$5:$G$304,MATCH(A262,'交易记录'!$A$5:$A$304,0)))&gt;0,INDEX('交易记录'!$G$5:$G$304,MATCH(A262,'交易记录'!$A$5:$A$304,0)),1),1))</f>
        <v/>
      </c>
      <c r="J262" s="41" t="str">
        <f>IF(ISNUMBER(H262),ROUND('参数'!$C$11+H262*I262*'参数'!$C$12+F262*'参数'!$C$13,2),"")</f>
        <v/>
      </c>
      <c r="K262" s="22" t="n"/>
      <c r="L262" s="20" t="str">
        <f>IF(ISNUMBER(K262),K262,IF(ISNUMBER(H262),J262,""))</f>
        <v/>
      </c>
      <c r="M262" s="46" t="str">
        <f>IF(AND(ISNUMBER(E262),ISNUMBER(G262),ISNUMBER(F262)),(E262-G262)*IF(D262="卖",-1,1)*F262*I262,"")</f>
        <v/>
      </c>
      <c r="N262" s="38" t="str">
        <f>IF(A262="","",IFERROR(T(INDEX('交易记录'!$C$5:$C$304,MATCH(A262,'交易记录'!$A$5:$A$304,0))),"编号没找到"))</f>
        <v/>
      </c>
      <c r="O262" s="31" t="n"/>
    </row>
    <row r="263">
      <c r="A263" s="29" t="n"/>
      <c r="B263" s="30" t="n"/>
      <c r="C263" s="27" t="n"/>
      <c r="D263" s="32" t="n"/>
      <c r="E263" s="33" t="n"/>
      <c r="F263" s="36" t="n"/>
      <c r="G263" s="33" t="n"/>
      <c r="H263" s="20" t="str">
        <f>IF(AND(ISNUMBER(E263),ISNUMBER(F263)),E263*F263,"")</f>
        <v/>
      </c>
      <c r="I263" s="38" t="str">
        <f>IF(A263="","",IFERROR(IF(N(INDEX('交易记录'!$G$5:$G$304,MATCH(A263,'交易记录'!$A$5:$A$304,0)))&gt;0,INDEX('交易记录'!$G$5:$G$304,MATCH(A263,'交易记录'!$A$5:$A$304,0)),1),1))</f>
        <v/>
      </c>
      <c r="J263" s="41" t="str">
        <f>IF(ISNUMBER(H263),ROUND('参数'!$C$11+H263*I263*'参数'!$C$12+F263*'参数'!$C$13,2),"")</f>
        <v/>
      </c>
      <c r="K263" s="22" t="n"/>
      <c r="L263" s="20" t="str">
        <f>IF(ISNUMBER(K263),K263,IF(ISNUMBER(H263),J263,""))</f>
        <v/>
      </c>
      <c r="M263" s="46" t="str">
        <f>IF(AND(ISNUMBER(E263),ISNUMBER(G263),ISNUMBER(F263)),(E263-G263)*IF(D263="卖",-1,1)*F263*I263,"")</f>
        <v/>
      </c>
      <c r="N263" s="38" t="str">
        <f>IF(A263="","",IFERROR(T(INDEX('交易记录'!$C$5:$C$304,MATCH(A263,'交易记录'!$A$5:$A$304,0))),"编号没找到"))</f>
        <v/>
      </c>
      <c r="O263" s="31" t="n"/>
    </row>
    <row r="264">
      <c r="A264" s="29" t="n"/>
      <c r="B264" s="30" t="n"/>
      <c r="C264" s="27" t="n"/>
      <c r="D264" s="32" t="n"/>
      <c r="E264" s="33" t="n"/>
      <c r="F264" s="36" t="n"/>
      <c r="G264" s="33" t="n"/>
      <c r="H264" s="20" t="str">
        <f>IF(AND(ISNUMBER(E264),ISNUMBER(F264)),E264*F264,"")</f>
        <v/>
      </c>
      <c r="I264" s="38" t="str">
        <f>IF(A264="","",IFERROR(IF(N(INDEX('交易记录'!$G$5:$G$304,MATCH(A264,'交易记录'!$A$5:$A$304,0)))&gt;0,INDEX('交易记录'!$G$5:$G$304,MATCH(A264,'交易记录'!$A$5:$A$304,0)),1),1))</f>
        <v/>
      </c>
      <c r="J264" s="41" t="str">
        <f>IF(ISNUMBER(H264),ROUND('参数'!$C$11+H264*I264*'参数'!$C$12+F264*'参数'!$C$13,2),"")</f>
        <v/>
      </c>
      <c r="K264" s="22" t="n"/>
      <c r="L264" s="20" t="str">
        <f>IF(ISNUMBER(K264),K264,IF(ISNUMBER(H264),J264,""))</f>
        <v/>
      </c>
      <c r="M264" s="46" t="str">
        <f>IF(AND(ISNUMBER(E264),ISNUMBER(G264),ISNUMBER(F264)),(E264-G264)*IF(D264="卖",-1,1)*F264*I264,"")</f>
        <v/>
      </c>
      <c r="N264" s="38" t="str">
        <f>IF(A264="","",IFERROR(T(INDEX('交易记录'!$C$5:$C$304,MATCH(A264,'交易记录'!$A$5:$A$304,0))),"编号没找到"))</f>
        <v/>
      </c>
      <c r="O264" s="31" t="n"/>
    </row>
    <row r="265">
      <c r="A265" s="29" t="n"/>
      <c r="B265" s="30" t="n"/>
      <c r="C265" s="27" t="n"/>
      <c r="D265" s="32" t="n"/>
      <c r="E265" s="33" t="n"/>
      <c r="F265" s="36" t="n"/>
      <c r="G265" s="33" t="n"/>
      <c r="H265" s="20" t="str">
        <f>IF(AND(ISNUMBER(E265),ISNUMBER(F265)),E265*F265,"")</f>
        <v/>
      </c>
      <c r="I265" s="38" t="str">
        <f>IF(A265="","",IFERROR(IF(N(INDEX('交易记录'!$G$5:$G$304,MATCH(A265,'交易记录'!$A$5:$A$304,0)))&gt;0,INDEX('交易记录'!$G$5:$G$304,MATCH(A265,'交易记录'!$A$5:$A$304,0)),1),1))</f>
        <v/>
      </c>
      <c r="J265" s="41" t="str">
        <f>IF(ISNUMBER(H265),ROUND('参数'!$C$11+H265*I265*'参数'!$C$12+F265*'参数'!$C$13,2),"")</f>
        <v/>
      </c>
      <c r="K265" s="22" t="n"/>
      <c r="L265" s="20" t="str">
        <f>IF(ISNUMBER(K265),K265,IF(ISNUMBER(H265),J265,""))</f>
        <v/>
      </c>
      <c r="M265" s="46" t="str">
        <f>IF(AND(ISNUMBER(E265),ISNUMBER(G265),ISNUMBER(F265)),(E265-G265)*IF(D265="卖",-1,1)*F265*I265,"")</f>
        <v/>
      </c>
      <c r="N265" s="38" t="str">
        <f>IF(A265="","",IFERROR(T(INDEX('交易记录'!$C$5:$C$304,MATCH(A265,'交易记录'!$A$5:$A$304,0))),"编号没找到"))</f>
        <v/>
      </c>
      <c r="O265" s="31" t="n"/>
    </row>
    <row r="266">
      <c r="A266" s="29" t="n"/>
      <c r="B266" s="30" t="n"/>
      <c r="C266" s="27" t="n"/>
      <c r="D266" s="32" t="n"/>
      <c r="E266" s="33" t="n"/>
      <c r="F266" s="36" t="n"/>
      <c r="G266" s="33" t="n"/>
      <c r="H266" s="20" t="str">
        <f>IF(AND(ISNUMBER(E266),ISNUMBER(F266)),E266*F266,"")</f>
        <v/>
      </c>
      <c r="I266" s="38" t="str">
        <f>IF(A266="","",IFERROR(IF(N(INDEX('交易记录'!$G$5:$G$304,MATCH(A266,'交易记录'!$A$5:$A$304,0)))&gt;0,INDEX('交易记录'!$G$5:$G$304,MATCH(A266,'交易记录'!$A$5:$A$304,0)),1),1))</f>
        <v/>
      </c>
      <c r="J266" s="41" t="str">
        <f>IF(ISNUMBER(H266),ROUND('参数'!$C$11+H266*I266*'参数'!$C$12+F266*'参数'!$C$13,2),"")</f>
        <v/>
      </c>
      <c r="K266" s="22" t="n"/>
      <c r="L266" s="20" t="str">
        <f>IF(ISNUMBER(K266),K266,IF(ISNUMBER(H266),J266,""))</f>
        <v/>
      </c>
      <c r="M266" s="46" t="str">
        <f>IF(AND(ISNUMBER(E266),ISNUMBER(G266),ISNUMBER(F266)),(E266-G266)*IF(D266="卖",-1,1)*F266*I266,"")</f>
        <v/>
      </c>
      <c r="N266" s="38" t="str">
        <f>IF(A266="","",IFERROR(T(INDEX('交易记录'!$C$5:$C$304,MATCH(A266,'交易记录'!$A$5:$A$304,0))),"编号没找到"))</f>
        <v/>
      </c>
      <c r="O266" s="31" t="n"/>
    </row>
    <row r="267">
      <c r="A267" s="29" t="n"/>
      <c r="B267" s="30" t="n"/>
      <c r="C267" s="27" t="n"/>
      <c r="D267" s="32" t="n"/>
      <c r="E267" s="33" t="n"/>
      <c r="F267" s="36" t="n"/>
      <c r="G267" s="33" t="n"/>
      <c r="H267" s="20" t="str">
        <f>IF(AND(ISNUMBER(E267),ISNUMBER(F267)),E267*F267,"")</f>
        <v/>
      </c>
      <c r="I267" s="38" t="str">
        <f>IF(A267="","",IFERROR(IF(N(INDEX('交易记录'!$G$5:$G$304,MATCH(A267,'交易记录'!$A$5:$A$304,0)))&gt;0,INDEX('交易记录'!$G$5:$G$304,MATCH(A267,'交易记录'!$A$5:$A$304,0)),1),1))</f>
        <v/>
      </c>
      <c r="J267" s="41" t="str">
        <f>IF(ISNUMBER(H267),ROUND('参数'!$C$11+H267*I267*'参数'!$C$12+F267*'参数'!$C$13,2),"")</f>
        <v/>
      </c>
      <c r="K267" s="22" t="n"/>
      <c r="L267" s="20" t="str">
        <f>IF(ISNUMBER(K267),K267,IF(ISNUMBER(H267),J267,""))</f>
        <v/>
      </c>
      <c r="M267" s="46" t="str">
        <f>IF(AND(ISNUMBER(E267),ISNUMBER(G267),ISNUMBER(F267)),(E267-G267)*IF(D267="卖",-1,1)*F267*I267,"")</f>
        <v/>
      </c>
      <c r="N267" s="38" t="str">
        <f>IF(A267="","",IFERROR(T(INDEX('交易记录'!$C$5:$C$304,MATCH(A267,'交易记录'!$A$5:$A$304,0))),"编号没找到"))</f>
        <v/>
      </c>
      <c r="O267" s="31" t="n"/>
    </row>
    <row r="268">
      <c r="A268" s="29" t="n"/>
      <c r="B268" s="30" t="n"/>
      <c r="C268" s="27" t="n"/>
      <c r="D268" s="32" t="n"/>
      <c r="E268" s="33" t="n"/>
      <c r="F268" s="36" t="n"/>
      <c r="G268" s="33" t="n"/>
      <c r="H268" s="20" t="str">
        <f>IF(AND(ISNUMBER(E268),ISNUMBER(F268)),E268*F268,"")</f>
        <v/>
      </c>
      <c r="I268" s="38" t="str">
        <f>IF(A268="","",IFERROR(IF(N(INDEX('交易记录'!$G$5:$G$304,MATCH(A268,'交易记录'!$A$5:$A$304,0)))&gt;0,INDEX('交易记录'!$G$5:$G$304,MATCH(A268,'交易记录'!$A$5:$A$304,0)),1),1))</f>
        <v/>
      </c>
      <c r="J268" s="41" t="str">
        <f>IF(ISNUMBER(H268),ROUND('参数'!$C$11+H268*I268*'参数'!$C$12+F268*'参数'!$C$13,2),"")</f>
        <v/>
      </c>
      <c r="K268" s="22" t="n"/>
      <c r="L268" s="20" t="str">
        <f>IF(ISNUMBER(K268),K268,IF(ISNUMBER(H268),J268,""))</f>
        <v/>
      </c>
      <c r="M268" s="46" t="str">
        <f>IF(AND(ISNUMBER(E268),ISNUMBER(G268),ISNUMBER(F268)),(E268-G268)*IF(D268="卖",-1,1)*F268*I268,"")</f>
        <v/>
      </c>
      <c r="N268" s="38" t="str">
        <f>IF(A268="","",IFERROR(T(INDEX('交易记录'!$C$5:$C$304,MATCH(A268,'交易记录'!$A$5:$A$304,0))),"编号没找到"))</f>
        <v/>
      </c>
      <c r="O268" s="31" t="n"/>
    </row>
    <row r="269">
      <c r="A269" s="29" t="n"/>
      <c r="B269" s="30" t="n"/>
      <c r="C269" s="27" t="n"/>
      <c r="D269" s="32" t="n"/>
      <c r="E269" s="33" t="n"/>
      <c r="F269" s="36" t="n"/>
      <c r="G269" s="33" t="n"/>
      <c r="H269" s="20" t="str">
        <f>IF(AND(ISNUMBER(E269),ISNUMBER(F269)),E269*F269,"")</f>
        <v/>
      </c>
      <c r="I269" s="38" t="str">
        <f>IF(A269="","",IFERROR(IF(N(INDEX('交易记录'!$G$5:$G$304,MATCH(A269,'交易记录'!$A$5:$A$304,0)))&gt;0,INDEX('交易记录'!$G$5:$G$304,MATCH(A269,'交易记录'!$A$5:$A$304,0)),1),1))</f>
        <v/>
      </c>
      <c r="J269" s="41" t="str">
        <f>IF(ISNUMBER(H269),ROUND('参数'!$C$11+H269*I269*'参数'!$C$12+F269*'参数'!$C$13,2),"")</f>
        <v/>
      </c>
      <c r="K269" s="22" t="n"/>
      <c r="L269" s="20" t="str">
        <f>IF(ISNUMBER(K269),K269,IF(ISNUMBER(H269),J269,""))</f>
        <v/>
      </c>
      <c r="M269" s="46" t="str">
        <f>IF(AND(ISNUMBER(E269),ISNUMBER(G269),ISNUMBER(F269)),(E269-G269)*IF(D269="卖",-1,1)*F269*I269,"")</f>
        <v/>
      </c>
      <c r="N269" s="38" t="str">
        <f>IF(A269="","",IFERROR(T(INDEX('交易记录'!$C$5:$C$304,MATCH(A269,'交易记录'!$A$5:$A$304,0))),"编号没找到"))</f>
        <v/>
      </c>
      <c r="O269" s="31" t="n"/>
    </row>
    <row r="270">
      <c r="A270" s="29" t="n"/>
      <c r="B270" s="30" t="n"/>
      <c r="C270" s="27" t="n"/>
      <c r="D270" s="32" t="n"/>
      <c r="E270" s="33" t="n"/>
      <c r="F270" s="36" t="n"/>
      <c r="G270" s="33" t="n"/>
      <c r="H270" s="20" t="str">
        <f>IF(AND(ISNUMBER(E270),ISNUMBER(F270)),E270*F270,"")</f>
        <v/>
      </c>
      <c r="I270" s="38" t="str">
        <f>IF(A270="","",IFERROR(IF(N(INDEX('交易记录'!$G$5:$G$304,MATCH(A270,'交易记录'!$A$5:$A$304,0)))&gt;0,INDEX('交易记录'!$G$5:$G$304,MATCH(A270,'交易记录'!$A$5:$A$304,0)),1),1))</f>
        <v/>
      </c>
      <c r="J270" s="41" t="str">
        <f>IF(ISNUMBER(H270),ROUND('参数'!$C$11+H270*I270*'参数'!$C$12+F270*'参数'!$C$13,2),"")</f>
        <v/>
      </c>
      <c r="K270" s="22" t="n"/>
      <c r="L270" s="20" t="str">
        <f>IF(ISNUMBER(K270),K270,IF(ISNUMBER(H270),J270,""))</f>
        <v/>
      </c>
      <c r="M270" s="46" t="str">
        <f>IF(AND(ISNUMBER(E270),ISNUMBER(G270),ISNUMBER(F270)),(E270-G270)*IF(D270="卖",-1,1)*F270*I270,"")</f>
        <v/>
      </c>
      <c r="N270" s="38" t="str">
        <f>IF(A270="","",IFERROR(T(INDEX('交易记录'!$C$5:$C$304,MATCH(A270,'交易记录'!$A$5:$A$304,0))),"编号没找到"))</f>
        <v/>
      </c>
      <c r="O270" s="31" t="n"/>
    </row>
    <row r="271">
      <c r="A271" s="29" t="n"/>
      <c r="B271" s="30" t="n"/>
      <c r="C271" s="27" t="n"/>
      <c r="D271" s="32" t="n"/>
      <c r="E271" s="33" t="n"/>
      <c r="F271" s="36" t="n"/>
      <c r="G271" s="33" t="n"/>
      <c r="H271" s="20" t="str">
        <f>IF(AND(ISNUMBER(E271),ISNUMBER(F271)),E271*F271,"")</f>
        <v/>
      </c>
      <c r="I271" s="38" t="str">
        <f>IF(A271="","",IFERROR(IF(N(INDEX('交易记录'!$G$5:$G$304,MATCH(A271,'交易记录'!$A$5:$A$304,0)))&gt;0,INDEX('交易记录'!$G$5:$G$304,MATCH(A271,'交易记录'!$A$5:$A$304,0)),1),1))</f>
        <v/>
      </c>
      <c r="J271" s="41" t="str">
        <f>IF(ISNUMBER(H271),ROUND('参数'!$C$11+H271*I271*'参数'!$C$12+F271*'参数'!$C$13,2),"")</f>
        <v/>
      </c>
      <c r="K271" s="22" t="n"/>
      <c r="L271" s="20" t="str">
        <f>IF(ISNUMBER(K271),K271,IF(ISNUMBER(H271),J271,""))</f>
        <v/>
      </c>
      <c r="M271" s="46" t="str">
        <f>IF(AND(ISNUMBER(E271),ISNUMBER(G271),ISNUMBER(F271)),(E271-G271)*IF(D271="卖",-1,1)*F271*I271,"")</f>
        <v/>
      </c>
      <c r="N271" s="38" t="str">
        <f>IF(A271="","",IFERROR(T(INDEX('交易记录'!$C$5:$C$304,MATCH(A271,'交易记录'!$A$5:$A$304,0))),"编号没找到"))</f>
        <v/>
      </c>
      <c r="O271" s="31" t="n"/>
    </row>
    <row r="272">
      <c r="A272" s="29" t="n"/>
      <c r="B272" s="30" t="n"/>
      <c r="C272" s="27" t="n"/>
      <c r="D272" s="32" t="n"/>
      <c r="E272" s="33" t="n"/>
      <c r="F272" s="36" t="n"/>
      <c r="G272" s="33" t="n"/>
      <c r="H272" s="20" t="str">
        <f>IF(AND(ISNUMBER(E272),ISNUMBER(F272)),E272*F272,"")</f>
        <v/>
      </c>
      <c r="I272" s="38" t="str">
        <f>IF(A272="","",IFERROR(IF(N(INDEX('交易记录'!$G$5:$G$304,MATCH(A272,'交易记录'!$A$5:$A$304,0)))&gt;0,INDEX('交易记录'!$G$5:$G$304,MATCH(A272,'交易记录'!$A$5:$A$304,0)),1),1))</f>
        <v/>
      </c>
      <c r="J272" s="41" t="str">
        <f>IF(ISNUMBER(H272),ROUND('参数'!$C$11+H272*I272*'参数'!$C$12+F272*'参数'!$C$13,2),"")</f>
        <v/>
      </c>
      <c r="K272" s="22" t="n"/>
      <c r="L272" s="20" t="str">
        <f>IF(ISNUMBER(K272),K272,IF(ISNUMBER(H272),J272,""))</f>
        <v/>
      </c>
      <c r="M272" s="46" t="str">
        <f>IF(AND(ISNUMBER(E272),ISNUMBER(G272),ISNUMBER(F272)),(E272-G272)*IF(D272="卖",-1,1)*F272*I272,"")</f>
        <v/>
      </c>
      <c r="N272" s="38" t="str">
        <f>IF(A272="","",IFERROR(T(INDEX('交易记录'!$C$5:$C$304,MATCH(A272,'交易记录'!$A$5:$A$304,0))),"编号没找到"))</f>
        <v/>
      </c>
      <c r="O272" s="31" t="n"/>
    </row>
    <row r="273">
      <c r="A273" s="29" t="n"/>
      <c r="B273" s="30" t="n"/>
      <c r="C273" s="27" t="n"/>
      <c r="D273" s="32" t="n"/>
      <c r="E273" s="33" t="n"/>
      <c r="F273" s="36" t="n"/>
      <c r="G273" s="33" t="n"/>
      <c r="H273" s="20" t="str">
        <f>IF(AND(ISNUMBER(E273),ISNUMBER(F273)),E273*F273,"")</f>
        <v/>
      </c>
      <c r="I273" s="38" t="str">
        <f>IF(A273="","",IFERROR(IF(N(INDEX('交易记录'!$G$5:$G$304,MATCH(A273,'交易记录'!$A$5:$A$304,0)))&gt;0,INDEX('交易记录'!$G$5:$G$304,MATCH(A273,'交易记录'!$A$5:$A$304,0)),1),1))</f>
        <v/>
      </c>
      <c r="J273" s="41" t="str">
        <f>IF(ISNUMBER(H273),ROUND('参数'!$C$11+H273*I273*'参数'!$C$12+F273*'参数'!$C$13,2),"")</f>
        <v/>
      </c>
      <c r="K273" s="22" t="n"/>
      <c r="L273" s="20" t="str">
        <f>IF(ISNUMBER(K273),K273,IF(ISNUMBER(H273),J273,""))</f>
        <v/>
      </c>
      <c r="M273" s="46" t="str">
        <f>IF(AND(ISNUMBER(E273),ISNUMBER(G273),ISNUMBER(F273)),(E273-G273)*IF(D273="卖",-1,1)*F273*I273,"")</f>
        <v/>
      </c>
      <c r="N273" s="38" t="str">
        <f>IF(A273="","",IFERROR(T(INDEX('交易记录'!$C$5:$C$304,MATCH(A273,'交易记录'!$A$5:$A$304,0))),"编号没找到"))</f>
        <v/>
      </c>
      <c r="O273" s="31" t="n"/>
    </row>
    <row r="274">
      <c r="A274" s="29" t="n"/>
      <c r="B274" s="30" t="n"/>
      <c r="C274" s="27" t="n"/>
      <c r="D274" s="32" t="n"/>
      <c r="E274" s="33" t="n"/>
      <c r="F274" s="36" t="n"/>
      <c r="G274" s="33" t="n"/>
      <c r="H274" s="20" t="str">
        <f>IF(AND(ISNUMBER(E274),ISNUMBER(F274)),E274*F274,"")</f>
        <v/>
      </c>
      <c r="I274" s="38" t="str">
        <f>IF(A274="","",IFERROR(IF(N(INDEX('交易记录'!$G$5:$G$304,MATCH(A274,'交易记录'!$A$5:$A$304,0)))&gt;0,INDEX('交易记录'!$G$5:$G$304,MATCH(A274,'交易记录'!$A$5:$A$304,0)),1),1))</f>
        <v/>
      </c>
      <c r="J274" s="41" t="str">
        <f>IF(ISNUMBER(H274),ROUND('参数'!$C$11+H274*I274*'参数'!$C$12+F274*'参数'!$C$13,2),"")</f>
        <v/>
      </c>
      <c r="K274" s="22" t="n"/>
      <c r="L274" s="20" t="str">
        <f>IF(ISNUMBER(K274),K274,IF(ISNUMBER(H274),J274,""))</f>
        <v/>
      </c>
      <c r="M274" s="46" t="str">
        <f>IF(AND(ISNUMBER(E274),ISNUMBER(G274),ISNUMBER(F274)),(E274-G274)*IF(D274="卖",-1,1)*F274*I274,"")</f>
        <v/>
      </c>
      <c r="N274" s="38" t="str">
        <f>IF(A274="","",IFERROR(T(INDEX('交易记录'!$C$5:$C$304,MATCH(A274,'交易记录'!$A$5:$A$304,0))),"编号没找到"))</f>
        <v/>
      </c>
      <c r="O274" s="31" t="n"/>
    </row>
    <row r="275">
      <c r="A275" s="29" t="n"/>
      <c r="B275" s="30" t="n"/>
      <c r="C275" s="27" t="n"/>
      <c r="D275" s="32" t="n"/>
      <c r="E275" s="33" t="n"/>
      <c r="F275" s="36" t="n"/>
      <c r="G275" s="33" t="n"/>
      <c r="H275" s="20" t="str">
        <f>IF(AND(ISNUMBER(E275),ISNUMBER(F275)),E275*F275,"")</f>
        <v/>
      </c>
      <c r="I275" s="38" t="str">
        <f>IF(A275="","",IFERROR(IF(N(INDEX('交易记录'!$G$5:$G$304,MATCH(A275,'交易记录'!$A$5:$A$304,0)))&gt;0,INDEX('交易记录'!$G$5:$G$304,MATCH(A275,'交易记录'!$A$5:$A$304,0)),1),1))</f>
        <v/>
      </c>
      <c r="J275" s="41" t="str">
        <f>IF(ISNUMBER(H275),ROUND('参数'!$C$11+H275*I275*'参数'!$C$12+F275*'参数'!$C$13,2),"")</f>
        <v/>
      </c>
      <c r="K275" s="22" t="n"/>
      <c r="L275" s="20" t="str">
        <f>IF(ISNUMBER(K275),K275,IF(ISNUMBER(H275),J275,""))</f>
        <v/>
      </c>
      <c r="M275" s="46" t="str">
        <f>IF(AND(ISNUMBER(E275),ISNUMBER(G275),ISNUMBER(F275)),(E275-G275)*IF(D275="卖",-1,1)*F275*I275,"")</f>
        <v/>
      </c>
      <c r="N275" s="38" t="str">
        <f>IF(A275="","",IFERROR(T(INDEX('交易记录'!$C$5:$C$304,MATCH(A275,'交易记录'!$A$5:$A$304,0))),"编号没找到"))</f>
        <v/>
      </c>
      <c r="O275" s="31" t="n"/>
    </row>
    <row r="276">
      <c r="A276" s="29" t="n"/>
      <c r="B276" s="30" t="n"/>
      <c r="C276" s="27" t="n"/>
      <c r="D276" s="32" t="n"/>
      <c r="E276" s="33" t="n"/>
      <c r="F276" s="36" t="n"/>
      <c r="G276" s="33" t="n"/>
      <c r="H276" s="20" t="str">
        <f>IF(AND(ISNUMBER(E276),ISNUMBER(F276)),E276*F276,"")</f>
        <v/>
      </c>
      <c r="I276" s="38" t="str">
        <f>IF(A276="","",IFERROR(IF(N(INDEX('交易记录'!$G$5:$G$304,MATCH(A276,'交易记录'!$A$5:$A$304,0)))&gt;0,INDEX('交易记录'!$G$5:$G$304,MATCH(A276,'交易记录'!$A$5:$A$304,0)),1),1))</f>
        <v/>
      </c>
      <c r="J276" s="41" t="str">
        <f>IF(ISNUMBER(H276),ROUND('参数'!$C$11+H276*I276*'参数'!$C$12+F276*'参数'!$C$13,2),"")</f>
        <v/>
      </c>
      <c r="K276" s="22" t="n"/>
      <c r="L276" s="20" t="str">
        <f>IF(ISNUMBER(K276),K276,IF(ISNUMBER(H276),J276,""))</f>
        <v/>
      </c>
      <c r="M276" s="46" t="str">
        <f>IF(AND(ISNUMBER(E276),ISNUMBER(G276),ISNUMBER(F276)),(E276-G276)*IF(D276="卖",-1,1)*F276*I276,"")</f>
        <v/>
      </c>
      <c r="N276" s="38" t="str">
        <f>IF(A276="","",IFERROR(T(INDEX('交易记录'!$C$5:$C$304,MATCH(A276,'交易记录'!$A$5:$A$304,0))),"编号没找到"))</f>
        <v/>
      </c>
      <c r="O276" s="31" t="n"/>
    </row>
    <row r="277">
      <c r="A277" s="29" t="n"/>
      <c r="B277" s="30" t="n"/>
      <c r="C277" s="27" t="n"/>
      <c r="D277" s="32" t="n"/>
      <c r="E277" s="33" t="n"/>
      <c r="F277" s="36" t="n"/>
      <c r="G277" s="33" t="n"/>
      <c r="H277" s="20" t="str">
        <f>IF(AND(ISNUMBER(E277),ISNUMBER(F277)),E277*F277,"")</f>
        <v/>
      </c>
      <c r="I277" s="38" t="str">
        <f>IF(A277="","",IFERROR(IF(N(INDEX('交易记录'!$G$5:$G$304,MATCH(A277,'交易记录'!$A$5:$A$304,0)))&gt;0,INDEX('交易记录'!$G$5:$G$304,MATCH(A277,'交易记录'!$A$5:$A$304,0)),1),1))</f>
        <v/>
      </c>
      <c r="J277" s="41" t="str">
        <f>IF(ISNUMBER(H277),ROUND('参数'!$C$11+H277*I277*'参数'!$C$12+F277*'参数'!$C$13,2),"")</f>
        <v/>
      </c>
      <c r="K277" s="22" t="n"/>
      <c r="L277" s="20" t="str">
        <f>IF(ISNUMBER(K277),K277,IF(ISNUMBER(H277),J277,""))</f>
        <v/>
      </c>
      <c r="M277" s="46" t="str">
        <f>IF(AND(ISNUMBER(E277),ISNUMBER(G277),ISNUMBER(F277)),(E277-G277)*IF(D277="卖",-1,1)*F277*I277,"")</f>
        <v/>
      </c>
      <c r="N277" s="38" t="str">
        <f>IF(A277="","",IFERROR(T(INDEX('交易记录'!$C$5:$C$304,MATCH(A277,'交易记录'!$A$5:$A$304,0))),"编号没找到"))</f>
        <v/>
      </c>
      <c r="O277" s="31" t="n"/>
    </row>
    <row r="278">
      <c r="A278" s="29" t="n"/>
      <c r="B278" s="30" t="n"/>
      <c r="C278" s="27" t="n"/>
      <c r="D278" s="32" t="n"/>
      <c r="E278" s="33" t="n"/>
      <c r="F278" s="36" t="n"/>
      <c r="G278" s="33" t="n"/>
      <c r="H278" s="20" t="str">
        <f>IF(AND(ISNUMBER(E278),ISNUMBER(F278)),E278*F278,"")</f>
        <v/>
      </c>
      <c r="I278" s="38" t="str">
        <f>IF(A278="","",IFERROR(IF(N(INDEX('交易记录'!$G$5:$G$304,MATCH(A278,'交易记录'!$A$5:$A$304,0)))&gt;0,INDEX('交易记录'!$G$5:$G$304,MATCH(A278,'交易记录'!$A$5:$A$304,0)),1),1))</f>
        <v/>
      </c>
      <c r="J278" s="41" t="str">
        <f>IF(ISNUMBER(H278),ROUND('参数'!$C$11+H278*I278*'参数'!$C$12+F278*'参数'!$C$13,2),"")</f>
        <v/>
      </c>
      <c r="K278" s="22" t="n"/>
      <c r="L278" s="20" t="str">
        <f>IF(ISNUMBER(K278),K278,IF(ISNUMBER(H278),J278,""))</f>
        <v/>
      </c>
      <c r="M278" s="46" t="str">
        <f>IF(AND(ISNUMBER(E278),ISNUMBER(G278),ISNUMBER(F278)),(E278-G278)*IF(D278="卖",-1,1)*F278*I278,"")</f>
        <v/>
      </c>
      <c r="N278" s="38" t="str">
        <f>IF(A278="","",IFERROR(T(INDEX('交易记录'!$C$5:$C$304,MATCH(A278,'交易记录'!$A$5:$A$304,0))),"编号没找到"))</f>
        <v/>
      </c>
      <c r="O278" s="31" t="n"/>
    </row>
    <row r="279">
      <c r="A279" s="29" t="n"/>
      <c r="B279" s="30" t="n"/>
      <c r="C279" s="27" t="n"/>
      <c r="D279" s="32" t="n"/>
      <c r="E279" s="33" t="n"/>
      <c r="F279" s="36" t="n"/>
      <c r="G279" s="33" t="n"/>
      <c r="H279" s="20" t="str">
        <f>IF(AND(ISNUMBER(E279),ISNUMBER(F279)),E279*F279,"")</f>
        <v/>
      </c>
      <c r="I279" s="38" t="str">
        <f>IF(A279="","",IFERROR(IF(N(INDEX('交易记录'!$G$5:$G$304,MATCH(A279,'交易记录'!$A$5:$A$304,0)))&gt;0,INDEX('交易记录'!$G$5:$G$304,MATCH(A279,'交易记录'!$A$5:$A$304,0)),1),1))</f>
        <v/>
      </c>
      <c r="J279" s="41" t="str">
        <f>IF(ISNUMBER(H279),ROUND('参数'!$C$11+H279*I279*'参数'!$C$12+F279*'参数'!$C$13,2),"")</f>
        <v/>
      </c>
      <c r="K279" s="22" t="n"/>
      <c r="L279" s="20" t="str">
        <f>IF(ISNUMBER(K279),K279,IF(ISNUMBER(H279),J279,""))</f>
        <v/>
      </c>
      <c r="M279" s="46" t="str">
        <f>IF(AND(ISNUMBER(E279),ISNUMBER(G279),ISNUMBER(F279)),(E279-G279)*IF(D279="卖",-1,1)*F279*I279,"")</f>
        <v/>
      </c>
      <c r="N279" s="38" t="str">
        <f>IF(A279="","",IFERROR(T(INDEX('交易记录'!$C$5:$C$304,MATCH(A279,'交易记录'!$A$5:$A$304,0))),"编号没找到"))</f>
        <v/>
      </c>
      <c r="O279" s="31" t="n"/>
    </row>
    <row r="280">
      <c r="A280" s="29" t="n"/>
      <c r="B280" s="30" t="n"/>
      <c r="C280" s="27" t="n"/>
      <c r="D280" s="32" t="n"/>
      <c r="E280" s="33" t="n"/>
      <c r="F280" s="36" t="n"/>
      <c r="G280" s="33" t="n"/>
      <c r="H280" s="20" t="str">
        <f>IF(AND(ISNUMBER(E280),ISNUMBER(F280)),E280*F280,"")</f>
        <v/>
      </c>
      <c r="I280" s="38" t="str">
        <f>IF(A280="","",IFERROR(IF(N(INDEX('交易记录'!$G$5:$G$304,MATCH(A280,'交易记录'!$A$5:$A$304,0)))&gt;0,INDEX('交易记录'!$G$5:$G$304,MATCH(A280,'交易记录'!$A$5:$A$304,0)),1),1))</f>
        <v/>
      </c>
      <c r="J280" s="41" t="str">
        <f>IF(ISNUMBER(H280),ROUND('参数'!$C$11+H280*I280*'参数'!$C$12+F280*'参数'!$C$13,2),"")</f>
        <v/>
      </c>
      <c r="K280" s="22" t="n"/>
      <c r="L280" s="20" t="str">
        <f>IF(ISNUMBER(K280),K280,IF(ISNUMBER(H280),J280,""))</f>
        <v/>
      </c>
      <c r="M280" s="46" t="str">
        <f>IF(AND(ISNUMBER(E280),ISNUMBER(G280),ISNUMBER(F280)),(E280-G280)*IF(D280="卖",-1,1)*F280*I280,"")</f>
        <v/>
      </c>
      <c r="N280" s="38" t="str">
        <f>IF(A280="","",IFERROR(T(INDEX('交易记录'!$C$5:$C$304,MATCH(A280,'交易记录'!$A$5:$A$304,0))),"编号没找到"))</f>
        <v/>
      </c>
      <c r="O280" s="31" t="n"/>
    </row>
    <row r="281">
      <c r="A281" s="29" t="n"/>
      <c r="B281" s="30" t="n"/>
      <c r="C281" s="27" t="n"/>
      <c r="D281" s="32" t="n"/>
      <c r="E281" s="33" t="n"/>
      <c r="F281" s="36" t="n"/>
      <c r="G281" s="33" t="n"/>
      <c r="H281" s="20" t="str">
        <f>IF(AND(ISNUMBER(E281),ISNUMBER(F281)),E281*F281,"")</f>
        <v/>
      </c>
      <c r="I281" s="38" t="str">
        <f>IF(A281="","",IFERROR(IF(N(INDEX('交易记录'!$G$5:$G$304,MATCH(A281,'交易记录'!$A$5:$A$304,0)))&gt;0,INDEX('交易记录'!$G$5:$G$304,MATCH(A281,'交易记录'!$A$5:$A$304,0)),1),1))</f>
        <v/>
      </c>
      <c r="J281" s="41" t="str">
        <f>IF(ISNUMBER(H281),ROUND('参数'!$C$11+H281*I281*'参数'!$C$12+F281*'参数'!$C$13,2),"")</f>
        <v/>
      </c>
      <c r="K281" s="22" t="n"/>
      <c r="L281" s="20" t="str">
        <f>IF(ISNUMBER(K281),K281,IF(ISNUMBER(H281),J281,""))</f>
        <v/>
      </c>
      <c r="M281" s="46" t="str">
        <f>IF(AND(ISNUMBER(E281),ISNUMBER(G281),ISNUMBER(F281)),(E281-G281)*IF(D281="卖",-1,1)*F281*I281,"")</f>
        <v/>
      </c>
      <c r="N281" s="38" t="str">
        <f>IF(A281="","",IFERROR(T(INDEX('交易记录'!$C$5:$C$304,MATCH(A281,'交易记录'!$A$5:$A$304,0))),"编号没找到"))</f>
        <v/>
      </c>
      <c r="O281" s="31" t="n"/>
    </row>
    <row r="282">
      <c r="A282" s="29" t="n"/>
      <c r="B282" s="30" t="n"/>
      <c r="C282" s="27" t="n"/>
      <c r="D282" s="32" t="n"/>
      <c r="E282" s="33" t="n"/>
      <c r="F282" s="36" t="n"/>
      <c r="G282" s="33" t="n"/>
      <c r="H282" s="20" t="str">
        <f>IF(AND(ISNUMBER(E282),ISNUMBER(F282)),E282*F282,"")</f>
        <v/>
      </c>
      <c r="I282" s="38" t="str">
        <f>IF(A282="","",IFERROR(IF(N(INDEX('交易记录'!$G$5:$G$304,MATCH(A282,'交易记录'!$A$5:$A$304,0)))&gt;0,INDEX('交易记录'!$G$5:$G$304,MATCH(A282,'交易记录'!$A$5:$A$304,0)),1),1))</f>
        <v/>
      </c>
      <c r="J282" s="41" t="str">
        <f>IF(ISNUMBER(H282),ROUND('参数'!$C$11+H282*I282*'参数'!$C$12+F282*'参数'!$C$13,2),"")</f>
        <v/>
      </c>
      <c r="K282" s="22" t="n"/>
      <c r="L282" s="20" t="str">
        <f>IF(ISNUMBER(K282),K282,IF(ISNUMBER(H282),J282,""))</f>
        <v/>
      </c>
      <c r="M282" s="46" t="str">
        <f>IF(AND(ISNUMBER(E282),ISNUMBER(G282),ISNUMBER(F282)),(E282-G282)*IF(D282="卖",-1,1)*F282*I282,"")</f>
        <v/>
      </c>
      <c r="N282" s="38" t="str">
        <f>IF(A282="","",IFERROR(T(INDEX('交易记录'!$C$5:$C$304,MATCH(A282,'交易记录'!$A$5:$A$304,0))),"编号没找到"))</f>
        <v/>
      </c>
      <c r="O282" s="31" t="n"/>
    </row>
    <row r="283">
      <c r="A283" s="29" t="n"/>
      <c r="B283" s="30" t="n"/>
      <c r="C283" s="27" t="n"/>
      <c r="D283" s="32" t="n"/>
      <c r="E283" s="33" t="n"/>
      <c r="F283" s="36" t="n"/>
      <c r="G283" s="33" t="n"/>
      <c r="H283" s="20" t="str">
        <f>IF(AND(ISNUMBER(E283),ISNUMBER(F283)),E283*F283,"")</f>
        <v/>
      </c>
      <c r="I283" s="38" t="str">
        <f>IF(A283="","",IFERROR(IF(N(INDEX('交易记录'!$G$5:$G$304,MATCH(A283,'交易记录'!$A$5:$A$304,0)))&gt;0,INDEX('交易记录'!$G$5:$G$304,MATCH(A283,'交易记录'!$A$5:$A$304,0)),1),1))</f>
        <v/>
      </c>
      <c r="J283" s="41" t="str">
        <f>IF(ISNUMBER(H283),ROUND('参数'!$C$11+H283*I283*'参数'!$C$12+F283*'参数'!$C$13,2),"")</f>
        <v/>
      </c>
      <c r="K283" s="22" t="n"/>
      <c r="L283" s="20" t="str">
        <f>IF(ISNUMBER(K283),K283,IF(ISNUMBER(H283),J283,""))</f>
        <v/>
      </c>
      <c r="M283" s="46" t="str">
        <f>IF(AND(ISNUMBER(E283),ISNUMBER(G283),ISNUMBER(F283)),(E283-G283)*IF(D283="卖",-1,1)*F283*I283,"")</f>
        <v/>
      </c>
      <c r="N283" s="38" t="str">
        <f>IF(A283="","",IFERROR(T(INDEX('交易记录'!$C$5:$C$304,MATCH(A283,'交易记录'!$A$5:$A$304,0))),"编号没找到"))</f>
        <v/>
      </c>
      <c r="O283" s="31" t="n"/>
    </row>
    <row r="284">
      <c r="A284" s="29" t="n"/>
      <c r="B284" s="30" t="n"/>
      <c r="C284" s="27" t="n"/>
      <c r="D284" s="32" t="n"/>
      <c r="E284" s="33" t="n"/>
      <c r="F284" s="36" t="n"/>
      <c r="G284" s="33" t="n"/>
      <c r="H284" s="20" t="str">
        <f>IF(AND(ISNUMBER(E284),ISNUMBER(F284)),E284*F284,"")</f>
        <v/>
      </c>
      <c r="I284" s="38" t="str">
        <f>IF(A284="","",IFERROR(IF(N(INDEX('交易记录'!$G$5:$G$304,MATCH(A284,'交易记录'!$A$5:$A$304,0)))&gt;0,INDEX('交易记录'!$G$5:$G$304,MATCH(A284,'交易记录'!$A$5:$A$304,0)),1),1))</f>
        <v/>
      </c>
      <c r="J284" s="41" t="str">
        <f>IF(ISNUMBER(H284),ROUND('参数'!$C$11+H284*I284*'参数'!$C$12+F284*'参数'!$C$13,2),"")</f>
        <v/>
      </c>
      <c r="K284" s="22" t="n"/>
      <c r="L284" s="20" t="str">
        <f>IF(ISNUMBER(K284),K284,IF(ISNUMBER(H284),J284,""))</f>
        <v/>
      </c>
      <c r="M284" s="46" t="str">
        <f>IF(AND(ISNUMBER(E284),ISNUMBER(G284),ISNUMBER(F284)),(E284-G284)*IF(D284="卖",-1,1)*F284*I284,"")</f>
        <v/>
      </c>
      <c r="N284" s="38" t="str">
        <f>IF(A284="","",IFERROR(T(INDEX('交易记录'!$C$5:$C$304,MATCH(A284,'交易记录'!$A$5:$A$304,0))),"编号没找到"))</f>
        <v/>
      </c>
      <c r="O284" s="31" t="n"/>
    </row>
    <row r="285">
      <c r="A285" s="29" t="n"/>
      <c r="B285" s="30" t="n"/>
      <c r="C285" s="27" t="n"/>
      <c r="D285" s="32" t="n"/>
      <c r="E285" s="33" t="n"/>
      <c r="F285" s="36" t="n"/>
      <c r="G285" s="33" t="n"/>
      <c r="H285" s="20" t="str">
        <f>IF(AND(ISNUMBER(E285),ISNUMBER(F285)),E285*F285,"")</f>
        <v/>
      </c>
      <c r="I285" s="38" t="str">
        <f>IF(A285="","",IFERROR(IF(N(INDEX('交易记录'!$G$5:$G$304,MATCH(A285,'交易记录'!$A$5:$A$304,0)))&gt;0,INDEX('交易记录'!$G$5:$G$304,MATCH(A285,'交易记录'!$A$5:$A$304,0)),1),1))</f>
        <v/>
      </c>
      <c r="J285" s="41" t="str">
        <f>IF(ISNUMBER(H285),ROUND('参数'!$C$11+H285*I285*'参数'!$C$12+F285*'参数'!$C$13,2),"")</f>
        <v/>
      </c>
      <c r="K285" s="22" t="n"/>
      <c r="L285" s="20" t="str">
        <f>IF(ISNUMBER(K285),K285,IF(ISNUMBER(H285),J285,""))</f>
        <v/>
      </c>
      <c r="M285" s="46" t="str">
        <f>IF(AND(ISNUMBER(E285),ISNUMBER(G285),ISNUMBER(F285)),(E285-G285)*IF(D285="卖",-1,1)*F285*I285,"")</f>
        <v/>
      </c>
      <c r="N285" s="38" t="str">
        <f>IF(A285="","",IFERROR(T(INDEX('交易记录'!$C$5:$C$304,MATCH(A285,'交易记录'!$A$5:$A$304,0))),"编号没找到"))</f>
        <v/>
      </c>
      <c r="O285" s="31" t="n"/>
    </row>
    <row r="286">
      <c r="A286" s="29" t="n"/>
      <c r="B286" s="30" t="n"/>
      <c r="C286" s="27" t="n"/>
      <c r="D286" s="32" t="n"/>
      <c r="E286" s="33" t="n"/>
      <c r="F286" s="36" t="n"/>
      <c r="G286" s="33" t="n"/>
      <c r="H286" s="20" t="str">
        <f>IF(AND(ISNUMBER(E286),ISNUMBER(F286)),E286*F286,"")</f>
        <v/>
      </c>
      <c r="I286" s="38" t="str">
        <f>IF(A286="","",IFERROR(IF(N(INDEX('交易记录'!$G$5:$G$304,MATCH(A286,'交易记录'!$A$5:$A$304,0)))&gt;0,INDEX('交易记录'!$G$5:$G$304,MATCH(A286,'交易记录'!$A$5:$A$304,0)),1),1))</f>
        <v/>
      </c>
      <c r="J286" s="41" t="str">
        <f>IF(ISNUMBER(H286),ROUND('参数'!$C$11+H286*I286*'参数'!$C$12+F286*'参数'!$C$13,2),"")</f>
        <v/>
      </c>
      <c r="K286" s="22" t="n"/>
      <c r="L286" s="20" t="str">
        <f>IF(ISNUMBER(K286),K286,IF(ISNUMBER(H286),J286,""))</f>
        <v/>
      </c>
      <c r="M286" s="46" t="str">
        <f>IF(AND(ISNUMBER(E286),ISNUMBER(G286),ISNUMBER(F286)),(E286-G286)*IF(D286="卖",-1,1)*F286*I286,"")</f>
        <v/>
      </c>
      <c r="N286" s="38" t="str">
        <f>IF(A286="","",IFERROR(T(INDEX('交易记录'!$C$5:$C$304,MATCH(A286,'交易记录'!$A$5:$A$304,0))),"编号没找到"))</f>
        <v/>
      </c>
      <c r="O286" s="31" t="n"/>
    </row>
    <row r="287">
      <c r="A287" s="29" t="n"/>
      <c r="B287" s="30" t="n"/>
      <c r="C287" s="27" t="n"/>
      <c r="D287" s="32" t="n"/>
      <c r="E287" s="33" t="n"/>
      <c r="F287" s="36" t="n"/>
      <c r="G287" s="33" t="n"/>
      <c r="H287" s="20" t="str">
        <f>IF(AND(ISNUMBER(E287),ISNUMBER(F287)),E287*F287,"")</f>
        <v/>
      </c>
      <c r="I287" s="38" t="str">
        <f>IF(A287="","",IFERROR(IF(N(INDEX('交易记录'!$G$5:$G$304,MATCH(A287,'交易记录'!$A$5:$A$304,0)))&gt;0,INDEX('交易记录'!$G$5:$G$304,MATCH(A287,'交易记录'!$A$5:$A$304,0)),1),1))</f>
        <v/>
      </c>
      <c r="J287" s="41" t="str">
        <f>IF(ISNUMBER(H287),ROUND('参数'!$C$11+H287*I287*'参数'!$C$12+F287*'参数'!$C$13,2),"")</f>
        <v/>
      </c>
      <c r="K287" s="22" t="n"/>
      <c r="L287" s="20" t="str">
        <f>IF(ISNUMBER(K287),K287,IF(ISNUMBER(H287),J287,""))</f>
        <v/>
      </c>
      <c r="M287" s="46" t="str">
        <f>IF(AND(ISNUMBER(E287),ISNUMBER(G287),ISNUMBER(F287)),(E287-G287)*IF(D287="卖",-1,1)*F287*I287,"")</f>
        <v/>
      </c>
      <c r="N287" s="38" t="str">
        <f>IF(A287="","",IFERROR(T(INDEX('交易记录'!$C$5:$C$304,MATCH(A287,'交易记录'!$A$5:$A$304,0))),"编号没找到"))</f>
        <v/>
      </c>
      <c r="O287" s="31" t="n"/>
    </row>
    <row r="288">
      <c r="A288" s="29" t="n"/>
      <c r="B288" s="30" t="n"/>
      <c r="C288" s="27" t="n"/>
      <c r="D288" s="32" t="n"/>
      <c r="E288" s="33" t="n"/>
      <c r="F288" s="36" t="n"/>
      <c r="G288" s="33" t="n"/>
      <c r="H288" s="20" t="str">
        <f>IF(AND(ISNUMBER(E288),ISNUMBER(F288)),E288*F288,"")</f>
        <v/>
      </c>
      <c r="I288" s="38" t="str">
        <f>IF(A288="","",IFERROR(IF(N(INDEX('交易记录'!$G$5:$G$304,MATCH(A288,'交易记录'!$A$5:$A$304,0)))&gt;0,INDEX('交易记录'!$G$5:$G$304,MATCH(A288,'交易记录'!$A$5:$A$304,0)),1),1))</f>
        <v/>
      </c>
      <c r="J288" s="41" t="str">
        <f>IF(ISNUMBER(H288),ROUND('参数'!$C$11+H288*I288*'参数'!$C$12+F288*'参数'!$C$13,2),"")</f>
        <v/>
      </c>
      <c r="K288" s="22" t="n"/>
      <c r="L288" s="20" t="str">
        <f>IF(ISNUMBER(K288),K288,IF(ISNUMBER(H288),J288,""))</f>
        <v/>
      </c>
      <c r="M288" s="46" t="str">
        <f>IF(AND(ISNUMBER(E288),ISNUMBER(G288),ISNUMBER(F288)),(E288-G288)*IF(D288="卖",-1,1)*F288*I288,"")</f>
        <v/>
      </c>
      <c r="N288" s="38" t="str">
        <f>IF(A288="","",IFERROR(T(INDEX('交易记录'!$C$5:$C$304,MATCH(A288,'交易记录'!$A$5:$A$304,0))),"编号没找到"))</f>
        <v/>
      </c>
      <c r="O288" s="31" t="n"/>
    </row>
    <row r="289">
      <c r="A289" s="29" t="n"/>
      <c r="B289" s="30" t="n"/>
      <c r="C289" s="27" t="n"/>
      <c r="D289" s="32" t="n"/>
      <c r="E289" s="33" t="n"/>
      <c r="F289" s="36" t="n"/>
      <c r="G289" s="33" t="n"/>
      <c r="H289" s="20" t="str">
        <f>IF(AND(ISNUMBER(E289),ISNUMBER(F289)),E289*F289,"")</f>
        <v/>
      </c>
      <c r="I289" s="38" t="str">
        <f>IF(A289="","",IFERROR(IF(N(INDEX('交易记录'!$G$5:$G$304,MATCH(A289,'交易记录'!$A$5:$A$304,0)))&gt;0,INDEX('交易记录'!$G$5:$G$304,MATCH(A289,'交易记录'!$A$5:$A$304,0)),1),1))</f>
        <v/>
      </c>
      <c r="J289" s="41" t="str">
        <f>IF(ISNUMBER(H289),ROUND('参数'!$C$11+H289*I289*'参数'!$C$12+F289*'参数'!$C$13,2),"")</f>
        <v/>
      </c>
      <c r="K289" s="22" t="n"/>
      <c r="L289" s="20" t="str">
        <f>IF(ISNUMBER(K289),K289,IF(ISNUMBER(H289),J289,""))</f>
        <v/>
      </c>
      <c r="M289" s="46" t="str">
        <f>IF(AND(ISNUMBER(E289),ISNUMBER(G289),ISNUMBER(F289)),(E289-G289)*IF(D289="卖",-1,1)*F289*I289,"")</f>
        <v/>
      </c>
      <c r="N289" s="38" t="str">
        <f>IF(A289="","",IFERROR(T(INDEX('交易记录'!$C$5:$C$304,MATCH(A289,'交易记录'!$A$5:$A$304,0))),"编号没找到"))</f>
        <v/>
      </c>
      <c r="O289" s="31" t="n"/>
    </row>
    <row r="290">
      <c r="A290" s="29" t="n"/>
      <c r="B290" s="30" t="n"/>
      <c r="C290" s="27" t="n"/>
      <c r="D290" s="32" t="n"/>
      <c r="E290" s="33" t="n"/>
      <c r="F290" s="36" t="n"/>
      <c r="G290" s="33" t="n"/>
      <c r="H290" s="20" t="str">
        <f>IF(AND(ISNUMBER(E290),ISNUMBER(F290)),E290*F290,"")</f>
        <v/>
      </c>
      <c r="I290" s="38" t="str">
        <f>IF(A290="","",IFERROR(IF(N(INDEX('交易记录'!$G$5:$G$304,MATCH(A290,'交易记录'!$A$5:$A$304,0)))&gt;0,INDEX('交易记录'!$G$5:$G$304,MATCH(A290,'交易记录'!$A$5:$A$304,0)),1),1))</f>
        <v/>
      </c>
      <c r="J290" s="41" t="str">
        <f>IF(ISNUMBER(H290),ROUND('参数'!$C$11+H290*I290*'参数'!$C$12+F290*'参数'!$C$13,2),"")</f>
        <v/>
      </c>
      <c r="K290" s="22" t="n"/>
      <c r="L290" s="20" t="str">
        <f>IF(ISNUMBER(K290),K290,IF(ISNUMBER(H290),J290,""))</f>
        <v/>
      </c>
      <c r="M290" s="46" t="str">
        <f>IF(AND(ISNUMBER(E290),ISNUMBER(G290),ISNUMBER(F290)),(E290-G290)*IF(D290="卖",-1,1)*F290*I290,"")</f>
        <v/>
      </c>
      <c r="N290" s="38" t="str">
        <f>IF(A290="","",IFERROR(T(INDEX('交易记录'!$C$5:$C$304,MATCH(A290,'交易记录'!$A$5:$A$304,0))),"编号没找到"))</f>
        <v/>
      </c>
      <c r="O290" s="31" t="n"/>
    </row>
    <row r="291">
      <c r="A291" s="29" t="n"/>
      <c r="B291" s="30" t="n"/>
      <c r="C291" s="27" t="n"/>
      <c r="D291" s="32" t="n"/>
      <c r="E291" s="33" t="n"/>
      <c r="F291" s="36" t="n"/>
      <c r="G291" s="33" t="n"/>
      <c r="H291" s="20" t="str">
        <f>IF(AND(ISNUMBER(E291),ISNUMBER(F291)),E291*F291,"")</f>
        <v/>
      </c>
      <c r="I291" s="38" t="str">
        <f>IF(A291="","",IFERROR(IF(N(INDEX('交易记录'!$G$5:$G$304,MATCH(A291,'交易记录'!$A$5:$A$304,0)))&gt;0,INDEX('交易记录'!$G$5:$G$304,MATCH(A291,'交易记录'!$A$5:$A$304,0)),1),1))</f>
        <v/>
      </c>
      <c r="J291" s="41" t="str">
        <f>IF(ISNUMBER(H291),ROUND('参数'!$C$11+H291*I291*'参数'!$C$12+F291*'参数'!$C$13,2),"")</f>
        <v/>
      </c>
      <c r="K291" s="22" t="n"/>
      <c r="L291" s="20" t="str">
        <f>IF(ISNUMBER(K291),K291,IF(ISNUMBER(H291),J291,""))</f>
        <v/>
      </c>
      <c r="M291" s="46" t="str">
        <f>IF(AND(ISNUMBER(E291),ISNUMBER(G291),ISNUMBER(F291)),(E291-G291)*IF(D291="卖",-1,1)*F291*I291,"")</f>
        <v/>
      </c>
      <c r="N291" s="38" t="str">
        <f>IF(A291="","",IFERROR(T(INDEX('交易记录'!$C$5:$C$304,MATCH(A291,'交易记录'!$A$5:$A$304,0))),"编号没找到"))</f>
        <v/>
      </c>
      <c r="O291" s="31" t="n"/>
    </row>
    <row r="292">
      <c r="A292" s="29" t="n"/>
      <c r="B292" s="30" t="n"/>
      <c r="C292" s="27" t="n"/>
      <c r="D292" s="32" t="n"/>
      <c r="E292" s="33" t="n"/>
      <c r="F292" s="36" t="n"/>
      <c r="G292" s="33" t="n"/>
      <c r="H292" s="20" t="str">
        <f>IF(AND(ISNUMBER(E292),ISNUMBER(F292)),E292*F292,"")</f>
        <v/>
      </c>
      <c r="I292" s="38" t="str">
        <f>IF(A292="","",IFERROR(IF(N(INDEX('交易记录'!$G$5:$G$304,MATCH(A292,'交易记录'!$A$5:$A$304,0)))&gt;0,INDEX('交易记录'!$G$5:$G$304,MATCH(A292,'交易记录'!$A$5:$A$304,0)),1),1))</f>
        <v/>
      </c>
      <c r="J292" s="41" t="str">
        <f>IF(ISNUMBER(H292),ROUND('参数'!$C$11+H292*I292*'参数'!$C$12+F292*'参数'!$C$13,2),"")</f>
        <v/>
      </c>
      <c r="K292" s="22" t="n"/>
      <c r="L292" s="20" t="str">
        <f>IF(ISNUMBER(K292),K292,IF(ISNUMBER(H292),J292,""))</f>
        <v/>
      </c>
      <c r="M292" s="46" t="str">
        <f>IF(AND(ISNUMBER(E292),ISNUMBER(G292),ISNUMBER(F292)),(E292-G292)*IF(D292="卖",-1,1)*F292*I292,"")</f>
        <v/>
      </c>
      <c r="N292" s="38" t="str">
        <f>IF(A292="","",IFERROR(T(INDEX('交易记录'!$C$5:$C$304,MATCH(A292,'交易记录'!$A$5:$A$304,0))),"编号没找到"))</f>
        <v/>
      </c>
      <c r="O292" s="31" t="n"/>
    </row>
    <row r="293">
      <c r="A293" s="29" t="n"/>
      <c r="B293" s="30" t="n"/>
      <c r="C293" s="27" t="n"/>
      <c r="D293" s="32" t="n"/>
      <c r="E293" s="33" t="n"/>
      <c r="F293" s="36" t="n"/>
      <c r="G293" s="33" t="n"/>
      <c r="H293" s="20" t="str">
        <f>IF(AND(ISNUMBER(E293),ISNUMBER(F293)),E293*F293,"")</f>
        <v/>
      </c>
      <c r="I293" s="38" t="str">
        <f>IF(A293="","",IFERROR(IF(N(INDEX('交易记录'!$G$5:$G$304,MATCH(A293,'交易记录'!$A$5:$A$304,0)))&gt;0,INDEX('交易记录'!$G$5:$G$304,MATCH(A293,'交易记录'!$A$5:$A$304,0)),1),1))</f>
        <v/>
      </c>
      <c r="J293" s="41" t="str">
        <f>IF(ISNUMBER(H293),ROUND('参数'!$C$11+H293*I293*'参数'!$C$12+F293*'参数'!$C$13,2),"")</f>
        <v/>
      </c>
      <c r="K293" s="22" t="n"/>
      <c r="L293" s="20" t="str">
        <f>IF(ISNUMBER(K293),K293,IF(ISNUMBER(H293),J293,""))</f>
        <v/>
      </c>
      <c r="M293" s="46" t="str">
        <f>IF(AND(ISNUMBER(E293),ISNUMBER(G293),ISNUMBER(F293)),(E293-G293)*IF(D293="卖",-1,1)*F293*I293,"")</f>
        <v/>
      </c>
      <c r="N293" s="38" t="str">
        <f>IF(A293="","",IFERROR(T(INDEX('交易记录'!$C$5:$C$304,MATCH(A293,'交易记录'!$A$5:$A$304,0))),"编号没找到"))</f>
        <v/>
      </c>
      <c r="O293" s="31" t="n"/>
    </row>
    <row r="294">
      <c r="A294" s="29" t="n"/>
      <c r="B294" s="30" t="n"/>
      <c r="C294" s="27" t="n"/>
      <c r="D294" s="32" t="n"/>
      <c r="E294" s="33" t="n"/>
      <c r="F294" s="36" t="n"/>
      <c r="G294" s="33" t="n"/>
      <c r="H294" s="20" t="str">
        <f>IF(AND(ISNUMBER(E294),ISNUMBER(F294)),E294*F294,"")</f>
        <v/>
      </c>
      <c r="I294" s="38" t="str">
        <f>IF(A294="","",IFERROR(IF(N(INDEX('交易记录'!$G$5:$G$304,MATCH(A294,'交易记录'!$A$5:$A$304,0)))&gt;0,INDEX('交易记录'!$G$5:$G$304,MATCH(A294,'交易记录'!$A$5:$A$304,0)),1),1))</f>
        <v/>
      </c>
      <c r="J294" s="41" t="str">
        <f>IF(ISNUMBER(H294),ROUND('参数'!$C$11+H294*I294*'参数'!$C$12+F294*'参数'!$C$13,2),"")</f>
        <v/>
      </c>
      <c r="K294" s="22" t="n"/>
      <c r="L294" s="20" t="str">
        <f>IF(ISNUMBER(K294),K294,IF(ISNUMBER(H294),J294,""))</f>
        <v/>
      </c>
      <c r="M294" s="46" t="str">
        <f>IF(AND(ISNUMBER(E294),ISNUMBER(G294),ISNUMBER(F294)),(E294-G294)*IF(D294="卖",-1,1)*F294*I294,"")</f>
        <v/>
      </c>
      <c r="N294" s="38" t="str">
        <f>IF(A294="","",IFERROR(T(INDEX('交易记录'!$C$5:$C$304,MATCH(A294,'交易记录'!$A$5:$A$304,0))),"编号没找到"))</f>
        <v/>
      </c>
      <c r="O294" s="31" t="n"/>
    </row>
    <row r="295">
      <c r="A295" s="29" t="n"/>
      <c r="B295" s="30" t="n"/>
      <c r="C295" s="27" t="n"/>
      <c r="D295" s="32" t="n"/>
      <c r="E295" s="33" t="n"/>
      <c r="F295" s="36" t="n"/>
      <c r="G295" s="33" t="n"/>
      <c r="H295" s="20" t="str">
        <f>IF(AND(ISNUMBER(E295),ISNUMBER(F295)),E295*F295,"")</f>
        <v/>
      </c>
      <c r="I295" s="38" t="str">
        <f>IF(A295="","",IFERROR(IF(N(INDEX('交易记录'!$G$5:$G$304,MATCH(A295,'交易记录'!$A$5:$A$304,0)))&gt;0,INDEX('交易记录'!$G$5:$G$304,MATCH(A295,'交易记录'!$A$5:$A$304,0)),1),1))</f>
        <v/>
      </c>
      <c r="J295" s="41" t="str">
        <f>IF(ISNUMBER(H295),ROUND('参数'!$C$11+H295*I295*'参数'!$C$12+F295*'参数'!$C$13,2),"")</f>
        <v/>
      </c>
      <c r="K295" s="22" t="n"/>
      <c r="L295" s="20" t="str">
        <f>IF(ISNUMBER(K295),K295,IF(ISNUMBER(H295),J295,""))</f>
        <v/>
      </c>
      <c r="M295" s="46" t="str">
        <f>IF(AND(ISNUMBER(E295),ISNUMBER(G295),ISNUMBER(F295)),(E295-G295)*IF(D295="卖",-1,1)*F295*I295,"")</f>
        <v/>
      </c>
      <c r="N295" s="38" t="str">
        <f>IF(A295="","",IFERROR(T(INDEX('交易记录'!$C$5:$C$304,MATCH(A295,'交易记录'!$A$5:$A$304,0))),"编号没找到"))</f>
        <v/>
      </c>
      <c r="O295" s="31" t="n"/>
    </row>
    <row r="296">
      <c r="A296" s="29" t="n"/>
      <c r="B296" s="30" t="n"/>
      <c r="C296" s="27" t="n"/>
      <c r="D296" s="32" t="n"/>
      <c r="E296" s="33" t="n"/>
      <c r="F296" s="36" t="n"/>
      <c r="G296" s="33" t="n"/>
      <c r="H296" s="20" t="str">
        <f>IF(AND(ISNUMBER(E296),ISNUMBER(F296)),E296*F296,"")</f>
        <v/>
      </c>
      <c r="I296" s="38" t="str">
        <f>IF(A296="","",IFERROR(IF(N(INDEX('交易记录'!$G$5:$G$304,MATCH(A296,'交易记录'!$A$5:$A$304,0)))&gt;0,INDEX('交易记录'!$G$5:$G$304,MATCH(A296,'交易记录'!$A$5:$A$304,0)),1),1))</f>
        <v/>
      </c>
      <c r="J296" s="41" t="str">
        <f>IF(ISNUMBER(H296),ROUND('参数'!$C$11+H296*I296*'参数'!$C$12+F296*'参数'!$C$13,2),"")</f>
        <v/>
      </c>
      <c r="K296" s="22" t="n"/>
      <c r="L296" s="20" t="str">
        <f>IF(ISNUMBER(K296),K296,IF(ISNUMBER(H296),J296,""))</f>
        <v/>
      </c>
      <c r="M296" s="46" t="str">
        <f>IF(AND(ISNUMBER(E296),ISNUMBER(G296),ISNUMBER(F296)),(E296-G296)*IF(D296="卖",-1,1)*F296*I296,"")</f>
        <v/>
      </c>
      <c r="N296" s="38" t="str">
        <f>IF(A296="","",IFERROR(T(INDEX('交易记录'!$C$5:$C$304,MATCH(A296,'交易记录'!$A$5:$A$304,0))),"编号没找到"))</f>
        <v/>
      </c>
      <c r="O296" s="31" t="n"/>
    </row>
    <row r="297">
      <c r="A297" s="29" t="n"/>
      <c r="B297" s="30" t="n"/>
      <c r="C297" s="27" t="n"/>
      <c r="D297" s="32" t="n"/>
      <c r="E297" s="33" t="n"/>
      <c r="F297" s="36" t="n"/>
      <c r="G297" s="33" t="n"/>
      <c r="H297" s="20" t="str">
        <f>IF(AND(ISNUMBER(E297),ISNUMBER(F297)),E297*F297,"")</f>
        <v/>
      </c>
      <c r="I297" s="38" t="str">
        <f>IF(A297="","",IFERROR(IF(N(INDEX('交易记录'!$G$5:$G$304,MATCH(A297,'交易记录'!$A$5:$A$304,0)))&gt;0,INDEX('交易记录'!$G$5:$G$304,MATCH(A297,'交易记录'!$A$5:$A$304,0)),1),1))</f>
        <v/>
      </c>
      <c r="J297" s="41" t="str">
        <f>IF(ISNUMBER(H297),ROUND('参数'!$C$11+H297*I297*'参数'!$C$12+F297*'参数'!$C$13,2),"")</f>
        <v/>
      </c>
      <c r="K297" s="22" t="n"/>
      <c r="L297" s="20" t="str">
        <f>IF(ISNUMBER(K297),K297,IF(ISNUMBER(H297),J297,""))</f>
        <v/>
      </c>
      <c r="M297" s="46" t="str">
        <f>IF(AND(ISNUMBER(E297),ISNUMBER(G297),ISNUMBER(F297)),(E297-G297)*IF(D297="卖",-1,1)*F297*I297,"")</f>
        <v/>
      </c>
      <c r="N297" s="38" t="str">
        <f>IF(A297="","",IFERROR(T(INDEX('交易记录'!$C$5:$C$304,MATCH(A297,'交易记录'!$A$5:$A$304,0))),"编号没找到"))</f>
        <v/>
      </c>
      <c r="O297" s="31" t="n"/>
    </row>
    <row r="298">
      <c r="A298" s="29" t="n"/>
      <c r="B298" s="30" t="n"/>
      <c r="C298" s="27" t="n"/>
      <c r="D298" s="32" t="n"/>
      <c r="E298" s="33" t="n"/>
      <c r="F298" s="36" t="n"/>
      <c r="G298" s="33" t="n"/>
      <c r="H298" s="20" t="str">
        <f>IF(AND(ISNUMBER(E298),ISNUMBER(F298)),E298*F298,"")</f>
        <v/>
      </c>
      <c r="I298" s="38" t="str">
        <f>IF(A298="","",IFERROR(IF(N(INDEX('交易记录'!$G$5:$G$304,MATCH(A298,'交易记录'!$A$5:$A$304,0)))&gt;0,INDEX('交易记录'!$G$5:$G$304,MATCH(A298,'交易记录'!$A$5:$A$304,0)),1),1))</f>
        <v/>
      </c>
      <c r="J298" s="41" t="str">
        <f>IF(ISNUMBER(H298),ROUND('参数'!$C$11+H298*I298*'参数'!$C$12+F298*'参数'!$C$13,2),"")</f>
        <v/>
      </c>
      <c r="K298" s="22" t="n"/>
      <c r="L298" s="20" t="str">
        <f>IF(ISNUMBER(K298),K298,IF(ISNUMBER(H298),J298,""))</f>
        <v/>
      </c>
      <c r="M298" s="46" t="str">
        <f>IF(AND(ISNUMBER(E298),ISNUMBER(G298),ISNUMBER(F298)),(E298-G298)*IF(D298="卖",-1,1)*F298*I298,"")</f>
        <v/>
      </c>
      <c r="N298" s="38" t="str">
        <f>IF(A298="","",IFERROR(T(INDEX('交易记录'!$C$5:$C$304,MATCH(A298,'交易记录'!$A$5:$A$304,0))),"编号没找到"))</f>
        <v/>
      </c>
      <c r="O298" s="31" t="n"/>
    </row>
    <row r="299">
      <c r="A299" s="29" t="n"/>
      <c r="B299" s="30" t="n"/>
      <c r="C299" s="27" t="n"/>
      <c r="D299" s="32" t="n"/>
      <c r="E299" s="33" t="n"/>
      <c r="F299" s="36" t="n"/>
      <c r="G299" s="33" t="n"/>
      <c r="H299" s="20" t="str">
        <f>IF(AND(ISNUMBER(E299),ISNUMBER(F299)),E299*F299,"")</f>
        <v/>
      </c>
      <c r="I299" s="38" t="str">
        <f>IF(A299="","",IFERROR(IF(N(INDEX('交易记录'!$G$5:$G$304,MATCH(A299,'交易记录'!$A$5:$A$304,0)))&gt;0,INDEX('交易记录'!$G$5:$G$304,MATCH(A299,'交易记录'!$A$5:$A$304,0)),1),1))</f>
        <v/>
      </c>
      <c r="J299" s="41" t="str">
        <f>IF(ISNUMBER(H299),ROUND('参数'!$C$11+H299*I299*'参数'!$C$12+F299*'参数'!$C$13,2),"")</f>
        <v/>
      </c>
      <c r="K299" s="22" t="n"/>
      <c r="L299" s="20" t="str">
        <f>IF(ISNUMBER(K299),K299,IF(ISNUMBER(H299),J299,""))</f>
        <v/>
      </c>
      <c r="M299" s="46" t="str">
        <f>IF(AND(ISNUMBER(E299),ISNUMBER(G299),ISNUMBER(F299)),(E299-G299)*IF(D299="卖",-1,1)*F299*I299,"")</f>
        <v/>
      </c>
      <c r="N299" s="38" t="str">
        <f>IF(A299="","",IFERROR(T(INDEX('交易记录'!$C$5:$C$304,MATCH(A299,'交易记录'!$A$5:$A$304,0))),"编号没找到"))</f>
        <v/>
      </c>
      <c r="O299" s="31" t="n"/>
    </row>
    <row r="300">
      <c r="A300" s="29" t="n"/>
      <c r="B300" s="30" t="n"/>
      <c r="C300" s="27" t="n"/>
      <c r="D300" s="32" t="n"/>
      <c r="E300" s="33" t="n"/>
      <c r="F300" s="36" t="n"/>
      <c r="G300" s="33" t="n"/>
      <c r="H300" s="20" t="str">
        <f>IF(AND(ISNUMBER(E300),ISNUMBER(F300)),E300*F300,"")</f>
        <v/>
      </c>
      <c r="I300" s="38" t="str">
        <f>IF(A300="","",IFERROR(IF(N(INDEX('交易记录'!$G$5:$G$304,MATCH(A300,'交易记录'!$A$5:$A$304,0)))&gt;0,INDEX('交易记录'!$G$5:$G$304,MATCH(A300,'交易记录'!$A$5:$A$304,0)),1),1))</f>
        <v/>
      </c>
      <c r="J300" s="41" t="str">
        <f>IF(ISNUMBER(H300),ROUND('参数'!$C$11+H300*I300*'参数'!$C$12+F300*'参数'!$C$13,2),"")</f>
        <v/>
      </c>
      <c r="K300" s="22" t="n"/>
      <c r="L300" s="20" t="str">
        <f>IF(ISNUMBER(K300),K300,IF(ISNUMBER(H300),J300,""))</f>
        <v/>
      </c>
      <c r="M300" s="46" t="str">
        <f>IF(AND(ISNUMBER(E300),ISNUMBER(G300),ISNUMBER(F300)),(E300-G300)*IF(D300="卖",-1,1)*F300*I300,"")</f>
        <v/>
      </c>
      <c r="N300" s="38" t="str">
        <f>IF(A300="","",IFERROR(T(INDEX('交易记录'!$C$5:$C$304,MATCH(A300,'交易记录'!$A$5:$A$304,0))),"编号没找到"))</f>
        <v/>
      </c>
      <c r="O300" s="31" t="n"/>
    </row>
    <row r="301">
      <c r="A301" s="29" t="n"/>
      <c r="B301" s="30" t="n"/>
      <c r="C301" s="27" t="n"/>
      <c r="D301" s="32" t="n"/>
      <c r="E301" s="33" t="n"/>
      <c r="F301" s="36" t="n"/>
      <c r="G301" s="33" t="n"/>
      <c r="H301" s="20" t="str">
        <f>IF(AND(ISNUMBER(E301),ISNUMBER(F301)),E301*F301,"")</f>
        <v/>
      </c>
      <c r="I301" s="38" t="str">
        <f>IF(A301="","",IFERROR(IF(N(INDEX('交易记录'!$G$5:$G$304,MATCH(A301,'交易记录'!$A$5:$A$304,0)))&gt;0,INDEX('交易记录'!$G$5:$G$304,MATCH(A301,'交易记录'!$A$5:$A$304,0)),1),1))</f>
        <v/>
      </c>
      <c r="J301" s="41" t="str">
        <f>IF(ISNUMBER(H301),ROUND('参数'!$C$11+H301*I301*'参数'!$C$12+F301*'参数'!$C$13,2),"")</f>
        <v/>
      </c>
      <c r="K301" s="22" t="n"/>
      <c r="L301" s="20" t="str">
        <f>IF(ISNUMBER(K301),K301,IF(ISNUMBER(H301),J301,""))</f>
        <v/>
      </c>
      <c r="M301" s="46" t="str">
        <f>IF(AND(ISNUMBER(E301),ISNUMBER(G301),ISNUMBER(F301)),(E301-G301)*IF(D301="卖",-1,1)*F301*I301,"")</f>
        <v/>
      </c>
      <c r="N301" s="38" t="str">
        <f>IF(A301="","",IFERROR(T(INDEX('交易记录'!$C$5:$C$304,MATCH(A301,'交易记录'!$A$5:$A$304,0))),"编号没找到"))</f>
        <v/>
      </c>
      <c r="O301" s="31" t="n"/>
    </row>
    <row r="302">
      <c r="A302" s="29" t="n"/>
      <c r="B302" s="30" t="n"/>
      <c r="C302" s="27" t="n"/>
      <c r="D302" s="32" t="n"/>
      <c r="E302" s="33" t="n"/>
      <c r="F302" s="36" t="n"/>
      <c r="G302" s="33" t="n"/>
      <c r="H302" s="20" t="str">
        <f>IF(AND(ISNUMBER(E302),ISNUMBER(F302)),E302*F302,"")</f>
        <v/>
      </c>
      <c r="I302" s="38" t="str">
        <f>IF(A302="","",IFERROR(IF(N(INDEX('交易记录'!$G$5:$G$304,MATCH(A302,'交易记录'!$A$5:$A$304,0)))&gt;0,INDEX('交易记录'!$G$5:$G$304,MATCH(A302,'交易记录'!$A$5:$A$304,0)),1),1))</f>
        <v/>
      </c>
      <c r="J302" s="41" t="str">
        <f>IF(ISNUMBER(H302),ROUND('参数'!$C$11+H302*I302*'参数'!$C$12+F302*'参数'!$C$13,2),"")</f>
        <v/>
      </c>
      <c r="K302" s="22" t="n"/>
      <c r="L302" s="20" t="str">
        <f>IF(ISNUMBER(K302),K302,IF(ISNUMBER(H302),J302,""))</f>
        <v/>
      </c>
      <c r="M302" s="46" t="str">
        <f>IF(AND(ISNUMBER(E302),ISNUMBER(G302),ISNUMBER(F302)),(E302-G302)*IF(D302="卖",-1,1)*F302*I302,"")</f>
        <v/>
      </c>
      <c r="N302" s="38" t="str">
        <f>IF(A302="","",IFERROR(T(INDEX('交易记录'!$C$5:$C$304,MATCH(A302,'交易记录'!$A$5:$A$304,0))),"编号没找到"))</f>
        <v/>
      </c>
      <c r="O302" s="31" t="n"/>
    </row>
    <row r="303">
      <c r="A303" s="29" t="n"/>
      <c r="B303" s="30" t="n"/>
      <c r="C303" s="27" t="n"/>
      <c r="D303" s="32" t="n"/>
      <c r="E303" s="33" t="n"/>
      <c r="F303" s="36" t="n"/>
      <c r="G303" s="33" t="n"/>
      <c r="H303" s="20" t="str">
        <f>IF(AND(ISNUMBER(E303),ISNUMBER(F303)),E303*F303,"")</f>
        <v/>
      </c>
      <c r="I303" s="38" t="str">
        <f>IF(A303="","",IFERROR(IF(N(INDEX('交易记录'!$G$5:$G$304,MATCH(A303,'交易记录'!$A$5:$A$304,0)))&gt;0,INDEX('交易记录'!$G$5:$G$304,MATCH(A303,'交易记录'!$A$5:$A$304,0)),1),1))</f>
        <v/>
      </c>
      <c r="J303" s="41" t="str">
        <f>IF(ISNUMBER(H303),ROUND('参数'!$C$11+H303*I303*'参数'!$C$12+F303*'参数'!$C$13,2),"")</f>
        <v/>
      </c>
      <c r="K303" s="22" t="n"/>
      <c r="L303" s="20" t="str">
        <f>IF(ISNUMBER(K303),K303,IF(ISNUMBER(H303),J303,""))</f>
        <v/>
      </c>
      <c r="M303" s="46" t="str">
        <f>IF(AND(ISNUMBER(E303),ISNUMBER(G303),ISNUMBER(F303)),(E303-G303)*IF(D303="卖",-1,1)*F303*I303,"")</f>
        <v/>
      </c>
      <c r="N303" s="38" t="str">
        <f>IF(A303="","",IFERROR(T(INDEX('交易记录'!$C$5:$C$304,MATCH(A303,'交易记录'!$A$5:$A$304,0))),"编号没找到"))</f>
        <v/>
      </c>
      <c r="O303" s="31" t="n"/>
    </row>
    <row r="304">
      <c r="A304" s="29" t="n"/>
      <c r="B304" s="30" t="n"/>
      <c r="C304" s="27" t="n"/>
      <c r="D304" s="32" t="n"/>
      <c r="E304" s="33" t="n"/>
      <c r="F304" s="36" t="n"/>
      <c r="G304" s="33" t="n"/>
      <c r="H304" s="20" t="str">
        <f>IF(AND(ISNUMBER(E304),ISNUMBER(F304)),E304*F304,"")</f>
        <v/>
      </c>
      <c r="I304" s="38" t="str">
        <f>IF(A304="","",IFERROR(IF(N(INDEX('交易记录'!$G$5:$G$304,MATCH(A304,'交易记录'!$A$5:$A$304,0)))&gt;0,INDEX('交易记录'!$G$5:$G$304,MATCH(A304,'交易记录'!$A$5:$A$304,0)),1),1))</f>
        <v/>
      </c>
      <c r="J304" s="41" t="str">
        <f>IF(ISNUMBER(H304),ROUND('参数'!$C$11+H304*I304*'参数'!$C$12+F304*'参数'!$C$13,2),"")</f>
        <v/>
      </c>
      <c r="K304" s="22" t="n"/>
      <c r="L304" s="20" t="str">
        <f>IF(ISNUMBER(K304),K304,IF(ISNUMBER(H304),J304,""))</f>
        <v/>
      </c>
      <c r="M304" s="46" t="str">
        <f>IF(AND(ISNUMBER(E304),ISNUMBER(G304),ISNUMBER(F304)),(E304-G304)*IF(D304="卖",-1,1)*F304*I304,"")</f>
        <v/>
      </c>
      <c r="N304" s="38" t="str">
        <f>IF(A304="","",IFERROR(T(INDEX('交易记录'!$C$5:$C$304,MATCH(A304,'交易记录'!$A$5:$A$304,0))),"编号没找到"))</f>
        <v/>
      </c>
      <c r="O304" s="31" t="n"/>
    </row>
    <row r="305">
      <c r="A305" s="29" t="n"/>
      <c r="B305" s="30" t="n"/>
      <c r="C305" s="27" t="n"/>
      <c r="D305" s="32" t="n"/>
      <c r="E305" s="33" t="n"/>
      <c r="F305" s="36" t="n"/>
      <c r="G305" s="33" t="n"/>
      <c r="H305" s="20" t="str">
        <f>IF(AND(ISNUMBER(E305),ISNUMBER(F305)),E305*F305,"")</f>
        <v/>
      </c>
      <c r="I305" s="38" t="str">
        <f>IF(A305="","",IFERROR(IF(N(INDEX('交易记录'!$G$5:$G$304,MATCH(A305,'交易记录'!$A$5:$A$304,0)))&gt;0,INDEX('交易记录'!$G$5:$G$304,MATCH(A305,'交易记录'!$A$5:$A$304,0)),1),1))</f>
        <v/>
      </c>
      <c r="J305" s="41" t="str">
        <f>IF(ISNUMBER(H305),ROUND('参数'!$C$11+H305*I305*'参数'!$C$12+F305*'参数'!$C$13,2),"")</f>
        <v/>
      </c>
      <c r="K305" s="22" t="n"/>
      <c r="L305" s="20" t="str">
        <f>IF(ISNUMBER(K305),K305,IF(ISNUMBER(H305),J305,""))</f>
        <v/>
      </c>
      <c r="M305" s="46" t="str">
        <f>IF(AND(ISNUMBER(E305),ISNUMBER(G305),ISNUMBER(F305)),(E305-G305)*IF(D305="卖",-1,1)*F305*I305,"")</f>
        <v/>
      </c>
      <c r="N305" s="38" t="str">
        <f>IF(A305="","",IFERROR(T(INDEX('交易记录'!$C$5:$C$304,MATCH(A305,'交易记录'!$A$5:$A$304,0))),"编号没找到"))</f>
        <v/>
      </c>
      <c r="O305" s="31" t="n"/>
    </row>
    <row r="306">
      <c r="A306" s="29" t="n"/>
      <c r="B306" s="30" t="n"/>
      <c r="C306" s="27" t="n"/>
      <c r="D306" s="32" t="n"/>
      <c r="E306" s="33" t="n"/>
      <c r="F306" s="36" t="n"/>
      <c r="G306" s="33" t="n"/>
      <c r="H306" s="20" t="str">
        <f>IF(AND(ISNUMBER(E306),ISNUMBER(F306)),E306*F306,"")</f>
        <v/>
      </c>
      <c r="I306" s="38" t="str">
        <f>IF(A306="","",IFERROR(IF(N(INDEX('交易记录'!$G$5:$G$304,MATCH(A306,'交易记录'!$A$5:$A$304,0)))&gt;0,INDEX('交易记录'!$G$5:$G$304,MATCH(A306,'交易记录'!$A$5:$A$304,0)),1),1))</f>
        <v/>
      </c>
      <c r="J306" s="41" t="str">
        <f>IF(ISNUMBER(H306),ROUND('参数'!$C$11+H306*I306*'参数'!$C$12+F306*'参数'!$C$13,2),"")</f>
        <v/>
      </c>
      <c r="K306" s="22" t="n"/>
      <c r="L306" s="20" t="str">
        <f>IF(ISNUMBER(K306),K306,IF(ISNUMBER(H306),J306,""))</f>
        <v/>
      </c>
      <c r="M306" s="46" t="str">
        <f>IF(AND(ISNUMBER(E306),ISNUMBER(G306),ISNUMBER(F306)),(E306-G306)*IF(D306="卖",-1,1)*F306*I306,"")</f>
        <v/>
      </c>
      <c r="N306" s="38" t="str">
        <f>IF(A306="","",IFERROR(T(INDEX('交易记录'!$C$5:$C$304,MATCH(A306,'交易记录'!$A$5:$A$304,0))),"编号没找到"))</f>
        <v/>
      </c>
      <c r="O306" s="31" t="n"/>
    </row>
    <row r="307">
      <c r="A307" s="29" t="n"/>
      <c r="B307" s="30" t="n"/>
      <c r="C307" s="27" t="n"/>
      <c r="D307" s="32" t="n"/>
      <c r="E307" s="33" t="n"/>
      <c r="F307" s="36" t="n"/>
      <c r="G307" s="33" t="n"/>
      <c r="H307" s="20" t="str">
        <f>IF(AND(ISNUMBER(E307),ISNUMBER(F307)),E307*F307,"")</f>
        <v/>
      </c>
      <c r="I307" s="38" t="str">
        <f>IF(A307="","",IFERROR(IF(N(INDEX('交易记录'!$G$5:$G$304,MATCH(A307,'交易记录'!$A$5:$A$304,0)))&gt;0,INDEX('交易记录'!$G$5:$G$304,MATCH(A307,'交易记录'!$A$5:$A$304,0)),1),1))</f>
        <v/>
      </c>
      <c r="J307" s="41" t="str">
        <f>IF(ISNUMBER(H307),ROUND('参数'!$C$11+H307*I307*'参数'!$C$12+F307*'参数'!$C$13,2),"")</f>
        <v/>
      </c>
      <c r="K307" s="22" t="n"/>
      <c r="L307" s="20" t="str">
        <f>IF(ISNUMBER(K307),K307,IF(ISNUMBER(H307),J307,""))</f>
        <v/>
      </c>
      <c r="M307" s="46" t="str">
        <f>IF(AND(ISNUMBER(E307),ISNUMBER(G307),ISNUMBER(F307)),(E307-G307)*IF(D307="卖",-1,1)*F307*I307,"")</f>
        <v/>
      </c>
      <c r="N307" s="38" t="str">
        <f>IF(A307="","",IFERROR(T(INDEX('交易记录'!$C$5:$C$304,MATCH(A307,'交易记录'!$A$5:$A$304,0))),"编号没找到"))</f>
        <v/>
      </c>
      <c r="O307" s="31" t="n"/>
    </row>
    <row r="308">
      <c r="A308" s="29" t="n"/>
      <c r="B308" s="30" t="n"/>
      <c r="C308" s="27" t="n"/>
      <c r="D308" s="32" t="n"/>
      <c r="E308" s="33" t="n"/>
      <c r="F308" s="36" t="n"/>
      <c r="G308" s="33" t="n"/>
      <c r="H308" s="20" t="str">
        <f>IF(AND(ISNUMBER(E308),ISNUMBER(F308)),E308*F308,"")</f>
        <v/>
      </c>
      <c r="I308" s="38" t="str">
        <f>IF(A308="","",IFERROR(IF(N(INDEX('交易记录'!$G$5:$G$304,MATCH(A308,'交易记录'!$A$5:$A$304,0)))&gt;0,INDEX('交易记录'!$G$5:$G$304,MATCH(A308,'交易记录'!$A$5:$A$304,0)),1),1))</f>
        <v/>
      </c>
      <c r="J308" s="41" t="str">
        <f>IF(ISNUMBER(H308),ROUND('参数'!$C$11+H308*I308*'参数'!$C$12+F308*'参数'!$C$13,2),"")</f>
        <v/>
      </c>
      <c r="K308" s="22" t="n"/>
      <c r="L308" s="20" t="str">
        <f>IF(ISNUMBER(K308),K308,IF(ISNUMBER(H308),J308,""))</f>
        <v/>
      </c>
      <c r="M308" s="46" t="str">
        <f>IF(AND(ISNUMBER(E308),ISNUMBER(G308),ISNUMBER(F308)),(E308-G308)*IF(D308="卖",-1,1)*F308*I308,"")</f>
        <v/>
      </c>
      <c r="N308" s="38" t="str">
        <f>IF(A308="","",IFERROR(T(INDEX('交易记录'!$C$5:$C$304,MATCH(A308,'交易记录'!$A$5:$A$304,0))),"编号没找到"))</f>
        <v/>
      </c>
      <c r="O308" s="31" t="n"/>
    </row>
    <row r="309">
      <c r="A309" s="29" t="n"/>
      <c r="B309" s="30" t="n"/>
      <c r="C309" s="27" t="n"/>
      <c r="D309" s="32" t="n"/>
      <c r="E309" s="33" t="n"/>
      <c r="F309" s="36" t="n"/>
      <c r="G309" s="33" t="n"/>
      <c r="H309" s="20" t="str">
        <f>IF(AND(ISNUMBER(E309),ISNUMBER(F309)),E309*F309,"")</f>
        <v/>
      </c>
      <c r="I309" s="38" t="str">
        <f>IF(A309="","",IFERROR(IF(N(INDEX('交易记录'!$G$5:$G$304,MATCH(A309,'交易记录'!$A$5:$A$304,0)))&gt;0,INDEX('交易记录'!$G$5:$G$304,MATCH(A309,'交易记录'!$A$5:$A$304,0)),1),1))</f>
        <v/>
      </c>
      <c r="J309" s="41" t="str">
        <f>IF(ISNUMBER(H309),ROUND('参数'!$C$11+H309*I309*'参数'!$C$12+F309*'参数'!$C$13,2),"")</f>
        <v/>
      </c>
      <c r="K309" s="22" t="n"/>
      <c r="L309" s="20" t="str">
        <f>IF(ISNUMBER(K309),K309,IF(ISNUMBER(H309),J309,""))</f>
        <v/>
      </c>
      <c r="M309" s="46" t="str">
        <f>IF(AND(ISNUMBER(E309),ISNUMBER(G309),ISNUMBER(F309)),(E309-G309)*IF(D309="卖",-1,1)*F309*I309,"")</f>
        <v/>
      </c>
      <c r="N309" s="38" t="str">
        <f>IF(A309="","",IFERROR(T(INDEX('交易记录'!$C$5:$C$304,MATCH(A309,'交易记录'!$A$5:$A$304,0))),"编号没找到"))</f>
        <v/>
      </c>
      <c r="O309" s="31" t="n"/>
    </row>
    <row r="310">
      <c r="A310" s="29" t="n"/>
      <c r="B310" s="30" t="n"/>
      <c r="C310" s="27" t="n"/>
      <c r="D310" s="32" t="n"/>
      <c r="E310" s="33" t="n"/>
      <c r="F310" s="36" t="n"/>
      <c r="G310" s="33" t="n"/>
      <c r="H310" s="20" t="str">
        <f>IF(AND(ISNUMBER(E310),ISNUMBER(F310)),E310*F310,"")</f>
        <v/>
      </c>
      <c r="I310" s="38" t="str">
        <f>IF(A310="","",IFERROR(IF(N(INDEX('交易记录'!$G$5:$G$304,MATCH(A310,'交易记录'!$A$5:$A$304,0)))&gt;0,INDEX('交易记录'!$G$5:$G$304,MATCH(A310,'交易记录'!$A$5:$A$304,0)),1),1))</f>
        <v/>
      </c>
      <c r="J310" s="41" t="str">
        <f>IF(ISNUMBER(H310),ROUND('参数'!$C$11+H310*I310*'参数'!$C$12+F310*'参数'!$C$13,2),"")</f>
        <v/>
      </c>
      <c r="K310" s="22" t="n"/>
      <c r="L310" s="20" t="str">
        <f>IF(ISNUMBER(K310),K310,IF(ISNUMBER(H310),J310,""))</f>
        <v/>
      </c>
      <c r="M310" s="46" t="str">
        <f>IF(AND(ISNUMBER(E310),ISNUMBER(G310),ISNUMBER(F310)),(E310-G310)*IF(D310="卖",-1,1)*F310*I310,"")</f>
        <v/>
      </c>
      <c r="N310" s="38" t="str">
        <f>IF(A310="","",IFERROR(T(INDEX('交易记录'!$C$5:$C$304,MATCH(A310,'交易记录'!$A$5:$A$304,0))),"编号没找到"))</f>
        <v/>
      </c>
      <c r="O310" s="31" t="n"/>
    </row>
    <row r="311">
      <c r="A311" s="29" t="n"/>
      <c r="B311" s="30" t="n"/>
      <c r="C311" s="27" t="n"/>
      <c r="D311" s="32" t="n"/>
      <c r="E311" s="33" t="n"/>
      <c r="F311" s="36" t="n"/>
      <c r="G311" s="33" t="n"/>
      <c r="H311" s="20" t="str">
        <f>IF(AND(ISNUMBER(E311),ISNUMBER(F311)),E311*F311,"")</f>
        <v/>
      </c>
      <c r="I311" s="38" t="str">
        <f>IF(A311="","",IFERROR(IF(N(INDEX('交易记录'!$G$5:$G$304,MATCH(A311,'交易记录'!$A$5:$A$304,0)))&gt;0,INDEX('交易记录'!$G$5:$G$304,MATCH(A311,'交易记录'!$A$5:$A$304,0)),1),1))</f>
        <v/>
      </c>
      <c r="J311" s="41" t="str">
        <f>IF(ISNUMBER(H311),ROUND('参数'!$C$11+H311*I311*'参数'!$C$12+F311*'参数'!$C$13,2),"")</f>
        <v/>
      </c>
      <c r="K311" s="22" t="n"/>
      <c r="L311" s="20" t="str">
        <f>IF(ISNUMBER(K311),K311,IF(ISNUMBER(H311),J311,""))</f>
        <v/>
      </c>
      <c r="M311" s="46" t="str">
        <f>IF(AND(ISNUMBER(E311),ISNUMBER(G311),ISNUMBER(F311)),(E311-G311)*IF(D311="卖",-1,1)*F311*I311,"")</f>
        <v/>
      </c>
      <c r="N311" s="38" t="str">
        <f>IF(A311="","",IFERROR(T(INDEX('交易记录'!$C$5:$C$304,MATCH(A311,'交易记录'!$A$5:$A$304,0))),"编号没找到"))</f>
        <v/>
      </c>
      <c r="O311" s="31" t="n"/>
    </row>
    <row r="312">
      <c r="A312" s="29" t="n"/>
      <c r="B312" s="30" t="n"/>
      <c r="C312" s="27" t="n"/>
      <c r="D312" s="32" t="n"/>
      <c r="E312" s="33" t="n"/>
      <c r="F312" s="36" t="n"/>
      <c r="G312" s="33" t="n"/>
      <c r="H312" s="20" t="str">
        <f>IF(AND(ISNUMBER(E312),ISNUMBER(F312)),E312*F312,"")</f>
        <v/>
      </c>
      <c r="I312" s="38" t="str">
        <f>IF(A312="","",IFERROR(IF(N(INDEX('交易记录'!$G$5:$G$304,MATCH(A312,'交易记录'!$A$5:$A$304,0)))&gt;0,INDEX('交易记录'!$G$5:$G$304,MATCH(A312,'交易记录'!$A$5:$A$304,0)),1),1))</f>
        <v/>
      </c>
      <c r="J312" s="41" t="str">
        <f>IF(ISNUMBER(H312),ROUND('参数'!$C$11+H312*I312*'参数'!$C$12+F312*'参数'!$C$13,2),"")</f>
        <v/>
      </c>
      <c r="K312" s="22" t="n"/>
      <c r="L312" s="20" t="str">
        <f>IF(ISNUMBER(K312),K312,IF(ISNUMBER(H312),J312,""))</f>
        <v/>
      </c>
      <c r="M312" s="46" t="str">
        <f>IF(AND(ISNUMBER(E312),ISNUMBER(G312),ISNUMBER(F312)),(E312-G312)*IF(D312="卖",-1,1)*F312*I312,"")</f>
        <v/>
      </c>
      <c r="N312" s="38" t="str">
        <f>IF(A312="","",IFERROR(T(INDEX('交易记录'!$C$5:$C$304,MATCH(A312,'交易记录'!$A$5:$A$304,0))),"编号没找到"))</f>
        <v/>
      </c>
      <c r="O312" s="31" t="n"/>
    </row>
    <row r="313">
      <c r="A313" s="29" t="n"/>
      <c r="B313" s="30" t="n"/>
      <c r="C313" s="27" t="n"/>
      <c r="D313" s="32" t="n"/>
      <c r="E313" s="33" t="n"/>
      <c r="F313" s="36" t="n"/>
      <c r="G313" s="33" t="n"/>
      <c r="H313" s="20" t="str">
        <f>IF(AND(ISNUMBER(E313),ISNUMBER(F313)),E313*F313,"")</f>
        <v/>
      </c>
      <c r="I313" s="38" t="str">
        <f>IF(A313="","",IFERROR(IF(N(INDEX('交易记录'!$G$5:$G$304,MATCH(A313,'交易记录'!$A$5:$A$304,0)))&gt;0,INDEX('交易记录'!$G$5:$G$304,MATCH(A313,'交易记录'!$A$5:$A$304,0)),1),1))</f>
        <v/>
      </c>
      <c r="J313" s="41" t="str">
        <f>IF(ISNUMBER(H313),ROUND('参数'!$C$11+H313*I313*'参数'!$C$12+F313*'参数'!$C$13,2),"")</f>
        <v/>
      </c>
      <c r="K313" s="22" t="n"/>
      <c r="L313" s="20" t="str">
        <f>IF(ISNUMBER(K313),K313,IF(ISNUMBER(H313),J313,""))</f>
        <v/>
      </c>
      <c r="M313" s="46" t="str">
        <f>IF(AND(ISNUMBER(E313),ISNUMBER(G313),ISNUMBER(F313)),(E313-G313)*IF(D313="卖",-1,1)*F313*I313,"")</f>
        <v/>
      </c>
      <c r="N313" s="38" t="str">
        <f>IF(A313="","",IFERROR(T(INDEX('交易记录'!$C$5:$C$304,MATCH(A313,'交易记录'!$A$5:$A$304,0))),"编号没找到"))</f>
        <v/>
      </c>
      <c r="O313" s="31" t="n"/>
    </row>
    <row r="314">
      <c r="A314" s="29" t="n"/>
      <c r="B314" s="30" t="n"/>
      <c r="C314" s="27" t="n"/>
      <c r="D314" s="32" t="n"/>
      <c r="E314" s="33" t="n"/>
      <c r="F314" s="36" t="n"/>
      <c r="G314" s="33" t="n"/>
      <c r="H314" s="20" t="str">
        <f>IF(AND(ISNUMBER(E314),ISNUMBER(F314)),E314*F314,"")</f>
        <v/>
      </c>
      <c r="I314" s="38" t="str">
        <f>IF(A314="","",IFERROR(IF(N(INDEX('交易记录'!$G$5:$G$304,MATCH(A314,'交易记录'!$A$5:$A$304,0)))&gt;0,INDEX('交易记录'!$G$5:$G$304,MATCH(A314,'交易记录'!$A$5:$A$304,0)),1),1))</f>
        <v/>
      </c>
      <c r="J314" s="41" t="str">
        <f>IF(ISNUMBER(H314),ROUND('参数'!$C$11+H314*I314*'参数'!$C$12+F314*'参数'!$C$13,2),"")</f>
        <v/>
      </c>
      <c r="K314" s="22" t="n"/>
      <c r="L314" s="20" t="str">
        <f>IF(ISNUMBER(K314),K314,IF(ISNUMBER(H314),J314,""))</f>
        <v/>
      </c>
      <c r="M314" s="46" t="str">
        <f>IF(AND(ISNUMBER(E314),ISNUMBER(G314),ISNUMBER(F314)),(E314-G314)*IF(D314="卖",-1,1)*F314*I314,"")</f>
        <v/>
      </c>
      <c r="N314" s="38" t="str">
        <f>IF(A314="","",IFERROR(T(INDEX('交易记录'!$C$5:$C$304,MATCH(A314,'交易记录'!$A$5:$A$304,0))),"编号没找到"))</f>
        <v/>
      </c>
      <c r="O314" s="31" t="n"/>
    </row>
    <row r="315">
      <c r="A315" s="29" t="n"/>
      <c r="B315" s="30" t="n"/>
      <c r="C315" s="27" t="n"/>
      <c r="D315" s="32" t="n"/>
      <c r="E315" s="33" t="n"/>
      <c r="F315" s="36" t="n"/>
      <c r="G315" s="33" t="n"/>
      <c r="H315" s="20" t="str">
        <f>IF(AND(ISNUMBER(E315),ISNUMBER(F315)),E315*F315,"")</f>
        <v/>
      </c>
      <c r="I315" s="38" t="str">
        <f>IF(A315="","",IFERROR(IF(N(INDEX('交易记录'!$G$5:$G$304,MATCH(A315,'交易记录'!$A$5:$A$304,0)))&gt;0,INDEX('交易记录'!$G$5:$G$304,MATCH(A315,'交易记录'!$A$5:$A$304,0)),1),1))</f>
        <v/>
      </c>
      <c r="J315" s="41" t="str">
        <f>IF(ISNUMBER(H315),ROUND('参数'!$C$11+H315*I315*'参数'!$C$12+F315*'参数'!$C$13,2),"")</f>
        <v/>
      </c>
      <c r="K315" s="22" t="n"/>
      <c r="L315" s="20" t="str">
        <f>IF(ISNUMBER(K315),K315,IF(ISNUMBER(H315),J315,""))</f>
        <v/>
      </c>
      <c r="M315" s="46" t="str">
        <f>IF(AND(ISNUMBER(E315),ISNUMBER(G315),ISNUMBER(F315)),(E315-G315)*IF(D315="卖",-1,1)*F315*I315,"")</f>
        <v/>
      </c>
      <c r="N315" s="38" t="str">
        <f>IF(A315="","",IFERROR(T(INDEX('交易记录'!$C$5:$C$304,MATCH(A315,'交易记录'!$A$5:$A$304,0))),"编号没找到"))</f>
        <v/>
      </c>
      <c r="O315" s="31" t="n"/>
    </row>
    <row r="316">
      <c r="A316" s="29" t="n"/>
      <c r="B316" s="30" t="n"/>
      <c r="C316" s="27" t="n"/>
      <c r="D316" s="32" t="n"/>
      <c r="E316" s="33" t="n"/>
      <c r="F316" s="36" t="n"/>
      <c r="G316" s="33" t="n"/>
      <c r="H316" s="20" t="str">
        <f>IF(AND(ISNUMBER(E316),ISNUMBER(F316)),E316*F316,"")</f>
        <v/>
      </c>
      <c r="I316" s="38" t="str">
        <f>IF(A316="","",IFERROR(IF(N(INDEX('交易记录'!$G$5:$G$304,MATCH(A316,'交易记录'!$A$5:$A$304,0)))&gt;0,INDEX('交易记录'!$G$5:$G$304,MATCH(A316,'交易记录'!$A$5:$A$304,0)),1),1))</f>
        <v/>
      </c>
      <c r="J316" s="41" t="str">
        <f>IF(ISNUMBER(H316),ROUND('参数'!$C$11+H316*I316*'参数'!$C$12+F316*'参数'!$C$13,2),"")</f>
        <v/>
      </c>
      <c r="K316" s="22" t="n"/>
      <c r="L316" s="20" t="str">
        <f>IF(ISNUMBER(K316),K316,IF(ISNUMBER(H316),J316,""))</f>
        <v/>
      </c>
      <c r="M316" s="46" t="str">
        <f>IF(AND(ISNUMBER(E316),ISNUMBER(G316),ISNUMBER(F316)),(E316-G316)*IF(D316="卖",-1,1)*F316*I316,"")</f>
        <v/>
      </c>
      <c r="N316" s="38" t="str">
        <f>IF(A316="","",IFERROR(T(INDEX('交易记录'!$C$5:$C$304,MATCH(A316,'交易记录'!$A$5:$A$304,0))),"编号没找到"))</f>
        <v/>
      </c>
      <c r="O316" s="31" t="n"/>
    </row>
    <row r="317">
      <c r="A317" s="29" t="n"/>
      <c r="B317" s="30" t="n"/>
      <c r="C317" s="27" t="n"/>
      <c r="D317" s="32" t="n"/>
      <c r="E317" s="33" t="n"/>
      <c r="F317" s="36" t="n"/>
      <c r="G317" s="33" t="n"/>
      <c r="H317" s="20" t="str">
        <f>IF(AND(ISNUMBER(E317),ISNUMBER(F317)),E317*F317,"")</f>
        <v/>
      </c>
      <c r="I317" s="38" t="str">
        <f>IF(A317="","",IFERROR(IF(N(INDEX('交易记录'!$G$5:$G$304,MATCH(A317,'交易记录'!$A$5:$A$304,0)))&gt;0,INDEX('交易记录'!$G$5:$G$304,MATCH(A317,'交易记录'!$A$5:$A$304,0)),1),1))</f>
        <v/>
      </c>
      <c r="J317" s="41" t="str">
        <f>IF(ISNUMBER(H317),ROUND('参数'!$C$11+H317*I317*'参数'!$C$12+F317*'参数'!$C$13,2),"")</f>
        <v/>
      </c>
      <c r="K317" s="22" t="n"/>
      <c r="L317" s="20" t="str">
        <f>IF(ISNUMBER(K317),K317,IF(ISNUMBER(H317),J317,""))</f>
        <v/>
      </c>
      <c r="M317" s="46" t="str">
        <f>IF(AND(ISNUMBER(E317),ISNUMBER(G317),ISNUMBER(F317)),(E317-G317)*IF(D317="卖",-1,1)*F317*I317,"")</f>
        <v/>
      </c>
      <c r="N317" s="38" t="str">
        <f>IF(A317="","",IFERROR(T(INDEX('交易记录'!$C$5:$C$304,MATCH(A317,'交易记录'!$A$5:$A$304,0))),"编号没找到"))</f>
        <v/>
      </c>
      <c r="O317" s="31" t="n"/>
    </row>
    <row r="318">
      <c r="A318" s="29" t="n"/>
      <c r="B318" s="30" t="n"/>
      <c r="C318" s="27" t="n"/>
      <c r="D318" s="32" t="n"/>
      <c r="E318" s="33" t="n"/>
      <c r="F318" s="36" t="n"/>
      <c r="G318" s="33" t="n"/>
      <c r="H318" s="20" t="str">
        <f>IF(AND(ISNUMBER(E318),ISNUMBER(F318)),E318*F318,"")</f>
        <v/>
      </c>
      <c r="I318" s="38" t="str">
        <f>IF(A318="","",IFERROR(IF(N(INDEX('交易记录'!$G$5:$G$304,MATCH(A318,'交易记录'!$A$5:$A$304,0)))&gt;0,INDEX('交易记录'!$G$5:$G$304,MATCH(A318,'交易记录'!$A$5:$A$304,0)),1),1))</f>
        <v/>
      </c>
      <c r="J318" s="41" t="str">
        <f>IF(ISNUMBER(H318),ROUND('参数'!$C$11+H318*I318*'参数'!$C$12+F318*'参数'!$C$13,2),"")</f>
        <v/>
      </c>
      <c r="K318" s="22" t="n"/>
      <c r="L318" s="20" t="str">
        <f>IF(ISNUMBER(K318),K318,IF(ISNUMBER(H318),J318,""))</f>
        <v/>
      </c>
      <c r="M318" s="46" t="str">
        <f>IF(AND(ISNUMBER(E318),ISNUMBER(G318),ISNUMBER(F318)),(E318-G318)*IF(D318="卖",-1,1)*F318*I318,"")</f>
        <v/>
      </c>
      <c r="N318" s="38" t="str">
        <f>IF(A318="","",IFERROR(T(INDEX('交易记录'!$C$5:$C$304,MATCH(A318,'交易记录'!$A$5:$A$304,0))),"编号没找到"))</f>
        <v/>
      </c>
      <c r="O318" s="31" t="n"/>
    </row>
    <row r="319">
      <c r="A319" s="29" t="n"/>
      <c r="B319" s="30" t="n"/>
      <c r="C319" s="27" t="n"/>
      <c r="D319" s="32" t="n"/>
      <c r="E319" s="33" t="n"/>
      <c r="F319" s="36" t="n"/>
      <c r="G319" s="33" t="n"/>
      <c r="H319" s="20" t="str">
        <f>IF(AND(ISNUMBER(E319),ISNUMBER(F319)),E319*F319,"")</f>
        <v/>
      </c>
      <c r="I319" s="38" t="str">
        <f>IF(A319="","",IFERROR(IF(N(INDEX('交易记录'!$G$5:$G$304,MATCH(A319,'交易记录'!$A$5:$A$304,0)))&gt;0,INDEX('交易记录'!$G$5:$G$304,MATCH(A319,'交易记录'!$A$5:$A$304,0)),1),1))</f>
        <v/>
      </c>
      <c r="J319" s="41" t="str">
        <f>IF(ISNUMBER(H319),ROUND('参数'!$C$11+H319*I319*'参数'!$C$12+F319*'参数'!$C$13,2),"")</f>
        <v/>
      </c>
      <c r="K319" s="22" t="n"/>
      <c r="L319" s="20" t="str">
        <f>IF(ISNUMBER(K319),K319,IF(ISNUMBER(H319),J319,""))</f>
        <v/>
      </c>
      <c r="M319" s="46" t="str">
        <f>IF(AND(ISNUMBER(E319),ISNUMBER(G319),ISNUMBER(F319)),(E319-G319)*IF(D319="卖",-1,1)*F319*I319,"")</f>
        <v/>
      </c>
      <c r="N319" s="38" t="str">
        <f>IF(A319="","",IFERROR(T(INDEX('交易记录'!$C$5:$C$304,MATCH(A319,'交易记录'!$A$5:$A$304,0))),"编号没找到"))</f>
        <v/>
      </c>
      <c r="O319" s="31" t="n"/>
    </row>
    <row r="320">
      <c r="A320" s="29" t="n"/>
      <c r="B320" s="30" t="n"/>
      <c r="C320" s="27" t="n"/>
      <c r="D320" s="32" t="n"/>
      <c r="E320" s="33" t="n"/>
      <c r="F320" s="36" t="n"/>
      <c r="G320" s="33" t="n"/>
      <c r="H320" s="20" t="str">
        <f>IF(AND(ISNUMBER(E320),ISNUMBER(F320)),E320*F320,"")</f>
        <v/>
      </c>
      <c r="I320" s="38" t="str">
        <f>IF(A320="","",IFERROR(IF(N(INDEX('交易记录'!$G$5:$G$304,MATCH(A320,'交易记录'!$A$5:$A$304,0)))&gt;0,INDEX('交易记录'!$G$5:$G$304,MATCH(A320,'交易记录'!$A$5:$A$304,0)),1),1))</f>
        <v/>
      </c>
      <c r="J320" s="41" t="str">
        <f>IF(ISNUMBER(H320),ROUND('参数'!$C$11+H320*I320*'参数'!$C$12+F320*'参数'!$C$13,2),"")</f>
        <v/>
      </c>
      <c r="K320" s="22" t="n"/>
      <c r="L320" s="20" t="str">
        <f>IF(ISNUMBER(K320),K320,IF(ISNUMBER(H320),J320,""))</f>
        <v/>
      </c>
      <c r="M320" s="46" t="str">
        <f>IF(AND(ISNUMBER(E320),ISNUMBER(G320),ISNUMBER(F320)),(E320-G320)*IF(D320="卖",-1,1)*F320*I320,"")</f>
        <v/>
      </c>
      <c r="N320" s="38" t="str">
        <f>IF(A320="","",IFERROR(T(INDEX('交易记录'!$C$5:$C$304,MATCH(A320,'交易记录'!$A$5:$A$304,0))),"编号没找到"))</f>
        <v/>
      </c>
      <c r="O320" s="31" t="n"/>
    </row>
    <row r="321">
      <c r="A321" s="29" t="n"/>
      <c r="B321" s="30" t="n"/>
      <c r="C321" s="27" t="n"/>
      <c r="D321" s="32" t="n"/>
      <c r="E321" s="33" t="n"/>
      <c r="F321" s="36" t="n"/>
      <c r="G321" s="33" t="n"/>
      <c r="H321" s="20" t="str">
        <f>IF(AND(ISNUMBER(E321),ISNUMBER(F321)),E321*F321,"")</f>
        <v/>
      </c>
      <c r="I321" s="38" t="str">
        <f>IF(A321="","",IFERROR(IF(N(INDEX('交易记录'!$G$5:$G$304,MATCH(A321,'交易记录'!$A$5:$A$304,0)))&gt;0,INDEX('交易记录'!$G$5:$G$304,MATCH(A321,'交易记录'!$A$5:$A$304,0)),1),1))</f>
        <v/>
      </c>
      <c r="J321" s="41" t="str">
        <f>IF(ISNUMBER(H321),ROUND('参数'!$C$11+H321*I321*'参数'!$C$12+F321*'参数'!$C$13,2),"")</f>
        <v/>
      </c>
      <c r="K321" s="22" t="n"/>
      <c r="L321" s="20" t="str">
        <f>IF(ISNUMBER(K321),K321,IF(ISNUMBER(H321),J321,""))</f>
        <v/>
      </c>
      <c r="M321" s="46" t="str">
        <f>IF(AND(ISNUMBER(E321),ISNUMBER(G321),ISNUMBER(F321)),(E321-G321)*IF(D321="卖",-1,1)*F321*I321,"")</f>
        <v/>
      </c>
      <c r="N321" s="38" t="str">
        <f>IF(A321="","",IFERROR(T(INDEX('交易记录'!$C$5:$C$304,MATCH(A321,'交易记录'!$A$5:$A$304,0))),"编号没找到"))</f>
        <v/>
      </c>
      <c r="O321" s="31" t="n"/>
    </row>
    <row r="322">
      <c r="A322" s="29" t="n"/>
      <c r="B322" s="30" t="n"/>
      <c r="C322" s="27" t="n"/>
      <c r="D322" s="32" t="n"/>
      <c r="E322" s="33" t="n"/>
      <c r="F322" s="36" t="n"/>
      <c r="G322" s="33" t="n"/>
      <c r="H322" s="20" t="str">
        <f>IF(AND(ISNUMBER(E322),ISNUMBER(F322)),E322*F322,"")</f>
        <v/>
      </c>
      <c r="I322" s="38" t="str">
        <f>IF(A322="","",IFERROR(IF(N(INDEX('交易记录'!$G$5:$G$304,MATCH(A322,'交易记录'!$A$5:$A$304,0)))&gt;0,INDEX('交易记录'!$G$5:$G$304,MATCH(A322,'交易记录'!$A$5:$A$304,0)),1),1))</f>
        <v/>
      </c>
      <c r="J322" s="41" t="str">
        <f>IF(ISNUMBER(H322),ROUND('参数'!$C$11+H322*I322*'参数'!$C$12+F322*'参数'!$C$13,2),"")</f>
        <v/>
      </c>
      <c r="K322" s="22" t="n"/>
      <c r="L322" s="20" t="str">
        <f>IF(ISNUMBER(K322),K322,IF(ISNUMBER(H322),J322,""))</f>
        <v/>
      </c>
      <c r="M322" s="46" t="str">
        <f>IF(AND(ISNUMBER(E322),ISNUMBER(G322),ISNUMBER(F322)),(E322-G322)*IF(D322="卖",-1,1)*F322*I322,"")</f>
        <v/>
      </c>
      <c r="N322" s="38" t="str">
        <f>IF(A322="","",IFERROR(T(INDEX('交易记录'!$C$5:$C$304,MATCH(A322,'交易记录'!$A$5:$A$304,0))),"编号没找到"))</f>
        <v/>
      </c>
      <c r="O322" s="31" t="n"/>
    </row>
    <row r="323">
      <c r="A323" s="29" t="n"/>
      <c r="B323" s="30" t="n"/>
      <c r="C323" s="27" t="n"/>
      <c r="D323" s="32" t="n"/>
      <c r="E323" s="33" t="n"/>
      <c r="F323" s="36" t="n"/>
      <c r="G323" s="33" t="n"/>
      <c r="H323" s="20" t="str">
        <f>IF(AND(ISNUMBER(E323),ISNUMBER(F323)),E323*F323,"")</f>
        <v/>
      </c>
      <c r="I323" s="38" t="str">
        <f>IF(A323="","",IFERROR(IF(N(INDEX('交易记录'!$G$5:$G$304,MATCH(A323,'交易记录'!$A$5:$A$304,0)))&gt;0,INDEX('交易记录'!$G$5:$G$304,MATCH(A323,'交易记录'!$A$5:$A$304,0)),1),1))</f>
        <v/>
      </c>
      <c r="J323" s="41" t="str">
        <f>IF(ISNUMBER(H323),ROUND('参数'!$C$11+H323*I323*'参数'!$C$12+F323*'参数'!$C$13,2),"")</f>
        <v/>
      </c>
      <c r="K323" s="22" t="n"/>
      <c r="L323" s="20" t="str">
        <f>IF(ISNUMBER(K323),K323,IF(ISNUMBER(H323),J323,""))</f>
        <v/>
      </c>
      <c r="M323" s="46" t="str">
        <f>IF(AND(ISNUMBER(E323),ISNUMBER(G323),ISNUMBER(F323)),(E323-G323)*IF(D323="卖",-1,1)*F323*I323,"")</f>
        <v/>
      </c>
      <c r="N323" s="38" t="str">
        <f>IF(A323="","",IFERROR(T(INDEX('交易记录'!$C$5:$C$304,MATCH(A323,'交易记录'!$A$5:$A$304,0))),"编号没找到"))</f>
        <v/>
      </c>
      <c r="O323" s="31" t="n"/>
    </row>
    <row r="324">
      <c r="A324" s="29" t="n"/>
      <c r="B324" s="30" t="n"/>
      <c r="C324" s="27" t="n"/>
      <c r="D324" s="32" t="n"/>
      <c r="E324" s="33" t="n"/>
      <c r="F324" s="36" t="n"/>
      <c r="G324" s="33" t="n"/>
      <c r="H324" s="20" t="str">
        <f>IF(AND(ISNUMBER(E324),ISNUMBER(F324)),E324*F324,"")</f>
        <v/>
      </c>
      <c r="I324" s="38" t="str">
        <f>IF(A324="","",IFERROR(IF(N(INDEX('交易记录'!$G$5:$G$304,MATCH(A324,'交易记录'!$A$5:$A$304,0)))&gt;0,INDEX('交易记录'!$G$5:$G$304,MATCH(A324,'交易记录'!$A$5:$A$304,0)),1),1))</f>
        <v/>
      </c>
      <c r="J324" s="41" t="str">
        <f>IF(ISNUMBER(H324),ROUND('参数'!$C$11+H324*I324*'参数'!$C$12+F324*'参数'!$C$13,2),"")</f>
        <v/>
      </c>
      <c r="K324" s="22" t="n"/>
      <c r="L324" s="20" t="str">
        <f>IF(ISNUMBER(K324),K324,IF(ISNUMBER(H324),J324,""))</f>
        <v/>
      </c>
      <c r="M324" s="46" t="str">
        <f>IF(AND(ISNUMBER(E324),ISNUMBER(G324),ISNUMBER(F324)),(E324-G324)*IF(D324="卖",-1,1)*F324*I324,"")</f>
        <v/>
      </c>
      <c r="N324" s="38" t="str">
        <f>IF(A324="","",IFERROR(T(INDEX('交易记录'!$C$5:$C$304,MATCH(A324,'交易记录'!$A$5:$A$304,0))),"编号没找到"))</f>
        <v/>
      </c>
      <c r="O324" s="31" t="n"/>
    </row>
    <row r="325">
      <c r="A325" s="29" t="n"/>
      <c r="B325" s="30" t="n"/>
      <c r="C325" s="27" t="n"/>
      <c r="D325" s="32" t="n"/>
      <c r="E325" s="33" t="n"/>
      <c r="F325" s="36" t="n"/>
      <c r="G325" s="33" t="n"/>
      <c r="H325" s="20" t="str">
        <f>IF(AND(ISNUMBER(E325),ISNUMBER(F325)),E325*F325,"")</f>
        <v/>
      </c>
      <c r="I325" s="38" t="str">
        <f>IF(A325="","",IFERROR(IF(N(INDEX('交易记录'!$G$5:$G$304,MATCH(A325,'交易记录'!$A$5:$A$304,0)))&gt;0,INDEX('交易记录'!$G$5:$G$304,MATCH(A325,'交易记录'!$A$5:$A$304,0)),1),1))</f>
        <v/>
      </c>
      <c r="J325" s="41" t="str">
        <f>IF(ISNUMBER(H325),ROUND('参数'!$C$11+H325*I325*'参数'!$C$12+F325*'参数'!$C$13,2),"")</f>
        <v/>
      </c>
      <c r="K325" s="22" t="n"/>
      <c r="L325" s="20" t="str">
        <f>IF(ISNUMBER(K325),K325,IF(ISNUMBER(H325),J325,""))</f>
        <v/>
      </c>
      <c r="M325" s="46" t="str">
        <f>IF(AND(ISNUMBER(E325),ISNUMBER(G325),ISNUMBER(F325)),(E325-G325)*IF(D325="卖",-1,1)*F325*I325,"")</f>
        <v/>
      </c>
      <c r="N325" s="38" t="str">
        <f>IF(A325="","",IFERROR(T(INDEX('交易记录'!$C$5:$C$304,MATCH(A325,'交易记录'!$A$5:$A$304,0))),"编号没找到"))</f>
        <v/>
      </c>
      <c r="O325" s="31" t="n"/>
    </row>
    <row r="326">
      <c r="A326" s="29" t="n"/>
      <c r="B326" s="30" t="n"/>
      <c r="C326" s="27" t="n"/>
      <c r="D326" s="32" t="n"/>
      <c r="E326" s="33" t="n"/>
      <c r="F326" s="36" t="n"/>
      <c r="G326" s="33" t="n"/>
      <c r="H326" s="20" t="str">
        <f>IF(AND(ISNUMBER(E326),ISNUMBER(F326)),E326*F326,"")</f>
        <v/>
      </c>
      <c r="I326" s="38" t="str">
        <f>IF(A326="","",IFERROR(IF(N(INDEX('交易记录'!$G$5:$G$304,MATCH(A326,'交易记录'!$A$5:$A$304,0)))&gt;0,INDEX('交易记录'!$G$5:$G$304,MATCH(A326,'交易记录'!$A$5:$A$304,0)),1),1))</f>
        <v/>
      </c>
      <c r="J326" s="41" t="str">
        <f>IF(ISNUMBER(H326),ROUND('参数'!$C$11+H326*I326*'参数'!$C$12+F326*'参数'!$C$13,2),"")</f>
        <v/>
      </c>
      <c r="K326" s="22" t="n"/>
      <c r="L326" s="20" t="str">
        <f>IF(ISNUMBER(K326),K326,IF(ISNUMBER(H326),J326,""))</f>
        <v/>
      </c>
      <c r="M326" s="46" t="str">
        <f>IF(AND(ISNUMBER(E326),ISNUMBER(G326),ISNUMBER(F326)),(E326-G326)*IF(D326="卖",-1,1)*F326*I326,"")</f>
        <v/>
      </c>
      <c r="N326" s="38" t="str">
        <f>IF(A326="","",IFERROR(T(INDEX('交易记录'!$C$5:$C$304,MATCH(A326,'交易记录'!$A$5:$A$304,0))),"编号没找到"))</f>
        <v/>
      </c>
      <c r="O326" s="31" t="n"/>
    </row>
    <row r="327">
      <c r="A327" s="29" t="n"/>
      <c r="B327" s="30" t="n"/>
      <c r="C327" s="27" t="n"/>
      <c r="D327" s="32" t="n"/>
      <c r="E327" s="33" t="n"/>
      <c r="F327" s="36" t="n"/>
      <c r="G327" s="33" t="n"/>
      <c r="H327" s="20" t="str">
        <f>IF(AND(ISNUMBER(E327),ISNUMBER(F327)),E327*F327,"")</f>
        <v/>
      </c>
      <c r="I327" s="38" t="str">
        <f>IF(A327="","",IFERROR(IF(N(INDEX('交易记录'!$G$5:$G$304,MATCH(A327,'交易记录'!$A$5:$A$304,0)))&gt;0,INDEX('交易记录'!$G$5:$G$304,MATCH(A327,'交易记录'!$A$5:$A$304,0)),1),1))</f>
        <v/>
      </c>
      <c r="J327" s="41" t="str">
        <f>IF(ISNUMBER(H327),ROUND('参数'!$C$11+H327*I327*'参数'!$C$12+F327*'参数'!$C$13,2),"")</f>
        <v/>
      </c>
      <c r="K327" s="22" t="n"/>
      <c r="L327" s="20" t="str">
        <f>IF(ISNUMBER(K327),K327,IF(ISNUMBER(H327),J327,""))</f>
        <v/>
      </c>
      <c r="M327" s="46" t="str">
        <f>IF(AND(ISNUMBER(E327),ISNUMBER(G327),ISNUMBER(F327)),(E327-G327)*IF(D327="卖",-1,1)*F327*I327,"")</f>
        <v/>
      </c>
      <c r="N327" s="38" t="str">
        <f>IF(A327="","",IFERROR(T(INDEX('交易记录'!$C$5:$C$304,MATCH(A327,'交易记录'!$A$5:$A$304,0))),"编号没找到"))</f>
        <v/>
      </c>
      <c r="O327" s="31" t="n"/>
    </row>
    <row r="328">
      <c r="A328" s="29" t="n"/>
      <c r="B328" s="30" t="n"/>
      <c r="C328" s="27" t="n"/>
      <c r="D328" s="32" t="n"/>
      <c r="E328" s="33" t="n"/>
      <c r="F328" s="36" t="n"/>
      <c r="G328" s="33" t="n"/>
      <c r="H328" s="20" t="str">
        <f>IF(AND(ISNUMBER(E328),ISNUMBER(F328)),E328*F328,"")</f>
        <v/>
      </c>
      <c r="I328" s="38" t="str">
        <f>IF(A328="","",IFERROR(IF(N(INDEX('交易记录'!$G$5:$G$304,MATCH(A328,'交易记录'!$A$5:$A$304,0)))&gt;0,INDEX('交易记录'!$G$5:$G$304,MATCH(A328,'交易记录'!$A$5:$A$304,0)),1),1))</f>
        <v/>
      </c>
      <c r="J328" s="41" t="str">
        <f>IF(ISNUMBER(H328),ROUND('参数'!$C$11+H328*I328*'参数'!$C$12+F328*'参数'!$C$13,2),"")</f>
        <v/>
      </c>
      <c r="K328" s="22" t="n"/>
      <c r="L328" s="20" t="str">
        <f>IF(ISNUMBER(K328),K328,IF(ISNUMBER(H328),J328,""))</f>
        <v/>
      </c>
      <c r="M328" s="46" t="str">
        <f>IF(AND(ISNUMBER(E328),ISNUMBER(G328),ISNUMBER(F328)),(E328-G328)*IF(D328="卖",-1,1)*F328*I328,"")</f>
        <v/>
      </c>
      <c r="N328" s="38" t="str">
        <f>IF(A328="","",IFERROR(T(INDEX('交易记录'!$C$5:$C$304,MATCH(A328,'交易记录'!$A$5:$A$304,0))),"编号没找到"))</f>
        <v/>
      </c>
      <c r="O328" s="31" t="n"/>
    </row>
    <row r="329">
      <c r="A329" s="29" t="n"/>
      <c r="B329" s="30" t="n"/>
      <c r="C329" s="27" t="n"/>
      <c r="D329" s="32" t="n"/>
      <c r="E329" s="33" t="n"/>
      <c r="F329" s="36" t="n"/>
      <c r="G329" s="33" t="n"/>
      <c r="H329" s="20" t="str">
        <f>IF(AND(ISNUMBER(E329),ISNUMBER(F329)),E329*F329,"")</f>
        <v/>
      </c>
      <c r="I329" s="38" t="str">
        <f>IF(A329="","",IFERROR(IF(N(INDEX('交易记录'!$G$5:$G$304,MATCH(A329,'交易记录'!$A$5:$A$304,0)))&gt;0,INDEX('交易记录'!$G$5:$G$304,MATCH(A329,'交易记录'!$A$5:$A$304,0)),1),1))</f>
        <v/>
      </c>
      <c r="J329" s="41" t="str">
        <f>IF(ISNUMBER(H329),ROUND('参数'!$C$11+H329*I329*'参数'!$C$12+F329*'参数'!$C$13,2),"")</f>
        <v/>
      </c>
      <c r="K329" s="22" t="n"/>
      <c r="L329" s="20" t="str">
        <f>IF(ISNUMBER(K329),K329,IF(ISNUMBER(H329),J329,""))</f>
        <v/>
      </c>
      <c r="M329" s="46" t="str">
        <f>IF(AND(ISNUMBER(E329),ISNUMBER(G329),ISNUMBER(F329)),(E329-G329)*IF(D329="卖",-1,1)*F329*I329,"")</f>
        <v/>
      </c>
      <c r="N329" s="38" t="str">
        <f>IF(A329="","",IFERROR(T(INDEX('交易记录'!$C$5:$C$304,MATCH(A329,'交易记录'!$A$5:$A$304,0))),"编号没找到"))</f>
        <v/>
      </c>
      <c r="O329" s="31" t="n"/>
    </row>
    <row r="330">
      <c r="A330" s="29" t="n"/>
      <c r="B330" s="30" t="n"/>
      <c r="C330" s="27" t="n"/>
      <c r="D330" s="32" t="n"/>
      <c r="E330" s="33" t="n"/>
      <c r="F330" s="36" t="n"/>
      <c r="G330" s="33" t="n"/>
      <c r="H330" s="20" t="str">
        <f>IF(AND(ISNUMBER(E330),ISNUMBER(F330)),E330*F330,"")</f>
        <v/>
      </c>
      <c r="I330" s="38" t="str">
        <f>IF(A330="","",IFERROR(IF(N(INDEX('交易记录'!$G$5:$G$304,MATCH(A330,'交易记录'!$A$5:$A$304,0)))&gt;0,INDEX('交易记录'!$G$5:$G$304,MATCH(A330,'交易记录'!$A$5:$A$304,0)),1),1))</f>
        <v/>
      </c>
      <c r="J330" s="41" t="str">
        <f>IF(ISNUMBER(H330),ROUND('参数'!$C$11+H330*I330*'参数'!$C$12+F330*'参数'!$C$13,2),"")</f>
        <v/>
      </c>
      <c r="K330" s="22" t="n"/>
      <c r="L330" s="20" t="str">
        <f>IF(ISNUMBER(K330),K330,IF(ISNUMBER(H330),J330,""))</f>
        <v/>
      </c>
      <c r="M330" s="46" t="str">
        <f>IF(AND(ISNUMBER(E330),ISNUMBER(G330),ISNUMBER(F330)),(E330-G330)*IF(D330="卖",-1,1)*F330*I330,"")</f>
        <v/>
      </c>
      <c r="N330" s="38" t="str">
        <f>IF(A330="","",IFERROR(T(INDEX('交易记录'!$C$5:$C$304,MATCH(A330,'交易记录'!$A$5:$A$304,0))),"编号没找到"))</f>
        <v/>
      </c>
      <c r="O330" s="31" t="n"/>
    </row>
    <row r="331">
      <c r="A331" s="29" t="n"/>
      <c r="B331" s="30" t="n"/>
      <c r="C331" s="27" t="n"/>
      <c r="D331" s="32" t="n"/>
      <c r="E331" s="33" t="n"/>
      <c r="F331" s="36" t="n"/>
      <c r="G331" s="33" t="n"/>
      <c r="H331" s="20" t="str">
        <f>IF(AND(ISNUMBER(E331),ISNUMBER(F331)),E331*F331,"")</f>
        <v/>
      </c>
      <c r="I331" s="38" t="str">
        <f>IF(A331="","",IFERROR(IF(N(INDEX('交易记录'!$G$5:$G$304,MATCH(A331,'交易记录'!$A$5:$A$304,0)))&gt;0,INDEX('交易记录'!$G$5:$G$304,MATCH(A331,'交易记录'!$A$5:$A$304,0)),1),1))</f>
        <v/>
      </c>
      <c r="J331" s="41" t="str">
        <f>IF(ISNUMBER(H331),ROUND('参数'!$C$11+H331*I331*'参数'!$C$12+F331*'参数'!$C$13,2),"")</f>
        <v/>
      </c>
      <c r="K331" s="22" t="n"/>
      <c r="L331" s="20" t="str">
        <f>IF(ISNUMBER(K331),K331,IF(ISNUMBER(H331),J331,""))</f>
        <v/>
      </c>
      <c r="M331" s="46" t="str">
        <f>IF(AND(ISNUMBER(E331),ISNUMBER(G331),ISNUMBER(F331)),(E331-G331)*IF(D331="卖",-1,1)*F331*I331,"")</f>
        <v/>
      </c>
      <c r="N331" s="38" t="str">
        <f>IF(A331="","",IFERROR(T(INDEX('交易记录'!$C$5:$C$304,MATCH(A331,'交易记录'!$A$5:$A$304,0))),"编号没找到"))</f>
        <v/>
      </c>
      <c r="O331" s="31" t="n"/>
    </row>
    <row r="332">
      <c r="A332" s="29" t="n"/>
      <c r="B332" s="30" t="n"/>
      <c r="C332" s="27" t="n"/>
      <c r="D332" s="32" t="n"/>
      <c r="E332" s="33" t="n"/>
      <c r="F332" s="36" t="n"/>
      <c r="G332" s="33" t="n"/>
      <c r="H332" s="20" t="str">
        <f>IF(AND(ISNUMBER(E332),ISNUMBER(F332)),E332*F332,"")</f>
        <v/>
      </c>
      <c r="I332" s="38" t="str">
        <f>IF(A332="","",IFERROR(IF(N(INDEX('交易记录'!$G$5:$G$304,MATCH(A332,'交易记录'!$A$5:$A$304,0)))&gt;0,INDEX('交易记录'!$G$5:$G$304,MATCH(A332,'交易记录'!$A$5:$A$304,0)),1),1))</f>
        <v/>
      </c>
      <c r="J332" s="41" t="str">
        <f>IF(ISNUMBER(H332),ROUND('参数'!$C$11+H332*I332*'参数'!$C$12+F332*'参数'!$C$13,2),"")</f>
        <v/>
      </c>
      <c r="K332" s="22" t="n"/>
      <c r="L332" s="20" t="str">
        <f>IF(ISNUMBER(K332),K332,IF(ISNUMBER(H332),J332,""))</f>
        <v/>
      </c>
      <c r="M332" s="46" t="str">
        <f>IF(AND(ISNUMBER(E332),ISNUMBER(G332),ISNUMBER(F332)),(E332-G332)*IF(D332="卖",-1,1)*F332*I332,"")</f>
        <v/>
      </c>
      <c r="N332" s="38" t="str">
        <f>IF(A332="","",IFERROR(T(INDEX('交易记录'!$C$5:$C$304,MATCH(A332,'交易记录'!$A$5:$A$304,0))),"编号没找到"))</f>
        <v/>
      </c>
      <c r="O332" s="31" t="n"/>
    </row>
    <row r="333">
      <c r="A333" s="29" t="n"/>
      <c r="B333" s="30" t="n"/>
      <c r="C333" s="27" t="n"/>
      <c r="D333" s="32" t="n"/>
      <c r="E333" s="33" t="n"/>
      <c r="F333" s="36" t="n"/>
      <c r="G333" s="33" t="n"/>
      <c r="H333" s="20" t="str">
        <f>IF(AND(ISNUMBER(E333),ISNUMBER(F333)),E333*F333,"")</f>
        <v/>
      </c>
      <c r="I333" s="38" t="str">
        <f>IF(A333="","",IFERROR(IF(N(INDEX('交易记录'!$G$5:$G$304,MATCH(A333,'交易记录'!$A$5:$A$304,0)))&gt;0,INDEX('交易记录'!$G$5:$G$304,MATCH(A333,'交易记录'!$A$5:$A$304,0)),1),1))</f>
        <v/>
      </c>
      <c r="J333" s="41" t="str">
        <f>IF(ISNUMBER(H333),ROUND('参数'!$C$11+H333*I333*'参数'!$C$12+F333*'参数'!$C$13,2),"")</f>
        <v/>
      </c>
      <c r="K333" s="22" t="n"/>
      <c r="L333" s="20" t="str">
        <f>IF(ISNUMBER(K333),K333,IF(ISNUMBER(H333),J333,""))</f>
        <v/>
      </c>
      <c r="M333" s="46" t="str">
        <f>IF(AND(ISNUMBER(E333),ISNUMBER(G333),ISNUMBER(F333)),(E333-G333)*IF(D333="卖",-1,1)*F333*I333,"")</f>
        <v/>
      </c>
      <c r="N333" s="38" t="str">
        <f>IF(A333="","",IFERROR(T(INDEX('交易记录'!$C$5:$C$304,MATCH(A333,'交易记录'!$A$5:$A$304,0))),"编号没找到"))</f>
        <v/>
      </c>
      <c r="O333" s="31" t="n"/>
    </row>
    <row r="334">
      <c r="A334" s="29" t="n"/>
      <c r="B334" s="30" t="n"/>
      <c r="C334" s="27" t="n"/>
      <c r="D334" s="32" t="n"/>
      <c r="E334" s="33" t="n"/>
      <c r="F334" s="36" t="n"/>
      <c r="G334" s="33" t="n"/>
      <c r="H334" s="20" t="str">
        <f>IF(AND(ISNUMBER(E334),ISNUMBER(F334)),E334*F334,"")</f>
        <v/>
      </c>
      <c r="I334" s="38" t="str">
        <f>IF(A334="","",IFERROR(IF(N(INDEX('交易记录'!$G$5:$G$304,MATCH(A334,'交易记录'!$A$5:$A$304,0)))&gt;0,INDEX('交易记录'!$G$5:$G$304,MATCH(A334,'交易记录'!$A$5:$A$304,0)),1),1))</f>
        <v/>
      </c>
      <c r="J334" s="41" t="str">
        <f>IF(ISNUMBER(H334),ROUND('参数'!$C$11+H334*I334*'参数'!$C$12+F334*'参数'!$C$13,2),"")</f>
        <v/>
      </c>
      <c r="K334" s="22" t="n"/>
      <c r="L334" s="20" t="str">
        <f>IF(ISNUMBER(K334),K334,IF(ISNUMBER(H334),J334,""))</f>
        <v/>
      </c>
      <c r="M334" s="46" t="str">
        <f>IF(AND(ISNUMBER(E334),ISNUMBER(G334),ISNUMBER(F334)),(E334-G334)*IF(D334="卖",-1,1)*F334*I334,"")</f>
        <v/>
      </c>
      <c r="N334" s="38" t="str">
        <f>IF(A334="","",IFERROR(T(INDEX('交易记录'!$C$5:$C$304,MATCH(A334,'交易记录'!$A$5:$A$304,0))),"编号没找到"))</f>
        <v/>
      </c>
      <c r="O334" s="31" t="n"/>
    </row>
    <row r="335">
      <c r="A335" s="29" t="n"/>
      <c r="B335" s="30" t="n"/>
      <c r="C335" s="27" t="n"/>
      <c r="D335" s="32" t="n"/>
      <c r="E335" s="33" t="n"/>
      <c r="F335" s="36" t="n"/>
      <c r="G335" s="33" t="n"/>
      <c r="H335" s="20" t="str">
        <f>IF(AND(ISNUMBER(E335),ISNUMBER(F335)),E335*F335,"")</f>
        <v/>
      </c>
      <c r="I335" s="38" t="str">
        <f>IF(A335="","",IFERROR(IF(N(INDEX('交易记录'!$G$5:$G$304,MATCH(A335,'交易记录'!$A$5:$A$304,0)))&gt;0,INDEX('交易记录'!$G$5:$G$304,MATCH(A335,'交易记录'!$A$5:$A$304,0)),1),1))</f>
        <v/>
      </c>
      <c r="J335" s="41" t="str">
        <f>IF(ISNUMBER(H335),ROUND('参数'!$C$11+H335*I335*'参数'!$C$12+F335*'参数'!$C$13,2),"")</f>
        <v/>
      </c>
      <c r="K335" s="22" t="n"/>
      <c r="L335" s="20" t="str">
        <f>IF(ISNUMBER(K335),K335,IF(ISNUMBER(H335),J335,""))</f>
        <v/>
      </c>
      <c r="M335" s="46" t="str">
        <f>IF(AND(ISNUMBER(E335),ISNUMBER(G335),ISNUMBER(F335)),(E335-G335)*IF(D335="卖",-1,1)*F335*I335,"")</f>
        <v/>
      </c>
      <c r="N335" s="38" t="str">
        <f>IF(A335="","",IFERROR(T(INDEX('交易记录'!$C$5:$C$304,MATCH(A335,'交易记录'!$A$5:$A$304,0))),"编号没找到"))</f>
        <v/>
      </c>
      <c r="O335" s="31" t="n"/>
    </row>
    <row r="336">
      <c r="A336" s="29" t="n"/>
      <c r="B336" s="30" t="n"/>
      <c r="C336" s="27" t="n"/>
      <c r="D336" s="32" t="n"/>
      <c r="E336" s="33" t="n"/>
      <c r="F336" s="36" t="n"/>
      <c r="G336" s="33" t="n"/>
      <c r="H336" s="20" t="str">
        <f>IF(AND(ISNUMBER(E336),ISNUMBER(F336)),E336*F336,"")</f>
        <v/>
      </c>
      <c r="I336" s="38" t="str">
        <f>IF(A336="","",IFERROR(IF(N(INDEX('交易记录'!$G$5:$G$304,MATCH(A336,'交易记录'!$A$5:$A$304,0)))&gt;0,INDEX('交易记录'!$G$5:$G$304,MATCH(A336,'交易记录'!$A$5:$A$304,0)),1),1))</f>
        <v/>
      </c>
      <c r="J336" s="41" t="str">
        <f>IF(ISNUMBER(H336),ROUND('参数'!$C$11+H336*I336*'参数'!$C$12+F336*'参数'!$C$13,2),"")</f>
        <v/>
      </c>
      <c r="K336" s="22" t="n"/>
      <c r="L336" s="20" t="str">
        <f>IF(ISNUMBER(K336),K336,IF(ISNUMBER(H336),J336,""))</f>
        <v/>
      </c>
      <c r="M336" s="46" t="str">
        <f>IF(AND(ISNUMBER(E336),ISNUMBER(G336),ISNUMBER(F336)),(E336-G336)*IF(D336="卖",-1,1)*F336*I336,"")</f>
        <v/>
      </c>
      <c r="N336" s="38" t="str">
        <f>IF(A336="","",IFERROR(T(INDEX('交易记录'!$C$5:$C$304,MATCH(A336,'交易记录'!$A$5:$A$304,0))),"编号没找到"))</f>
        <v/>
      </c>
      <c r="O336" s="31" t="n"/>
    </row>
    <row r="337">
      <c r="A337" s="29" t="n"/>
      <c r="B337" s="30" t="n"/>
      <c r="C337" s="27" t="n"/>
      <c r="D337" s="32" t="n"/>
      <c r="E337" s="33" t="n"/>
      <c r="F337" s="36" t="n"/>
      <c r="G337" s="33" t="n"/>
      <c r="H337" s="20" t="str">
        <f>IF(AND(ISNUMBER(E337),ISNUMBER(F337)),E337*F337,"")</f>
        <v/>
      </c>
      <c r="I337" s="38" t="str">
        <f>IF(A337="","",IFERROR(IF(N(INDEX('交易记录'!$G$5:$G$304,MATCH(A337,'交易记录'!$A$5:$A$304,0)))&gt;0,INDEX('交易记录'!$G$5:$G$304,MATCH(A337,'交易记录'!$A$5:$A$304,0)),1),1))</f>
        <v/>
      </c>
      <c r="J337" s="41" t="str">
        <f>IF(ISNUMBER(H337),ROUND('参数'!$C$11+H337*I337*'参数'!$C$12+F337*'参数'!$C$13,2),"")</f>
        <v/>
      </c>
      <c r="K337" s="22" t="n"/>
      <c r="L337" s="20" t="str">
        <f>IF(ISNUMBER(K337),K337,IF(ISNUMBER(H337),J337,""))</f>
        <v/>
      </c>
      <c r="M337" s="46" t="str">
        <f>IF(AND(ISNUMBER(E337),ISNUMBER(G337),ISNUMBER(F337)),(E337-G337)*IF(D337="卖",-1,1)*F337*I337,"")</f>
        <v/>
      </c>
      <c r="N337" s="38" t="str">
        <f>IF(A337="","",IFERROR(T(INDEX('交易记录'!$C$5:$C$304,MATCH(A337,'交易记录'!$A$5:$A$304,0))),"编号没找到"))</f>
        <v/>
      </c>
      <c r="O337" s="31" t="n"/>
    </row>
    <row r="338">
      <c r="A338" s="29" t="n"/>
      <c r="B338" s="30" t="n"/>
      <c r="C338" s="27" t="n"/>
      <c r="D338" s="32" t="n"/>
      <c r="E338" s="33" t="n"/>
      <c r="F338" s="36" t="n"/>
      <c r="G338" s="33" t="n"/>
      <c r="H338" s="20" t="str">
        <f>IF(AND(ISNUMBER(E338),ISNUMBER(F338)),E338*F338,"")</f>
        <v/>
      </c>
      <c r="I338" s="38" t="str">
        <f>IF(A338="","",IFERROR(IF(N(INDEX('交易记录'!$G$5:$G$304,MATCH(A338,'交易记录'!$A$5:$A$304,0)))&gt;0,INDEX('交易记录'!$G$5:$G$304,MATCH(A338,'交易记录'!$A$5:$A$304,0)),1),1))</f>
        <v/>
      </c>
      <c r="J338" s="41" t="str">
        <f>IF(ISNUMBER(H338),ROUND('参数'!$C$11+H338*I338*'参数'!$C$12+F338*'参数'!$C$13,2),"")</f>
        <v/>
      </c>
      <c r="K338" s="22" t="n"/>
      <c r="L338" s="20" t="str">
        <f>IF(ISNUMBER(K338),K338,IF(ISNUMBER(H338),J338,""))</f>
        <v/>
      </c>
      <c r="M338" s="46" t="str">
        <f>IF(AND(ISNUMBER(E338),ISNUMBER(G338),ISNUMBER(F338)),(E338-G338)*IF(D338="卖",-1,1)*F338*I338,"")</f>
        <v/>
      </c>
      <c r="N338" s="38" t="str">
        <f>IF(A338="","",IFERROR(T(INDEX('交易记录'!$C$5:$C$304,MATCH(A338,'交易记录'!$A$5:$A$304,0))),"编号没找到"))</f>
        <v/>
      </c>
      <c r="O338" s="31" t="n"/>
    </row>
    <row r="339">
      <c r="A339" s="29" t="n"/>
      <c r="B339" s="30" t="n"/>
      <c r="C339" s="27" t="n"/>
      <c r="D339" s="32" t="n"/>
      <c r="E339" s="33" t="n"/>
      <c r="F339" s="36" t="n"/>
      <c r="G339" s="33" t="n"/>
      <c r="H339" s="20" t="str">
        <f>IF(AND(ISNUMBER(E339),ISNUMBER(F339)),E339*F339,"")</f>
        <v/>
      </c>
      <c r="I339" s="38" t="str">
        <f>IF(A339="","",IFERROR(IF(N(INDEX('交易记录'!$G$5:$G$304,MATCH(A339,'交易记录'!$A$5:$A$304,0)))&gt;0,INDEX('交易记录'!$G$5:$G$304,MATCH(A339,'交易记录'!$A$5:$A$304,0)),1),1))</f>
        <v/>
      </c>
      <c r="J339" s="41" t="str">
        <f>IF(ISNUMBER(H339),ROUND('参数'!$C$11+H339*I339*'参数'!$C$12+F339*'参数'!$C$13,2),"")</f>
        <v/>
      </c>
      <c r="K339" s="22" t="n"/>
      <c r="L339" s="20" t="str">
        <f>IF(ISNUMBER(K339),K339,IF(ISNUMBER(H339),J339,""))</f>
        <v/>
      </c>
      <c r="M339" s="46" t="str">
        <f>IF(AND(ISNUMBER(E339),ISNUMBER(G339),ISNUMBER(F339)),(E339-G339)*IF(D339="卖",-1,1)*F339*I339,"")</f>
        <v/>
      </c>
      <c r="N339" s="38" t="str">
        <f>IF(A339="","",IFERROR(T(INDEX('交易记录'!$C$5:$C$304,MATCH(A339,'交易记录'!$A$5:$A$304,0))),"编号没找到"))</f>
        <v/>
      </c>
      <c r="O339" s="31" t="n"/>
    </row>
    <row r="340">
      <c r="A340" s="29" t="n"/>
      <c r="B340" s="30" t="n"/>
      <c r="C340" s="27" t="n"/>
      <c r="D340" s="32" t="n"/>
      <c r="E340" s="33" t="n"/>
      <c r="F340" s="36" t="n"/>
      <c r="G340" s="33" t="n"/>
      <c r="H340" s="20" t="str">
        <f>IF(AND(ISNUMBER(E340),ISNUMBER(F340)),E340*F340,"")</f>
        <v/>
      </c>
      <c r="I340" s="38" t="str">
        <f>IF(A340="","",IFERROR(IF(N(INDEX('交易记录'!$G$5:$G$304,MATCH(A340,'交易记录'!$A$5:$A$304,0)))&gt;0,INDEX('交易记录'!$G$5:$G$304,MATCH(A340,'交易记录'!$A$5:$A$304,0)),1),1))</f>
        <v/>
      </c>
      <c r="J340" s="41" t="str">
        <f>IF(ISNUMBER(H340),ROUND('参数'!$C$11+H340*I340*'参数'!$C$12+F340*'参数'!$C$13,2),"")</f>
        <v/>
      </c>
      <c r="K340" s="22" t="n"/>
      <c r="L340" s="20" t="str">
        <f>IF(ISNUMBER(K340),K340,IF(ISNUMBER(H340),J340,""))</f>
        <v/>
      </c>
      <c r="M340" s="46" t="str">
        <f>IF(AND(ISNUMBER(E340),ISNUMBER(G340),ISNUMBER(F340)),(E340-G340)*IF(D340="卖",-1,1)*F340*I340,"")</f>
        <v/>
      </c>
      <c r="N340" s="38" t="str">
        <f>IF(A340="","",IFERROR(T(INDEX('交易记录'!$C$5:$C$304,MATCH(A340,'交易记录'!$A$5:$A$304,0))),"编号没找到"))</f>
        <v/>
      </c>
      <c r="O340" s="31" t="n"/>
    </row>
    <row r="341">
      <c r="A341" s="29" t="n"/>
      <c r="B341" s="30" t="n"/>
      <c r="C341" s="27" t="n"/>
      <c r="D341" s="32" t="n"/>
      <c r="E341" s="33" t="n"/>
      <c r="F341" s="36" t="n"/>
      <c r="G341" s="33" t="n"/>
      <c r="H341" s="20" t="str">
        <f>IF(AND(ISNUMBER(E341),ISNUMBER(F341)),E341*F341,"")</f>
        <v/>
      </c>
      <c r="I341" s="38" t="str">
        <f>IF(A341="","",IFERROR(IF(N(INDEX('交易记录'!$G$5:$G$304,MATCH(A341,'交易记录'!$A$5:$A$304,0)))&gt;0,INDEX('交易记录'!$G$5:$G$304,MATCH(A341,'交易记录'!$A$5:$A$304,0)),1),1))</f>
        <v/>
      </c>
      <c r="J341" s="41" t="str">
        <f>IF(ISNUMBER(H341),ROUND('参数'!$C$11+H341*I341*'参数'!$C$12+F341*'参数'!$C$13,2),"")</f>
        <v/>
      </c>
      <c r="K341" s="22" t="n"/>
      <c r="L341" s="20" t="str">
        <f>IF(ISNUMBER(K341),K341,IF(ISNUMBER(H341),J341,""))</f>
        <v/>
      </c>
      <c r="M341" s="46" t="str">
        <f>IF(AND(ISNUMBER(E341),ISNUMBER(G341),ISNUMBER(F341)),(E341-G341)*IF(D341="卖",-1,1)*F341*I341,"")</f>
        <v/>
      </c>
      <c r="N341" s="38" t="str">
        <f>IF(A341="","",IFERROR(T(INDEX('交易记录'!$C$5:$C$304,MATCH(A341,'交易记录'!$A$5:$A$304,0))),"编号没找到"))</f>
        <v/>
      </c>
      <c r="O341" s="31" t="n"/>
    </row>
    <row r="342">
      <c r="A342" s="29" t="n"/>
      <c r="B342" s="30" t="n"/>
      <c r="C342" s="27" t="n"/>
      <c r="D342" s="32" t="n"/>
      <c r="E342" s="33" t="n"/>
      <c r="F342" s="36" t="n"/>
      <c r="G342" s="33" t="n"/>
      <c r="H342" s="20" t="str">
        <f>IF(AND(ISNUMBER(E342),ISNUMBER(F342)),E342*F342,"")</f>
        <v/>
      </c>
      <c r="I342" s="38" t="str">
        <f>IF(A342="","",IFERROR(IF(N(INDEX('交易记录'!$G$5:$G$304,MATCH(A342,'交易记录'!$A$5:$A$304,0)))&gt;0,INDEX('交易记录'!$G$5:$G$304,MATCH(A342,'交易记录'!$A$5:$A$304,0)),1),1))</f>
        <v/>
      </c>
      <c r="J342" s="41" t="str">
        <f>IF(ISNUMBER(H342),ROUND('参数'!$C$11+H342*I342*'参数'!$C$12+F342*'参数'!$C$13,2),"")</f>
        <v/>
      </c>
      <c r="K342" s="22" t="n"/>
      <c r="L342" s="20" t="str">
        <f>IF(ISNUMBER(K342),K342,IF(ISNUMBER(H342),J342,""))</f>
        <v/>
      </c>
      <c r="M342" s="46" t="str">
        <f>IF(AND(ISNUMBER(E342),ISNUMBER(G342),ISNUMBER(F342)),(E342-G342)*IF(D342="卖",-1,1)*F342*I342,"")</f>
        <v/>
      </c>
      <c r="N342" s="38" t="str">
        <f>IF(A342="","",IFERROR(T(INDEX('交易记录'!$C$5:$C$304,MATCH(A342,'交易记录'!$A$5:$A$304,0))),"编号没找到"))</f>
        <v/>
      </c>
      <c r="O342" s="31" t="n"/>
    </row>
    <row r="343">
      <c r="A343" s="29" t="n"/>
      <c r="B343" s="30" t="n"/>
      <c r="C343" s="27" t="n"/>
      <c r="D343" s="32" t="n"/>
      <c r="E343" s="33" t="n"/>
      <c r="F343" s="36" t="n"/>
      <c r="G343" s="33" t="n"/>
      <c r="H343" s="20" t="str">
        <f>IF(AND(ISNUMBER(E343),ISNUMBER(F343)),E343*F343,"")</f>
        <v/>
      </c>
      <c r="I343" s="38" t="str">
        <f>IF(A343="","",IFERROR(IF(N(INDEX('交易记录'!$G$5:$G$304,MATCH(A343,'交易记录'!$A$5:$A$304,0)))&gt;0,INDEX('交易记录'!$G$5:$G$304,MATCH(A343,'交易记录'!$A$5:$A$304,0)),1),1))</f>
        <v/>
      </c>
      <c r="J343" s="41" t="str">
        <f>IF(ISNUMBER(H343),ROUND('参数'!$C$11+H343*I343*'参数'!$C$12+F343*'参数'!$C$13,2),"")</f>
        <v/>
      </c>
      <c r="K343" s="22" t="n"/>
      <c r="L343" s="20" t="str">
        <f>IF(ISNUMBER(K343),K343,IF(ISNUMBER(H343),J343,""))</f>
        <v/>
      </c>
      <c r="M343" s="46" t="str">
        <f>IF(AND(ISNUMBER(E343),ISNUMBER(G343),ISNUMBER(F343)),(E343-G343)*IF(D343="卖",-1,1)*F343*I343,"")</f>
        <v/>
      </c>
      <c r="N343" s="38" t="str">
        <f>IF(A343="","",IFERROR(T(INDEX('交易记录'!$C$5:$C$304,MATCH(A343,'交易记录'!$A$5:$A$304,0))),"编号没找到"))</f>
        <v/>
      </c>
      <c r="O343" s="31" t="n"/>
    </row>
    <row r="344">
      <c r="A344" s="29" t="n"/>
      <c r="B344" s="30" t="n"/>
      <c r="C344" s="27" t="n"/>
      <c r="D344" s="32" t="n"/>
      <c r="E344" s="33" t="n"/>
      <c r="F344" s="36" t="n"/>
      <c r="G344" s="33" t="n"/>
      <c r="H344" s="20" t="str">
        <f>IF(AND(ISNUMBER(E344),ISNUMBER(F344)),E344*F344,"")</f>
        <v/>
      </c>
      <c r="I344" s="38" t="str">
        <f>IF(A344="","",IFERROR(IF(N(INDEX('交易记录'!$G$5:$G$304,MATCH(A344,'交易记录'!$A$5:$A$304,0)))&gt;0,INDEX('交易记录'!$G$5:$G$304,MATCH(A344,'交易记录'!$A$5:$A$304,0)),1),1))</f>
        <v/>
      </c>
      <c r="J344" s="41" t="str">
        <f>IF(ISNUMBER(H344),ROUND('参数'!$C$11+H344*I344*'参数'!$C$12+F344*'参数'!$C$13,2),"")</f>
        <v/>
      </c>
      <c r="K344" s="22" t="n"/>
      <c r="L344" s="20" t="str">
        <f>IF(ISNUMBER(K344),K344,IF(ISNUMBER(H344),J344,""))</f>
        <v/>
      </c>
      <c r="M344" s="46" t="str">
        <f>IF(AND(ISNUMBER(E344),ISNUMBER(G344),ISNUMBER(F344)),(E344-G344)*IF(D344="卖",-1,1)*F344*I344,"")</f>
        <v/>
      </c>
      <c r="N344" s="38" t="str">
        <f>IF(A344="","",IFERROR(T(INDEX('交易记录'!$C$5:$C$304,MATCH(A344,'交易记录'!$A$5:$A$304,0))),"编号没找到"))</f>
        <v/>
      </c>
      <c r="O344" s="31" t="n"/>
    </row>
    <row r="345">
      <c r="A345" s="29" t="n"/>
      <c r="B345" s="30" t="n"/>
      <c r="C345" s="27" t="n"/>
      <c r="D345" s="32" t="n"/>
      <c r="E345" s="33" t="n"/>
      <c r="F345" s="36" t="n"/>
      <c r="G345" s="33" t="n"/>
      <c r="H345" s="20" t="str">
        <f>IF(AND(ISNUMBER(E345),ISNUMBER(F345)),E345*F345,"")</f>
        <v/>
      </c>
      <c r="I345" s="38" t="str">
        <f>IF(A345="","",IFERROR(IF(N(INDEX('交易记录'!$G$5:$G$304,MATCH(A345,'交易记录'!$A$5:$A$304,0)))&gt;0,INDEX('交易记录'!$G$5:$G$304,MATCH(A345,'交易记录'!$A$5:$A$304,0)),1),1))</f>
        <v/>
      </c>
      <c r="J345" s="41" t="str">
        <f>IF(ISNUMBER(H345),ROUND('参数'!$C$11+H345*I345*'参数'!$C$12+F345*'参数'!$C$13,2),"")</f>
        <v/>
      </c>
      <c r="K345" s="22" t="n"/>
      <c r="L345" s="20" t="str">
        <f>IF(ISNUMBER(K345),K345,IF(ISNUMBER(H345),J345,""))</f>
        <v/>
      </c>
      <c r="M345" s="46" t="str">
        <f>IF(AND(ISNUMBER(E345),ISNUMBER(G345),ISNUMBER(F345)),(E345-G345)*IF(D345="卖",-1,1)*F345*I345,"")</f>
        <v/>
      </c>
      <c r="N345" s="38" t="str">
        <f>IF(A345="","",IFERROR(T(INDEX('交易记录'!$C$5:$C$304,MATCH(A345,'交易记录'!$A$5:$A$304,0))),"编号没找到"))</f>
        <v/>
      </c>
      <c r="O345" s="31" t="n"/>
    </row>
    <row r="346">
      <c r="A346" s="29" t="n"/>
      <c r="B346" s="30" t="n"/>
      <c r="C346" s="27" t="n"/>
      <c r="D346" s="32" t="n"/>
      <c r="E346" s="33" t="n"/>
      <c r="F346" s="36" t="n"/>
      <c r="G346" s="33" t="n"/>
      <c r="H346" s="20" t="str">
        <f>IF(AND(ISNUMBER(E346),ISNUMBER(F346)),E346*F346,"")</f>
        <v/>
      </c>
      <c r="I346" s="38" t="str">
        <f>IF(A346="","",IFERROR(IF(N(INDEX('交易记录'!$G$5:$G$304,MATCH(A346,'交易记录'!$A$5:$A$304,0)))&gt;0,INDEX('交易记录'!$G$5:$G$304,MATCH(A346,'交易记录'!$A$5:$A$304,0)),1),1))</f>
        <v/>
      </c>
      <c r="J346" s="41" t="str">
        <f>IF(ISNUMBER(H346),ROUND('参数'!$C$11+H346*I346*'参数'!$C$12+F346*'参数'!$C$13,2),"")</f>
        <v/>
      </c>
      <c r="K346" s="22" t="n"/>
      <c r="L346" s="20" t="str">
        <f>IF(ISNUMBER(K346),K346,IF(ISNUMBER(H346),J346,""))</f>
        <v/>
      </c>
      <c r="M346" s="46" t="str">
        <f>IF(AND(ISNUMBER(E346),ISNUMBER(G346),ISNUMBER(F346)),(E346-G346)*IF(D346="卖",-1,1)*F346*I346,"")</f>
        <v/>
      </c>
      <c r="N346" s="38" t="str">
        <f>IF(A346="","",IFERROR(T(INDEX('交易记录'!$C$5:$C$304,MATCH(A346,'交易记录'!$A$5:$A$304,0))),"编号没找到"))</f>
        <v/>
      </c>
      <c r="O346" s="31" t="n"/>
    </row>
    <row r="347">
      <c r="A347" s="29" t="n"/>
      <c r="B347" s="30" t="n"/>
      <c r="C347" s="27" t="n"/>
      <c r="D347" s="32" t="n"/>
      <c r="E347" s="33" t="n"/>
      <c r="F347" s="36" t="n"/>
      <c r="G347" s="33" t="n"/>
      <c r="H347" s="20" t="str">
        <f>IF(AND(ISNUMBER(E347),ISNUMBER(F347)),E347*F347,"")</f>
        <v/>
      </c>
      <c r="I347" s="38" t="str">
        <f>IF(A347="","",IFERROR(IF(N(INDEX('交易记录'!$G$5:$G$304,MATCH(A347,'交易记录'!$A$5:$A$304,0)))&gt;0,INDEX('交易记录'!$G$5:$G$304,MATCH(A347,'交易记录'!$A$5:$A$304,0)),1),1))</f>
        <v/>
      </c>
      <c r="J347" s="41" t="str">
        <f>IF(ISNUMBER(H347),ROUND('参数'!$C$11+H347*I347*'参数'!$C$12+F347*'参数'!$C$13,2),"")</f>
        <v/>
      </c>
      <c r="K347" s="22" t="n"/>
      <c r="L347" s="20" t="str">
        <f>IF(ISNUMBER(K347),K347,IF(ISNUMBER(H347),J347,""))</f>
        <v/>
      </c>
      <c r="M347" s="46" t="str">
        <f>IF(AND(ISNUMBER(E347),ISNUMBER(G347),ISNUMBER(F347)),(E347-G347)*IF(D347="卖",-1,1)*F347*I347,"")</f>
        <v/>
      </c>
      <c r="N347" s="38" t="str">
        <f>IF(A347="","",IFERROR(T(INDEX('交易记录'!$C$5:$C$304,MATCH(A347,'交易记录'!$A$5:$A$304,0))),"编号没找到"))</f>
        <v/>
      </c>
      <c r="O347" s="31" t="n"/>
    </row>
    <row r="348">
      <c r="A348" s="29" t="n"/>
      <c r="B348" s="30" t="n"/>
      <c r="C348" s="27" t="n"/>
      <c r="D348" s="32" t="n"/>
      <c r="E348" s="33" t="n"/>
      <c r="F348" s="36" t="n"/>
      <c r="G348" s="33" t="n"/>
      <c r="H348" s="20" t="str">
        <f>IF(AND(ISNUMBER(E348),ISNUMBER(F348)),E348*F348,"")</f>
        <v/>
      </c>
      <c r="I348" s="38" t="str">
        <f>IF(A348="","",IFERROR(IF(N(INDEX('交易记录'!$G$5:$G$304,MATCH(A348,'交易记录'!$A$5:$A$304,0)))&gt;0,INDEX('交易记录'!$G$5:$G$304,MATCH(A348,'交易记录'!$A$5:$A$304,0)),1),1))</f>
        <v/>
      </c>
      <c r="J348" s="41" t="str">
        <f>IF(ISNUMBER(H348),ROUND('参数'!$C$11+H348*I348*'参数'!$C$12+F348*'参数'!$C$13,2),"")</f>
        <v/>
      </c>
      <c r="K348" s="22" t="n"/>
      <c r="L348" s="20" t="str">
        <f>IF(ISNUMBER(K348),K348,IF(ISNUMBER(H348),J348,""))</f>
        <v/>
      </c>
      <c r="M348" s="46" t="str">
        <f>IF(AND(ISNUMBER(E348),ISNUMBER(G348),ISNUMBER(F348)),(E348-G348)*IF(D348="卖",-1,1)*F348*I348,"")</f>
        <v/>
      </c>
      <c r="N348" s="38" t="str">
        <f>IF(A348="","",IFERROR(T(INDEX('交易记录'!$C$5:$C$304,MATCH(A348,'交易记录'!$A$5:$A$304,0))),"编号没找到"))</f>
        <v/>
      </c>
      <c r="O348" s="31" t="n"/>
    </row>
    <row r="349">
      <c r="A349" s="29" t="n"/>
      <c r="B349" s="30" t="n"/>
      <c r="C349" s="27" t="n"/>
      <c r="D349" s="32" t="n"/>
      <c r="E349" s="33" t="n"/>
      <c r="F349" s="36" t="n"/>
      <c r="G349" s="33" t="n"/>
      <c r="H349" s="20" t="str">
        <f>IF(AND(ISNUMBER(E349),ISNUMBER(F349)),E349*F349,"")</f>
        <v/>
      </c>
      <c r="I349" s="38" t="str">
        <f>IF(A349="","",IFERROR(IF(N(INDEX('交易记录'!$G$5:$G$304,MATCH(A349,'交易记录'!$A$5:$A$304,0)))&gt;0,INDEX('交易记录'!$G$5:$G$304,MATCH(A349,'交易记录'!$A$5:$A$304,0)),1),1))</f>
        <v/>
      </c>
      <c r="J349" s="41" t="str">
        <f>IF(ISNUMBER(H349),ROUND('参数'!$C$11+H349*I349*'参数'!$C$12+F349*'参数'!$C$13,2),"")</f>
        <v/>
      </c>
      <c r="K349" s="22" t="n"/>
      <c r="L349" s="20" t="str">
        <f>IF(ISNUMBER(K349),K349,IF(ISNUMBER(H349),J349,""))</f>
        <v/>
      </c>
      <c r="M349" s="46" t="str">
        <f>IF(AND(ISNUMBER(E349),ISNUMBER(G349),ISNUMBER(F349)),(E349-G349)*IF(D349="卖",-1,1)*F349*I349,"")</f>
        <v/>
      </c>
      <c r="N349" s="38" t="str">
        <f>IF(A349="","",IFERROR(T(INDEX('交易记录'!$C$5:$C$304,MATCH(A349,'交易记录'!$A$5:$A$304,0))),"编号没找到"))</f>
        <v/>
      </c>
      <c r="O349" s="31" t="n"/>
    </row>
    <row r="350">
      <c r="A350" s="29" t="n"/>
      <c r="B350" s="30" t="n"/>
      <c r="C350" s="27" t="n"/>
      <c r="D350" s="32" t="n"/>
      <c r="E350" s="33" t="n"/>
      <c r="F350" s="36" t="n"/>
      <c r="G350" s="33" t="n"/>
      <c r="H350" s="20" t="str">
        <f>IF(AND(ISNUMBER(E350),ISNUMBER(F350)),E350*F350,"")</f>
        <v/>
      </c>
      <c r="I350" s="38" t="str">
        <f>IF(A350="","",IFERROR(IF(N(INDEX('交易记录'!$G$5:$G$304,MATCH(A350,'交易记录'!$A$5:$A$304,0)))&gt;0,INDEX('交易记录'!$G$5:$G$304,MATCH(A350,'交易记录'!$A$5:$A$304,0)),1),1))</f>
        <v/>
      </c>
      <c r="J350" s="41" t="str">
        <f>IF(ISNUMBER(H350),ROUND('参数'!$C$11+H350*I350*'参数'!$C$12+F350*'参数'!$C$13,2),"")</f>
        <v/>
      </c>
      <c r="K350" s="22" t="n"/>
      <c r="L350" s="20" t="str">
        <f>IF(ISNUMBER(K350),K350,IF(ISNUMBER(H350),J350,""))</f>
        <v/>
      </c>
      <c r="M350" s="46" t="str">
        <f>IF(AND(ISNUMBER(E350),ISNUMBER(G350),ISNUMBER(F350)),(E350-G350)*IF(D350="卖",-1,1)*F350*I350,"")</f>
        <v/>
      </c>
      <c r="N350" s="38" t="str">
        <f>IF(A350="","",IFERROR(T(INDEX('交易记录'!$C$5:$C$304,MATCH(A350,'交易记录'!$A$5:$A$304,0))),"编号没找到"))</f>
        <v/>
      </c>
      <c r="O350" s="31" t="n"/>
    </row>
    <row r="351">
      <c r="A351" s="29" t="n"/>
      <c r="B351" s="30" t="n"/>
      <c r="C351" s="27" t="n"/>
      <c r="D351" s="32" t="n"/>
      <c r="E351" s="33" t="n"/>
      <c r="F351" s="36" t="n"/>
      <c r="G351" s="33" t="n"/>
      <c r="H351" s="20" t="str">
        <f>IF(AND(ISNUMBER(E351),ISNUMBER(F351)),E351*F351,"")</f>
        <v/>
      </c>
      <c r="I351" s="38" t="str">
        <f>IF(A351="","",IFERROR(IF(N(INDEX('交易记录'!$G$5:$G$304,MATCH(A351,'交易记录'!$A$5:$A$304,0)))&gt;0,INDEX('交易记录'!$G$5:$G$304,MATCH(A351,'交易记录'!$A$5:$A$304,0)),1),1))</f>
        <v/>
      </c>
      <c r="J351" s="41" t="str">
        <f>IF(ISNUMBER(H351),ROUND('参数'!$C$11+H351*I351*'参数'!$C$12+F351*'参数'!$C$13,2),"")</f>
        <v/>
      </c>
      <c r="K351" s="22" t="n"/>
      <c r="L351" s="20" t="str">
        <f>IF(ISNUMBER(K351),K351,IF(ISNUMBER(H351),J351,""))</f>
        <v/>
      </c>
      <c r="M351" s="46" t="str">
        <f>IF(AND(ISNUMBER(E351),ISNUMBER(G351),ISNUMBER(F351)),(E351-G351)*IF(D351="卖",-1,1)*F351*I351,"")</f>
        <v/>
      </c>
      <c r="N351" s="38" t="str">
        <f>IF(A351="","",IFERROR(T(INDEX('交易记录'!$C$5:$C$304,MATCH(A351,'交易记录'!$A$5:$A$304,0))),"编号没找到"))</f>
        <v/>
      </c>
      <c r="O351" s="31" t="n"/>
    </row>
    <row r="352">
      <c r="A352" s="29" t="n"/>
      <c r="B352" s="30" t="n"/>
      <c r="C352" s="27" t="n"/>
      <c r="D352" s="32" t="n"/>
      <c r="E352" s="33" t="n"/>
      <c r="F352" s="36" t="n"/>
      <c r="G352" s="33" t="n"/>
      <c r="H352" s="20" t="str">
        <f>IF(AND(ISNUMBER(E352),ISNUMBER(F352)),E352*F352,"")</f>
        <v/>
      </c>
      <c r="I352" s="38" t="str">
        <f>IF(A352="","",IFERROR(IF(N(INDEX('交易记录'!$G$5:$G$304,MATCH(A352,'交易记录'!$A$5:$A$304,0)))&gt;0,INDEX('交易记录'!$G$5:$G$304,MATCH(A352,'交易记录'!$A$5:$A$304,0)),1),1))</f>
        <v/>
      </c>
      <c r="J352" s="41" t="str">
        <f>IF(ISNUMBER(H352),ROUND('参数'!$C$11+H352*I352*'参数'!$C$12+F352*'参数'!$C$13,2),"")</f>
        <v/>
      </c>
      <c r="K352" s="22" t="n"/>
      <c r="L352" s="20" t="str">
        <f>IF(ISNUMBER(K352),K352,IF(ISNUMBER(H352),J352,""))</f>
        <v/>
      </c>
      <c r="M352" s="46" t="str">
        <f>IF(AND(ISNUMBER(E352),ISNUMBER(G352),ISNUMBER(F352)),(E352-G352)*IF(D352="卖",-1,1)*F352*I352,"")</f>
        <v/>
      </c>
      <c r="N352" s="38" t="str">
        <f>IF(A352="","",IFERROR(T(INDEX('交易记录'!$C$5:$C$304,MATCH(A352,'交易记录'!$A$5:$A$304,0))),"编号没找到"))</f>
        <v/>
      </c>
      <c r="O352" s="31" t="n"/>
    </row>
    <row r="353">
      <c r="A353" s="29" t="n"/>
      <c r="B353" s="30" t="n"/>
      <c r="C353" s="27" t="n"/>
      <c r="D353" s="32" t="n"/>
      <c r="E353" s="33" t="n"/>
      <c r="F353" s="36" t="n"/>
      <c r="G353" s="33" t="n"/>
      <c r="H353" s="20" t="str">
        <f>IF(AND(ISNUMBER(E353),ISNUMBER(F353)),E353*F353,"")</f>
        <v/>
      </c>
      <c r="I353" s="38" t="str">
        <f>IF(A353="","",IFERROR(IF(N(INDEX('交易记录'!$G$5:$G$304,MATCH(A353,'交易记录'!$A$5:$A$304,0)))&gt;0,INDEX('交易记录'!$G$5:$G$304,MATCH(A353,'交易记录'!$A$5:$A$304,0)),1),1))</f>
        <v/>
      </c>
      <c r="J353" s="41" t="str">
        <f>IF(ISNUMBER(H353),ROUND('参数'!$C$11+H353*I353*'参数'!$C$12+F353*'参数'!$C$13,2),"")</f>
        <v/>
      </c>
      <c r="K353" s="22" t="n"/>
      <c r="L353" s="20" t="str">
        <f>IF(ISNUMBER(K353),K353,IF(ISNUMBER(H353),J353,""))</f>
        <v/>
      </c>
      <c r="M353" s="46" t="str">
        <f>IF(AND(ISNUMBER(E353),ISNUMBER(G353),ISNUMBER(F353)),(E353-G353)*IF(D353="卖",-1,1)*F353*I353,"")</f>
        <v/>
      </c>
      <c r="N353" s="38" t="str">
        <f>IF(A353="","",IFERROR(T(INDEX('交易记录'!$C$5:$C$304,MATCH(A353,'交易记录'!$A$5:$A$304,0))),"编号没找到"))</f>
        <v/>
      </c>
      <c r="O353" s="31" t="n"/>
    </row>
    <row r="354">
      <c r="A354" s="29" t="n"/>
      <c r="B354" s="30" t="n"/>
      <c r="C354" s="27" t="n"/>
      <c r="D354" s="32" t="n"/>
      <c r="E354" s="33" t="n"/>
      <c r="F354" s="36" t="n"/>
      <c r="G354" s="33" t="n"/>
      <c r="H354" s="20" t="str">
        <f>IF(AND(ISNUMBER(E354),ISNUMBER(F354)),E354*F354,"")</f>
        <v/>
      </c>
      <c r="I354" s="38" t="str">
        <f>IF(A354="","",IFERROR(IF(N(INDEX('交易记录'!$G$5:$G$304,MATCH(A354,'交易记录'!$A$5:$A$304,0)))&gt;0,INDEX('交易记录'!$G$5:$G$304,MATCH(A354,'交易记录'!$A$5:$A$304,0)),1),1))</f>
        <v/>
      </c>
      <c r="J354" s="41" t="str">
        <f>IF(ISNUMBER(H354),ROUND('参数'!$C$11+H354*I354*'参数'!$C$12+F354*'参数'!$C$13,2),"")</f>
        <v/>
      </c>
      <c r="K354" s="22" t="n"/>
      <c r="L354" s="20" t="str">
        <f>IF(ISNUMBER(K354),K354,IF(ISNUMBER(H354),J354,""))</f>
        <v/>
      </c>
      <c r="M354" s="46" t="str">
        <f>IF(AND(ISNUMBER(E354),ISNUMBER(G354),ISNUMBER(F354)),(E354-G354)*IF(D354="卖",-1,1)*F354*I354,"")</f>
        <v/>
      </c>
      <c r="N354" s="38" t="str">
        <f>IF(A354="","",IFERROR(T(INDEX('交易记录'!$C$5:$C$304,MATCH(A354,'交易记录'!$A$5:$A$304,0))),"编号没找到"))</f>
        <v/>
      </c>
      <c r="O354" s="31" t="n"/>
    </row>
    <row r="355">
      <c r="A355" s="29" t="n"/>
      <c r="B355" s="30" t="n"/>
      <c r="C355" s="27" t="n"/>
      <c r="D355" s="32" t="n"/>
      <c r="E355" s="33" t="n"/>
      <c r="F355" s="36" t="n"/>
      <c r="G355" s="33" t="n"/>
      <c r="H355" s="20" t="str">
        <f>IF(AND(ISNUMBER(E355),ISNUMBER(F355)),E355*F355,"")</f>
        <v/>
      </c>
      <c r="I355" s="38" t="str">
        <f>IF(A355="","",IFERROR(IF(N(INDEX('交易记录'!$G$5:$G$304,MATCH(A355,'交易记录'!$A$5:$A$304,0)))&gt;0,INDEX('交易记录'!$G$5:$G$304,MATCH(A355,'交易记录'!$A$5:$A$304,0)),1),1))</f>
        <v/>
      </c>
      <c r="J355" s="41" t="str">
        <f>IF(ISNUMBER(H355),ROUND('参数'!$C$11+H355*I355*'参数'!$C$12+F355*'参数'!$C$13,2),"")</f>
        <v/>
      </c>
      <c r="K355" s="22" t="n"/>
      <c r="L355" s="20" t="str">
        <f>IF(ISNUMBER(K355),K355,IF(ISNUMBER(H355),J355,""))</f>
        <v/>
      </c>
      <c r="M355" s="46" t="str">
        <f>IF(AND(ISNUMBER(E355),ISNUMBER(G355),ISNUMBER(F355)),(E355-G355)*IF(D355="卖",-1,1)*F355*I355,"")</f>
        <v/>
      </c>
      <c r="N355" s="38" t="str">
        <f>IF(A355="","",IFERROR(T(INDEX('交易记录'!$C$5:$C$304,MATCH(A355,'交易记录'!$A$5:$A$304,0))),"编号没找到"))</f>
        <v/>
      </c>
      <c r="O355" s="31" t="n"/>
    </row>
    <row r="356">
      <c r="A356" s="29" t="n"/>
      <c r="B356" s="30" t="n"/>
      <c r="C356" s="27" t="n"/>
      <c r="D356" s="32" t="n"/>
      <c r="E356" s="33" t="n"/>
      <c r="F356" s="36" t="n"/>
      <c r="G356" s="33" t="n"/>
      <c r="H356" s="20" t="str">
        <f>IF(AND(ISNUMBER(E356),ISNUMBER(F356)),E356*F356,"")</f>
        <v/>
      </c>
      <c r="I356" s="38" t="str">
        <f>IF(A356="","",IFERROR(IF(N(INDEX('交易记录'!$G$5:$G$304,MATCH(A356,'交易记录'!$A$5:$A$304,0)))&gt;0,INDEX('交易记录'!$G$5:$G$304,MATCH(A356,'交易记录'!$A$5:$A$304,0)),1),1))</f>
        <v/>
      </c>
      <c r="J356" s="41" t="str">
        <f>IF(ISNUMBER(H356),ROUND('参数'!$C$11+H356*I356*'参数'!$C$12+F356*'参数'!$C$13,2),"")</f>
        <v/>
      </c>
      <c r="K356" s="22" t="n"/>
      <c r="L356" s="20" t="str">
        <f>IF(ISNUMBER(K356),K356,IF(ISNUMBER(H356),J356,""))</f>
        <v/>
      </c>
      <c r="M356" s="46" t="str">
        <f>IF(AND(ISNUMBER(E356),ISNUMBER(G356),ISNUMBER(F356)),(E356-G356)*IF(D356="卖",-1,1)*F356*I356,"")</f>
        <v/>
      </c>
      <c r="N356" s="38" t="str">
        <f>IF(A356="","",IFERROR(T(INDEX('交易记录'!$C$5:$C$304,MATCH(A356,'交易记录'!$A$5:$A$304,0))),"编号没找到"))</f>
        <v/>
      </c>
      <c r="O356" s="31" t="n"/>
    </row>
    <row r="357">
      <c r="A357" s="29" t="n"/>
      <c r="B357" s="30" t="n"/>
      <c r="C357" s="27" t="n"/>
      <c r="D357" s="32" t="n"/>
      <c r="E357" s="33" t="n"/>
      <c r="F357" s="36" t="n"/>
      <c r="G357" s="33" t="n"/>
      <c r="H357" s="20" t="str">
        <f>IF(AND(ISNUMBER(E357),ISNUMBER(F357)),E357*F357,"")</f>
        <v/>
      </c>
      <c r="I357" s="38" t="str">
        <f>IF(A357="","",IFERROR(IF(N(INDEX('交易记录'!$G$5:$G$304,MATCH(A357,'交易记录'!$A$5:$A$304,0)))&gt;0,INDEX('交易记录'!$G$5:$G$304,MATCH(A357,'交易记录'!$A$5:$A$304,0)),1),1))</f>
        <v/>
      </c>
      <c r="J357" s="41" t="str">
        <f>IF(ISNUMBER(H357),ROUND('参数'!$C$11+H357*I357*'参数'!$C$12+F357*'参数'!$C$13,2),"")</f>
        <v/>
      </c>
      <c r="K357" s="22" t="n"/>
      <c r="L357" s="20" t="str">
        <f>IF(ISNUMBER(K357),K357,IF(ISNUMBER(H357),J357,""))</f>
        <v/>
      </c>
      <c r="M357" s="46" t="str">
        <f>IF(AND(ISNUMBER(E357),ISNUMBER(G357),ISNUMBER(F357)),(E357-G357)*IF(D357="卖",-1,1)*F357*I357,"")</f>
        <v/>
      </c>
      <c r="N357" s="38" t="str">
        <f>IF(A357="","",IFERROR(T(INDEX('交易记录'!$C$5:$C$304,MATCH(A357,'交易记录'!$A$5:$A$304,0))),"编号没找到"))</f>
        <v/>
      </c>
      <c r="O357" s="31" t="n"/>
    </row>
    <row r="358">
      <c r="A358" s="29" t="n"/>
      <c r="B358" s="30" t="n"/>
      <c r="C358" s="27" t="n"/>
      <c r="D358" s="32" t="n"/>
      <c r="E358" s="33" t="n"/>
      <c r="F358" s="36" t="n"/>
      <c r="G358" s="33" t="n"/>
      <c r="H358" s="20" t="str">
        <f>IF(AND(ISNUMBER(E358),ISNUMBER(F358)),E358*F358,"")</f>
        <v/>
      </c>
      <c r="I358" s="38" t="str">
        <f>IF(A358="","",IFERROR(IF(N(INDEX('交易记录'!$G$5:$G$304,MATCH(A358,'交易记录'!$A$5:$A$304,0)))&gt;0,INDEX('交易记录'!$G$5:$G$304,MATCH(A358,'交易记录'!$A$5:$A$304,0)),1),1))</f>
        <v/>
      </c>
      <c r="J358" s="41" t="str">
        <f>IF(ISNUMBER(H358),ROUND('参数'!$C$11+H358*I358*'参数'!$C$12+F358*'参数'!$C$13,2),"")</f>
        <v/>
      </c>
      <c r="K358" s="22" t="n"/>
      <c r="L358" s="20" t="str">
        <f>IF(ISNUMBER(K358),K358,IF(ISNUMBER(H358),J358,""))</f>
        <v/>
      </c>
      <c r="M358" s="46" t="str">
        <f>IF(AND(ISNUMBER(E358),ISNUMBER(G358),ISNUMBER(F358)),(E358-G358)*IF(D358="卖",-1,1)*F358*I358,"")</f>
        <v/>
      </c>
      <c r="N358" s="38" t="str">
        <f>IF(A358="","",IFERROR(T(INDEX('交易记录'!$C$5:$C$304,MATCH(A358,'交易记录'!$A$5:$A$304,0))),"编号没找到"))</f>
        <v/>
      </c>
      <c r="O358" s="31" t="n"/>
    </row>
    <row r="359">
      <c r="A359" s="29" t="n"/>
      <c r="B359" s="30" t="n"/>
      <c r="C359" s="27" t="n"/>
      <c r="D359" s="32" t="n"/>
      <c r="E359" s="33" t="n"/>
      <c r="F359" s="36" t="n"/>
      <c r="G359" s="33" t="n"/>
      <c r="H359" s="20" t="str">
        <f>IF(AND(ISNUMBER(E359),ISNUMBER(F359)),E359*F359,"")</f>
        <v/>
      </c>
      <c r="I359" s="38" t="str">
        <f>IF(A359="","",IFERROR(IF(N(INDEX('交易记录'!$G$5:$G$304,MATCH(A359,'交易记录'!$A$5:$A$304,0)))&gt;0,INDEX('交易记录'!$G$5:$G$304,MATCH(A359,'交易记录'!$A$5:$A$304,0)),1),1))</f>
        <v/>
      </c>
      <c r="J359" s="41" t="str">
        <f>IF(ISNUMBER(H359),ROUND('参数'!$C$11+H359*I359*'参数'!$C$12+F359*'参数'!$C$13,2),"")</f>
        <v/>
      </c>
      <c r="K359" s="22" t="n"/>
      <c r="L359" s="20" t="str">
        <f>IF(ISNUMBER(K359),K359,IF(ISNUMBER(H359),J359,""))</f>
        <v/>
      </c>
      <c r="M359" s="46" t="str">
        <f>IF(AND(ISNUMBER(E359),ISNUMBER(G359),ISNUMBER(F359)),(E359-G359)*IF(D359="卖",-1,1)*F359*I359,"")</f>
        <v/>
      </c>
      <c r="N359" s="38" t="str">
        <f>IF(A359="","",IFERROR(T(INDEX('交易记录'!$C$5:$C$304,MATCH(A359,'交易记录'!$A$5:$A$304,0))),"编号没找到"))</f>
        <v/>
      </c>
      <c r="O359" s="31" t="n"/>
    </row>
    <row r="360">
      <c r="A360" s="29" t="n"/>
      <c r="B360" s="30" t="n"/>
      <c r="C360" s="27" t="n"/>
      <c r="D360" s="32" t="n"/>
      <c r="E360" s="33" t="n"/>
      <c r="F360" s="36" t="n"/>
      <c r="G360" s="33" t="n"/>
      <c r="H360" s="20" t="str">
        <f>IF(AND(ISNUMBER(E360),ISNUMBER(F360)),E360*F360,"")</f>
        <v/>
      </c>
      <c r="I360" s="38" t="str">
        <f>IF(A360="","",IFERROR(IF(N(INDEX('交易记录'!$G$5:$G$304,MATCH(A360,'交易记录'!$A$5:$A$304,0)))&gt;0,INDEX('交易记录'!$G$5:$G$304,MATCH(A360,'交易记录'!$A$5:$A$304,0)),1),1))</f>
        <v/>
      </c>
      <c r="J360" s="41" t="str">
        <f>IF(ISNUMBER(H360),ROUND('参数'!$C$11+H360*I360*'参数'!$C$12+F360*'参数'!$C$13,2),"")</f>
        <v/>
      </c>
      <c r="K360" s="22" t="n"/>
      <c r="L360" s="20" t="str">
        <f>IF(ISNUMBER(K360),K360,IF(ISNUMBER(H360),J360,""))</f>
        <v/>
      </c>
      <c r="M360" s="46" t="str">
        <f>IF(AND(ISNUMBER(E360),ISNUMBER(G360),ISNUMBER(F360)),(E360-G360)*IF(D360="卖",-1,1)*F360*I360,"")</f>
        <v/>
      </c>
      <c r="N360" s="38" t="str">
        <f>IF(A360="","",IFERROR(T(INDEX('交易记录'!$C$5:$C$304,MATCH(A360,'交易记录'!$A$5:$A$304,0))),"编号没找到"))</f>
        <v/>
      </c>
      <c r="O360" s="31" t="n"/>
    </row>
    <row r="361">
      <c r="A361" s="29" t="n"/>
      <c r="B361" s="30" t="n"/>
      <c r="C361" s="27" t="n"/>
      <c r="D361" s="32" t="n"/>
      <c r="E361" s="33" t="n"/>
      <c r="F361" s="36" t="n"/>
      <c r="G361" s="33" t="n"/>
      <c r="H361" s="20" t="str">
        <f>IF(AND(ISNUMBER(E361),ISNUMBER(F361)),E361*F361,"")</f>
        <v/>
      </c>
      <c r="I361" s="38" t="str">
        <f>IF(A361="","",IFERROR(IF(N(INDEX('交易记录'!$G$5:$G$304,MATCH(A361,'交易记录'!$A$5:$A$304,0)))&gt;0,INDEX('交易记录'!$G$5:$G$304,MATCH(A361,'交易记录'!$A$5:$A$304,0)),1),1))</f>
        <v/>
      </c>
      <c r="J361" s="41" t="str">
        <f>IF(ISNUMBER(H361),ROUND('参数'!$C$11+H361*I361*'参数'!$C$12+F361*'参数'!$C$13,2),"")</f>
        <v/>
      </c>
      <c r="K361" s="22" t="n"/>
      <c r="L361" s="20" t="str">
        <f>IF(ISNUMBER(K361),K361,IF(ISNUMBER(H361),J361,""))</f>
        <v/>
      </c>
      <c r="M361" s="46" t="str">
        <f>IF(AND(ISNUMBER(E361),ISNUMBER(G361),ISNUMBER(F361)),(E361-G361)*IF(D361="卖",-1,1)*F361*I361,"")</f>
        <v/>
      </c>
      <c r="N361" s="38" t="str">
        <f>IF(A361="","",IFERROR(T(INDEX('交易记录'!$C$5:$C$304,MATCH(A361,'交易记录'!$A$5:$A$304,0))),"编号没找到"))</f>
        <v/>
      </c>
      <c r="O361" s="31" t="n"/>
    </row>
    <row r="362">
      <c r="A362" s="29" t="n"/>
      <c r="B362" s="30" t="n"/>
      <c r="C362" s="27" t="n"/>
      <c r="D362" s="32" t="n"/>
      <c r="E362" s="33" t="n"/>
      <c r="F362" s="36" t="n"/>
      <c r="G362" s="33" t="n"/>
      <c r="H362" s="20" t="str">
        <f>IF(AND(ISNUMBER(E362),ISNUMBER(F362)),E362*F362,"")</f>
        <v/>
      </c>
      <c r="I362" s="38" t="str">
        <f>IF(A362="","",IFERROR(IF(N(INDEX('交易记录'!$G$5:$G$304,MATCH(A362,'交易记录'!$A$5:$A$304,0)))&gt;0,INDEX('交易记录'!$G$5:$G$304,MATCH(A362,'交易记录'!$A$5:$A$304,0)),1),1))</f>
        <v/>
      </c>
      <c r="J362" s="41" t="str">
        <f>IF(ISNUMBER(H362),ROUND('参数'!$C$11+H362*I362*'参数'!$C$12+F362*'参数'!$C$13,2),"")</f>
        <v/>
      </c>
      <c r="K362" s="22" t="n"/>
      <c r="L362" s="20" t="str">
        <f>IF(ISNUMBER(K362),K362,IF(ISNUMBER(H362),J362,""))</f>
        <v/>
      </c>
      <c r="M362" s="46" t="str">
        <f>IF(AND(ISNUMBER(E362),ISNUMBER(G362),ISNUMBER(F362)),(E362-G362)*IF(D362="卖",-1,1)*F362*I362,"")</f>
        <v/>
      </c>
      <c r="N362" s="38" t="str">
        <f>IF(A362="","",IFERROR(T(INDEX('交易记录'!$C$5:$C$304,MATCH(A362,'交易记录'!$A$5:$A$304,0))),"编号没找到"))</f>
        <v/>
      </c>
      <c r="O362" s="31" t="n"/>
    </row>
    <row r="363">
      <c r="A363" s="29" t="n"/>
      <c r="B363" s="30" t="n"/>
      <c r="C363" s="27" t="n"/>
      <c r="D363" s="32" t="n"/>
      <c r="E363" s="33" t="n"/>
      <c r="F363" s="36" t="n"/>
      <c r="G363" s="33" t="n"/>
      <c r="H363" s="20" t="str">
        <f>IF(AND(ISNUMBER(E363),ISNUMBER(F363)),E363*F363,"")</f>
        <v/>
      </c>
      <c r="I363" s="38" t="str">
        <f>IF(A363="","",IFERROR(IF(N(INDEX('交易记录'!$G$5:$G$304,MATCH(A363,'交易记录'!$A$5:$A$304,0)))&gt;0,INDEX('交易记录'!$G$5:$G$304,MATCH(A363,'交易记录'!$A$5:$A$304,0)),1),1))</f>
        <v/>
      </c>
      <c r="J363" s="41" t="str">
        <f>IF(ISNUMBER(H363),ROUND('参数'!$C$11+H363*I363*'参数'!$C$12+F363*'参数'!$C$13,2),"")</f>
        <v/>
      </c>
      <c r="K363" s="22" t="n"/>
      <c r="L363" s="20" t="str">
        <f>IF(ISNUMBER(K363),K363,IF(ISNUMBER(H363),J363,""))</f>
        <v/>
      </c>
      <c r="M363" s="46" t="str">
        <f>IF(AND(ISNUMBER(E363),ISNUMBER(G363),ISNUMBER(F363)),(E363-G363)*IF(D363="卖",-1,1)*F363*I363,"")</f>
        <v/>
      </c>
      <c r="N363" s="38" t="str">
        <f>IF(A363="","",IFERROR(T(INDEX('交易记录'!$C$5:$C$304,MATCH(A363,'交易记录'!$A$5:$A$304,0))),"编号没找到"))</f>
        <v/>
      </c>
      <c r="O363" s="31" t="n"/>
    </row>
    <row r="364">
      <c r="A364" s="29" t="n"/>
      <c r="B364" s="30" t="n"/>
      <c r="C364" s="27" t="n"/>
      <c r="D364" s="32" t="n"/>
      <c r="E364" s="33" t="n"/>
      <c r="F364" s="36" t="n"/>
      <c r="G364" s="33" t="n"/>
      <c r="H364" s="20" t="str">
        <f>IF(AND(ISNUMBER(E364),ISNUMBER(F364)),E364*F364,"")</f>
        <v/>
      </c>
      <c r="I364" s="38" t="str">
        <f>IF(A364="","",IFERROR(IF(N(INDEX('交易记录'!$G$5:$G$304,MATCH(A364,'交易记录'!$A$5:$A$304,0)))&gt;0,INDEX('交易记录'!$G$5:$G$304,MATCH(A364,'交易记录'!$A$5:$A$304,0)),1),1))</f>
        <v/>
      </c>
      <c r="J364" s="41" t="str">
        <f>IF(ISNUMBER(H364),ROUND('参数'!$C$11+H364*I364*'参数'!$C$12+F364*'参数'!$C$13,2),"")</f>
        <v/>
      </c>
      <c r="K364" s="22" t="n"/>
      <c r="L364" s="20" t="str">
        <f>IF(ISNUMBER(K364),K364,IF(ISNUMBER(H364),J364,""))</f>
        <v/>
      </c>
      <c r="M364" s="46" t="str">
        <f>IF(AND(ISNUMBER(E364),ISNUMBER(G364),ISNUMBER(F364)),(E364-G364)*IF(D364="卖",-1,1)*F364*I364,"")</f>
        <v/>
      </c>
      <c r="N364" s="38" t="str">
        <f>IF(A364="","",IFERROR(T(INDEX('交易记录'!$C$5:$C$304,MATCH(A364,'交易记录'!$A$5:$A$304,0))),"编号没找到"))</f>
        <v/>
      </c>
      <c r="O364" s="31" t="n"/>
    </row>
    <row r="365">
      <c r="A365" s="29" t="n"/>
      <c r="B365" s="30" t="n"/>
      <c r="C365" s="27" t="n"/>
      <c r="D365" s="32" t="n"/>
      <c r="E365" s="33" t="n"/>
      <c r="F365" s="36" t="n"/>
      <c r="G365" s="33" t="n"/>
      <c r="H365" s="20" t="str">
        <f>IF(AND(ISNUMBER(E365),ISNUMBER(F365)),E365*F365,"")</f>
        <v/>
      </c>
      <c r="I365" s="38" t="str">
        <f>IF(A365="","",IFERROR(IF(N(INDEX('交易记录'!$G$5:$G$304,MATCH(A365,'交易记录'!$A$5:$A$304,0)))&gt;0,INDEX('交易记录'!$G$5:$G$304,MATCH(A365,'交易记录'!$A$5:$A$304,0)),1),1))</f>
        <v/>
      </c>
      <c r="J365" s="41" t="str">
        <f>IF(ISNUMBER(H365),ROUND('参数'!$C$11+H365*I365*'参数'!$C$12+F365*'参数'!$C$13,2),"")</f>
        <v/>
      </c>
      <c r="K365" s="22" t="n"/>
      <c r="L365" s="20" t="str">
        <f>IF(ISNUMBER(K365),K365,IF(ISNUMBER(H365),J365,""))</f>
        <v/>
      </c>
      <c r="M365" s="46" t="str">
        <f>IF(AND(ISNUMBER(E365),ISNUMBER(G365),ISNUMBER(F365)),(E365-G365)*IF(D365="卖",-1,1)*F365*I365,"")</f>
        <v/>
      </c>
      <c r="N365" s="38" t="str">
        <f>IF(A365="","",IFERROR(T(INDEX('交易记录'!$C$5:$C$304,MATCH(A365,'交易记录'!$A$5:$A$304,0))),"编号没找到"))</f>
        <v/>
      </c>
      <c r="O365" s="31" t="n"/>
    </row>
    <row r="366">
      <c r="A366" s="29" t="n"/>
      <c r="B366" s="30" t="n"/>
      <c r="C366" s="27" t="n"/>
      <c r="D366" s="32" t="n"/>
      <c r="E366" s="33" t="n"/>
      <c r="F366" s="36" t="n"/>
      <c r="G366" s="33" t="n"/>
      <c r="H366" s="20" t="str">
        <f>IF(AND(ISNUMBER(E366),ISNUMBER(F366)),E366*F366,"")</f>
        <v/>
      </c>
      <c r="I366" s="38" t="str">
        <f>IF(A366="","",IFERROR(IF(N(INDEX('交易记录'!$G$5:$G$304,MATCH(A366,'交易记录'!$A$5:$A$304,0)))&gt;0,INDEX('交易记录'!$G$5:$G$304,MATCH(A366,'交易记录'!$A$5:$A$304,0)),1),1))</f>
        <v/>
      </c>
      <c r="J366" s="41" t="str">
        <f>IF(ISNUMBER(H366),ROUND('参数'!$C$11+H366*I366*'参数'!$C$12+F366*'参数'!$C$13,2),"")</f>
        <v/>
      </c>
      <c r="K366" s="22" t="n"/>
      <c r="L366" s="20" t="str">
        <f>IF(ISNUMBER(K366),K366,IF(ISNUMBER(H366),J366,""))</f>
        <v/>
      </c>
      <c r="M366" s="46" t="str">
        <f>IF(AND(ISNUMBER(E366),ISNUMBER(G366),ISNUMBER(F366)),(E366-G366)*IF(D366="卖",-1,1)*F366*I366,"")</f>
        <v/>
      </c>
      <c r="N366" s="38" t="str">
        <f>IF(A366="","",IFERROR(T(INDEX('交易记录'!$C$5:$C$304,MATCH(A366,'交易记录'!$A$5:$A$304,0))),"编号没找到"))</f>
        <v/>
      </c>
      <c r="O366" s="31" t="n"/>
    </row>
    <row r="367">
      <c r="A367" s="29" t="n"/>
      <c r="B367" s="30" t="n"/>
      <c r="C367" s="27" t="n"/>
      <c r="D367" s="32" t="n"/>
      <c r="E367" s="33" t="n"/>
      <c r="F367" s="36" t="n"/>
      <c r="G367" s="33" t="n"/>
      <c r="H367" s="20" t="str">
        <f>IF(AND(ISNUMBER(E367),ISNUMBER(F367)),E367*F367,"")</f>
        <v/>
      </c>
      <c r="I367" s="38" t="str">
        <f>IF(A367="","",IFERROR(IF(N(INDEX('交易记录'!$G$5:$G$304,MATCH(A367,'交易记录'!$A$5:$A$304,0)))&gt;0,INDEX('交易记录'!$G$5:$G$304,MATCH(A367,'交易记录'!$A$5:$A$304,0)),1),1))</f>
        <v/>
      </c>
      <c r="J367" s="41" t="str">
        <f>IF(ISNUMBER(H367),ROUND('参数'!$C$11+H367*I367*'参数'!$C$12+F367*'参数'!$C$13,2),"")</f>
        <v/>
      </c>
      <c r="K367" s="22" t="n"/>
      <c r="L367" s="20" t="str">
        <f>IF(ISNUMBER(K367),K367,IF(ISNUMBER(H367),J367,""))</f>
        <v/>
      </c>
      <c r="M367" s="46" t="str">
        <f>IF(AND(ISNUMBER(E367),ISNUMBER(G367),ISNUMBER(F367)),(E367-G367)*IF(D367="卖",-1,1)*F367*I367,"")</f>
        <v/>
      </c>
      <c r="N367" s="38" t="str">
        <f>IF(A367="","",IFERROR(T(INDEX('交易记录'!$C$5:$C$304,MATCH(A367,'交易记录'!$A$5:$A$304,0))),"编号没找到"))</f>
        <v/>
      </c>
      <c r="O367" s="31" t="n"/>
    </row>
    <row r="368">
      <c r="A368" s="29" t="n"/>
      <c r="B368" s="30" t="n"/>
      <c r="C368" s="27" t="n"/>
      <c r="D368" s="32" t="n"/>
      <c r="E368" s="33" t="n"/>
      <c r="F368" s="36" t="n"/>
      <c r="G368" s="33" t="n"/>
      <c r="H368" s="20" t="str">
        <f>IF(AND(ISNUMBER(E368),ISNUMBER(F368)),E368*F368,"")</f>
        <v/>
      </c>
      <c r="I368" s="38" t="str">
        <f>IF(A368="","",IFERROR(IF(N(INDEX('交易记录'!$G$5:$G$304,MATCH(A368,'交易记录'!$A$5:$A$304,0)))&gt;0,INDEX('交易记录'!$G$5:$G$304,MATCH(A368,'交易记录'!$A$5:$A$304,0)),1),1))</f>
        <v/>
      </c>
      <c r="J368" s="41" t="str">
        <f>IF(ISNUMBER(H368),ROUND('参数'!$C$11+H368*I368*'参数'!$C$12+F368*'参数'!$C$13,2),"")</f>
        <v/>
      </c>
      <c r="K368" s="22" t="n"/>
      <c r="L368" s="20" t="str">
        <f>IF(ISNUMBER(K368),K368,IF(ISNUMBER(H368),J368,""))</f>
        <v/>
      </c>
      <c r="M368" s="46" t="str">
        <f>IF(AND(ISNUMBER(E368),ISNUMBER(G368),ISNUMBER(F368)),(E368-G368)*IF(D368="卖",-1,1)*F368*I368,"")</f>
        <v/>
      </c>
      <c r="N368" s="38" t="str">
        <f>IF(A368="","",IFERROR(T(INDEX('交易记录'!$C$5:$C$304,MATCH(A368,'交易记录'!$A$5:$A$304,0))),"编号没找到"))</f>
        <v/>
      </c>
      <c r="O368" s="31" t="n"/>
    </row>
    <row r="369">
      <c r="A369" s="29" t="n"/>
      <c r="B369" s="30" t="n"/>
      <c r="C369" s="27" t="n"/>
      <c r="D369" s="32" t="n"/>
      <c r="E369" s="33" t="n"/>
      <c r="F369" s="36" t="n"/>
      <c r="G369" s="33" t="n"/>
      <c r="H369" s="20" t="str">
        <f>IF(AND(ISNUMBER(E369),ISNUMBER(F369)),E369*F369,"")</f>
        <v/>
      </c>
      <c r="I369" s="38" t="str">
        <f>IF(A369="","",IFERROR(IF(N(INDEX('交易记录'!$G$5:$G$304,MATCH(A369,'交易记录'!$A$5:$A$304,0)))&gt;0,INDEX('交易记录'!$G$5:$G$304,MATCH(A369,'交易记录'!$A$5:$A$304,0)),1),1))</f>
        <v/>
      </c>
      <c r="J369" s="41" t="str">
        <f>IF(ISNUMBER(H369),ROUND('参数'!$C$11+H369*I369*'参数'!$C$12+F369*'参数'!$C$13,2),"")</f>
        <v/>
      </c>
      <c r="K369" s="22" t="n"/>
      <c r="L369" s="20" t="str">
        <f>IF(ISNUMBER(K369),K369,IF(ISNUMBER(H369),J369,""))</f>
        <v/>
      </c>
      <c r="M369" s="46" t="str">
        <f>IF(AND(ISNUMBER(E369),ISNUMBER(G369),ISNUMBER(F369)),(E369-G369)*IF(D369="卖",-1,1)*F369*I369,"")</f>
        <v/>
      </c>
      <c r="N369" s="38" t="str">
        <f>IF(A369="","",IFERROR(T(INDEX('交易记录'!$C$5:$C$304,MATCH(A369,'交易记录'!$A$5:$A$304,0))),"编号没找到"))</f>
        <v/>
      </c>
      <c r="O369" s="31" t="n"/>
    </row>
    <row r="370">
      <c r="A370" s="29" t="n"/>
      <c r="B370" s="30" t="n"/>
      <c r="C370" s="27" t="n"/>
      <c r="D370" s="32" t="n"/>
      <c r="E370" s="33" t="n"/>
      <c r="F370" s="36" t="n"/>
      <c r="G370" s="33" t="n"/>
      <c r="H370" s="20" t="str">
        <f>IF(AND(ISNUMBER(E370),ISNUMBER(F370)),E370*F370,"")</f>
        <v/>
      </c>
      <c r="I370" s="38" t="str">
        <f>IF(A370="","",IFERROR(IF(N(INDEX('交易记录'!$G$5:$G$304,MATCH(A370,'交易记录'!$A$5:$A$304,0)))&gt;0,INDEX('交易记录'!$G$5:$G$304,MATCH(A370,'交易记录'!$A$5:$A$304,0)),1),1))</f>
        <v/>
      </c>
      <c r="J370" s="41" t="str">
        <f>IF(ISNUMBER(H370),ROUND('参数'!$C$11+H370*I370*'参数'!$C$12+F370*'参数'!$C$13,2),"")</f>
        <v/>
      </c>
      <c r="K370" s="22" t="n"/>
      <c r="L370" s="20" t="str">
        <f>IF(ISNUMBER(K370),K370,IF(ISNUMBER(H370),J370,""))</f>
        <v/>
      </c>
      <c r="M370" s="46" t="str">
        <f>IF(AND(ISNUMBER(E370),ISNUMBER(G370),ISNUMBER(F370)),(E370-G370)*IF(D370="卖",-1,1)*F370*I370,"")</f>
        <v/>
      </c>
      <c r="N370" s="38" t="str">
        <f>IF(A370="","",IFERROR(T(INDEX('交易记录'!$C$5:$C$304,MATCH(A370,'交易记录'!$A$5:$A$304,0))),"编号没找到"))</f>
        <v/>
      </c>
      <c r="O370" s="31" t="n"/>
    </row>
    <row r="371">
      <c r="A371" s="29" t="n"/>
      <c r="B371" s="30" t="n"/>
      <c r="C371" s="27" t="n"/>
      <c r="D371" s="32" t="n"/>
      <c r="E371" s="33" t="n"/>
      <c r="F371" s="36" t="n"/>
      <c r="G371" s="33" t="n"/>
      <c r="H371" s="20" t="str">
        <f>IF(AND(ISNUMBER(E371),ISNUMBER(F371)),E371*F371,"")</f>
        <v/>
      </c>
      <c r="I371" s="38" t="str">
        <f>IF(A371="","",IFERROR(IF(N(INDEX('交易记录'!$G$5:$G$304,MATCH(A371,'交易记录'!$A$5:$A$304,0)))&gt;0,INDEX('交易记录'!$G$5:$G$304,MATCH(A371,'交易记录'!$A$5:$A$304,0)),1),1))</f>
        <v/>
      </c>
      <c r="J371" s="41" t="str">
        <f>IF(ISNUMBER(H371),ROUND('参数'!$C$11+H371*I371*'参数'!$C$12+F371*'参数'!$C$13,2),"")</f>
        <v/>
      </c>
      <c r="K371" s="22" t="n"/>
      <c r="L371" s="20" t="str">
        <f>IF(ISNUMBER(K371),K371,IF(ISNUMBER(H371),J371,""))</f>
        <v/>
      </c>
      <c r="M371" s="46" t="str">
        <f>IF(AND(ISNUMBER(E371),ISNUMBER(G371),ISNUMBER(F371)),(E371-G371)*IF(D371="卖",-1,1)*F371*I371,"")</f>
        <v/>
      </c>
      <c r="N371" s="38" t="str">
        <f>IF(A371="","",IFERROR(T(INDEX('交易记录'!$C$5:$C$304,MATCH(A371,'交易记录'!$A$5:$A$304,0))),"编号没找到"))</f>
        <v/>
      </c>
      <c r="O371" s="31" t="n"/>
    </row>
    <row r="372">
      <c r="A372" s="29" t="n"/>
      <c r="B372" s="30" t="n"/>
      <c r="C372" s="27" t="n"/>
      <c r="D372" s="32" t="n"/>
      <c r="E372" s="33" t="n"/>
      <c r="F372" s="36" t="n"/>
      <c r="G372" s="33" t="n"/>
      <c r="H372" s="20" t="str">
        <f>IF(AND(ISNUMBER(E372),ISNUMBER(F372)),E372*F372,"")</f>
        <v/>
      </c>
      <c r="I372" s="38" t="str">
        <f>IF(A372="","",IFERROR(IF(N(INDEX('交易记录'!$G$5:$G$304,MATCH(A372,'交易记录'!$A$5:$A$304,0)))&gt;0,INDEX('交易记录'!$G$5:$G$304,MATCH(A372,'交易记录'!$A$5:$A$304,0)),1),1))</f>
        <v/>
      </c>
      <c r="J372" s="41" t="str">
        <f>IF(ISNUMBER(H372),ROUND('参数'!$C$11+H372*I372*'参数'!$C$12+F372*'参数'!$C$13,2),"")</f>
        <v/>
      </c>
      <c r="K372" s="22" t="n"/>
      <c r="L372" s="20" t="str">
        <f>IF(ISNUMBER(K372),K372,IF(ISNUMBER(H372),J372,""))</f>
        <v/>
      </c>
      <c r="M372" s="46" t="str">
        <f>IF(AND(ISNUMBER(E372),ISNUMBER(G372),ISNUMBER(F372)),(E372-G372)*IF(D372="卖",-1,1)*F372*I372,"")</f>
        <v/>
      </c>
      <c r="N372" s="38" t="str">
        <f>IF(A372="","",IFERROR(T(INDEX('交易记录'!$C$5:$C$304,MATCH(A372,'交易记录'!$A$5:$A$304,0))),"编号没找到"))</f>
        <v/>
      </c>
      <c r="O372" s="31" t="n"/>
    </row>
    <row r="373">
      <c r="A373" s="29" t="n"/>
      <c r="B373" s="30" t="n"/>
      <c r="C373" s="27" t="n"/>
      <c r="D373" s="32" t="n"/>
      <c r="E373" s="33" t="n"/>
      <c r="F373" s="36" t="n"/>
      <c r="G373" s="33" t="n"/>
      <c r="H373" s="20" t="str">
        <f>IF(AND(ISNUMBER(E373),ISNUMBER(F373)),E373*F373,"")</f>
        <v/>
      </c>
      <c r="I373" s="38" t="str">
        <f>IF(A373="","",IFERROR(IF(N(INDEX('交易记录'!$G$5:$G$304,MATCH(A373,'交易记录'!$A$5:$A$304,0)))&gt;0,INDEX('交易记录'!$G$5:$G$304,MATCH(A373,'交易记录'!$A$5:$A$304,0)),1),1))</f>
        <v/>
      </c>
      <c r="J373" s="41" t="str">
        <f>IF(ISNUMBER(H373),ROUND('参数'!$C$11+H373*I373*'参数'!$C$12+F373*'参数'!$C$13,2),"")</f>
        <v/>
      </c>
      <c r="K373" s="22" t="n"/>
      <c r="L373" s="20" t="str">
        <f>IF(ISNUMBER(K373),K373,IF(ISNUMBER(H373),J373,""))</f>
        <v/>
      </c>
      <c r="M373" s="46" t="str">
        <f>IF(AND(ISNUMBER(E373),ISNUMBER(G373),ISNUMBER(F373)),(E373-G373)*IF(D373="卖",-1,1)*F373*I373,"")</f>
        <v/>
      </c>
      <c r="N373" s="38" t="str">
        <f>IF(A373="","",IFERROR(T(INDEX('交易记录'!$C$5:$C$304,MATCH(A373,'交易记录'!$A$5:$A$304,0))),"编号没找到"))</f>
        <v/>
      </c>
      <c r="O373" s="31" t="n"/>
    </row>
    <row r="374">
      <c r="A374" s="29" t="n"/>
      <c r="B374" s="30" t="n"/>
      <c r="C374" s="27" t="n"/>
      <c r="D374" s="32" t="n"/>
      <c r="E374" s="33" t="n"/>
      <c r="F374" s="36" t="n"/>
      <c r="G374" s="33" t="n"/>
      <c r="H374" s="20" t="str">
        <f>IF(AND(ISNUMBER(E374),ISNUMBER(F374)),E374*F374,"")</f>
        <v/>
      </c>
      <c r="I374" s="38" t="str">
        <f>IF(A374="","",IFERROR(IF(N(INDEX('交易记录'!$G$5:$G$304,MATCH(A374,'交易记录'!$A$5:$A$304,0)))&gt;0,INDEX('交易记录'!$G$5:$G$304,MATCH(A374,'交易记录'!$A$5:$A$304,0)),1),1))</f>
        <v/>
      </c>
      <c r="J374" s="41" t="str">
        <f>IF(ISNUMBER(H374),ROUND('参数'!$C$11+H374*I374*'参数'!$C$12+F374*'参数'!$C$13,2),"")</f>
        <v/>
      </c>
      <c r="K374" s="22" t="n"/>
      <c r="L374" s="20" t="str">
        <f>IF(ISNUMBER(K374),K374,IF(ISNUMBER(H374),J374,""))</f>
        <v/>
      </c>
      <c r="M374" s="46" t="str">
        <f>IF(AND(ISNUMBER(E374),ISNUMBER(G374),ISNUMBER(F374)),(E374-G374)*IF(D374="卖",-1,1)*F374*I374,"")</f>
        <v/>
      </c>
      <c r="N374" s="38" t="str">
        <f>IF(A374="","",IFERROR(T(INDEX('交易记录'!$C$5:$C$304,MATCH(A374,'交易记录'!$A$5:$A$304,0))),"编号没找到"))</f>
        <v/>
      </c>
      <c r="O374" s="31" t="n"/>
    </row>
    <row r="375">
      <c r="A375" s="29" t="n"/>
      <c r="B375" s="30" t="n"/>
      <c r="C375" s="27" t="n"/>
      <c r="D375" s="32" t="n"/>
      <c r="E375" s="33" t="n"/>
      <c r="F375" s="36" t="n"/>
      <c r="G375" s="33" t="n"/>
      <c r="H375" s="20" t="str">
        <f>IF(AND(ISNUMBER(E375),ISNUMBER(F375)),E375*F375,"")</f>
        <v/>
      </c>
      <c r="I375" s="38" t="str">
        <f>IF(A375="","",IFERROR(IF(N(INDEX('交易记录'!$G$5:$G$304,MATCH(A375,'交易记录'!$A$5:$A$304,0)))&gt;0,INDEX('交易记录'!$G$5:$G$304,MATCH(A375,'交易记录'!$A$5:$A$304,0)),1),1))</f>
        <v/>
      </c>
      <c r="J375" s="41" t="str">
        <f>IF(ISNUMBER(H375),ROUND('参数'!$C$11+H375*I375*'参数'!$C$12+F375*'参数'!$C$13,2),"")</f>
        <v/>
      </c>
      <c r="K375" s="22" t="n"/>
      <c r="L375" s="20" t="str">
        <f>IF(ISNUMBER(K375),K375,IF(ISNUMBER(H375),J375,""))</f>
        <v/>
      </c>
      <c r="M375" s="46" t="str">
        <f>IF(AND(ISNUMBER(E375),ISNUMBER(G375),ISNUMBER(F375)),(E375-G375)*IF(D375="卖",-1,1)*F375*I375,"")</f>
        <v/>
      </c>
      <c r="N375" s="38" t="str">
        <f>IF(A375="","",IFERROR(T(INDEX('交易记录'!$C$5:$C$304,MATCH(A375,'交易记录'!$A$5:$A$304,0))),"编号没找到"))</f>
        <v/>
      </c>
      <c r="O375" s="31" t="n"/>
    </row>
    <row r="376">
      <c r="A376" s="29" t="n"/>
      <c r="B376" s="30" t="n"/>
      <c r="C376" s="27" t="n"/>
      <c r="D376" s="32" t="n"/>
      <c r="E376" s="33" t="n"/>
      <c r="F376" s="36" t="n"/>
      <c r="G376" s="33" t="n"/>
      <c r="H376" s="20" t="str">
        <f>IF(AND(ISNUMBER(E376),ISNUMBER(F376)),E376*F376,"")</f>
        <v/>
      </c>
      <c r="I376" s="38" t="str">
        <f>IF(A376="","",IFERROR(IF(N(INDEX('交易记录'!$G$5:$G$304,MATCH(A376,'交易记录'!$A$5:$A$304,0)))&gt;0,INDEX('交易记录'!$G$5:$G$304,MATCH(A376,'交易记录'!$A$5:$A$304,0)),1),1))</f>
        <v/>
      </c>
      <c r="J376" s="41" t="str">
        <f>IF(ISNUMBER(H376),ROUND('参数'!$C$11+H376*I376*'参数'!$C$12+F376*'参数'!$C$13,2),"")</f>
        <v/>
      </c>
      <c r="K376" s="22" t="n"/>
      <c r="L376" s="20" t="str">
        <f>IF(ISNUMBER(K376),K376,IF(ISNUMBER(H376),J376,""))</f>
        <v/>
      </c>
      <c r="M376" s="46" t="str">
        <f>IF(AND(ISNUMBER(E376),ISNUMBER(G376),ISNUMBER(F376)),(E376-G376)*IF(D376="卖",-1,1)*F376*I376,"")</f>
        <v/>
      </c>
      <c r="N376" s="38" t="str">
        <f>IF(A376="","",IFERROR(T(INDEX('交易记录'!$C$5:$C$304,MATCH(A376,'交易记录'!$A$5:$A$304,0))),"编号没找到"))</f>
        <v/>
      </c>
      <c r="O376" s="31" t="n"/>
    </row>
    <row r="377">
      <c r="A377" s="29" t="n"/>
      <c r="B377" s="30" t="n"/>
      <c r="C377" s="27" t="n"/>
      <c r="D377" s="32" t="n"/>
      <c r="E377" s="33" t="n"/>
      <c r="F377" s="36" t="n"/>
      <c r="G377" s="33" t="n"/>
      <c r="H377" s="20" t="str">
        <f>IF(AND(ISNUMBER(E377),ISNUMBER(F377)),E377*F377,"")</f>
        <v/>
      </c>
      <c r="I377" s="38" t="str">
        <f>IF(A377="","",IFERROR(IF(N(INDEX('交易记录'!$G$5:$G$304,MATCH(A377,'交易记录'!$A$5:$A$304,0)))&gt;0,INDEX('交易记录'!$G$5:$G$304,MATCH(A377,'交易记录'!$A$5:$A$304,0)),1),1))</f>
        <v/>
      </c>
      <c r="J377" s="41" t="str">
        <f>IF(ISNUMBER(H377),ROUND('参数'!$C$11+H377*I377*'参数'!$C$12+F377*'参数'!$C$13,2),"")</f>
        <v/>
      </c>
      <c r="K377" s="22" t="n"/>
      <c r="L377" s="20" t="str">
        <f>IF(ISNUMBER(K377),K377,IF(ISNUMBER(H377),J377,""))</f>
        <v/>
      </c>
      <c r="M377" s="46" t="str">
        <f>IF(AND(ISNUMBER(E377),ISNUMBER(G377),ISNUMBER(F377)),(E377-G377)*IF(D377="卖",-1,1)*F377*I377,"")</f>
        <v/>
      </c>
      <c r="N377" s="38" t="str">
        <f>IF(A377="","",IFERROR(T(INDEX('交易记录'!$C$5:$C$304,MATCH(A377,'交易记录'!$A$5:$A$304,0))),"编号没找到"))</f>
        <v/>
      </c>
      <c r="O377" s="31" t="n"/>
    </row>
    <row r="378">
      <c r="A378" s="29" t="n"/>
      <c r="B378" s="30" t="n"/>
      <c r="C378" s="27" t="n"/>
      <c r="D378" s="32" t="n"/>
      <c r="E378" s="33" t="n"/>
      <c r="F378" s="36" t="n"/>
      <c r="G378" s="33" t="n"/>
      <c r="H378" s="20" t="str">
        <f>IF(AND(ISNUMBER(E378),ISNUMBER(F378)),E378*F378,"")</f>
        <v/>
      </c>
      <c r="I378" s="38" t="str">
        <f>IF(A378="","",IFERROR(IF(N(INDEX('交易记录'!$G$5:$G$304,MATCH(A378,'交易记录'!$A$5:$A$304,0)))&gt;0,INDEX('交易记录'!$G$5:$G$304,MATCH(A378,'交易记录'!$A$5:$A$304,0)),1),1))</f>
        <v/>
      </c>
      <c r="J378" s="41" t="str">
        <f>IF(ISNUMBER(H378),ROUND('参数'!$C$11+H378*I378*'参数'!$C$12+F378*'参数'!$C$13,2),"")</f>
        <v/>
      </c>
      <c r="K378" s="22" t="n"/>
      <c r="L378" s="20" t="str">
        <f>IF(ISNUMBER(K378),K378,IF(ISNUMBER(H378),J378,""))</f>
        <v/>
      </c>
      <c r="M378" s="46" t="str">
        <f>IF(AND(ISNUMBER(E378),ISNUMBER(G378),ISNUMBER(F378)),(E378-G378)*IF(D378="卖",-1,1)*F378*I378,"")</f>
        <v/>
      </c>
      <c r="N378" s="38" t="str">
        <f>IF(A378="","",IFERROR(T(INDEX('交易记录'!$C$5:$C$304,MATCH(A378,'交易记录'!$A$5:$A$304,0))),"编号没找到"))</f>
        <v/>
      </c>
      <c r="O378" s="31" t="n"/>
    </row>
    <row r="379">
      <c r="A379" s="29" t="n"/>
      <c r="B379" s="30" t="n"/>
      <c r="C379" s="27" t="n"/>
      <c r="D379" s="32" t="n"/>
      <c r="E379" s="33" t="n"/>
      <c r="F379" s="36" t="n"/>
      <c r="G379" s="33" t="n"/>
      <c r="H379" s="20" t="str">
        <f>IF(AND(ISNUMBER(E379),ISNUMBER(F379)),E379*F379,"")</f>
        <v/>
      </c>
      <c r="I379" s="38" t="str">
        <f>IF(A379="","",IFERROR(IF(N(INDEX('交易记录'!$G$5:$G$304,MATCH(A379,'交易记录'!$A$5:$A$304,0)))&gt;0,INDEX('交易记录'!$G$5:$G$304,MATCH(A379,'交易记录'!$A$5:$A$304,0)),1),1))</f>
        <v/>
      </c>
      <c r="J379" s="41" t="str">
        <f>IF(ISNUMBER(H379),ROUND('参数'!$C$11+H379*I379*'参数'!$C$12+F379*'参数'!$C$13,2),"")</f>
        <v/>
      </c>
      <c r="K379" s="22" t="n"/>
      <c r="L379" s="20" t="str">
        <f>IF(ISNUMBER(K379),K379,IF(ISNUMBER(H379),J379,""))</f>
        <v/>
      </c>
      <c r="M379" s="46" t="str">
        <f>IF(AND(ISNUMBER(E379),ISNUMBER(G379),ISNUMBER(F379)),(E379-G379)*IF(D379="卖",-1,1)*F379*I379,"")</f>
        <v/>
      </c>
      <c r="N379" s="38" t="str">
        <f>IF(A379="","",IFERROR(T(INDEX('交易记录'!$C$5:$C$304,MATCH(A379,'交易记录'!$A$5:$A$304,0))),"编号没找到"))</f>
        <v/>
      </c>
      <c r="O379" s="31" t="n"/>
    </row>
    <row r="380">
      <c r="A380" s="29" t="n"/>
      <c r="B380" s="30" t="n"/>
      <c r="C380" s="27" t="n"/>
      <c r="D380" s="32" t="n"/>
      <c r="E380" s="33" t="n"/>
      <c r="F380" s="36" t="n"/>
      <c r="G380" s="33" t="n"/>
      <c r="H380" s="20" t="str">
        <f>IF(AND(ISNUMBER(E380),ISNUMBER(F380)),E380*F380,"")</f>
        <v/>
      </c>
      <c r="I380" s="38" t="str">
        <f>IF(A380="","",IFERROR(IF(N(INDEX('交易记录'!$G$5:$G$304,MATCH(A380,'交易记录'!$A$5:$A$304,0)))&gt;0,INDEX('交易记录'!$G$5:$G$304,MATCH(A380,'交易记录'!$A$5:$A$304,0)),1),1))</f>
        <v/>
      </c>
      <c r="J380" s="41" t="str">
        <f>IF(ISNUMBER(H380),ROUND('参数'!$C$11+H380*I380*'参数'!$C$12+F380*'参数'!$C$13,2),"")</f>
        <v/>
      </c>
      <c r="K380" s="22" t="n"/>
      <c r="L380" s="20" t="str">
        <f>IF(ISNUMBER(K380),K380,IF(ISNUMBER(H380),J380,""))</f>
        <v/>
      </c>
      <c r="M380" s="46" t="str">
        <f>IF(AND(ISNUMBER(E380),ISNUMBER(G380),ISNUMBER(F380)),(E380-G380)*IF(D380="卖",-1,1)*F380*I380,"")</f>
        <v/>
      </c>
      <c r="N380" s="38" t="str">
        <f>IF(A380="","",IFERROR(T(INDEX('交易记录'!$C$5:$C$304,MATCH(A380,'交易记录'!$A$5:$A$304,0))),"编号没找到"))</f>
        <v/>
      </c>
      <c r="O380" s="31" t="n"/>
    </row>
    <row r="381">
      <c r="A381" s="29" t="n"/>
      <c r="B381" s="30" t="n"/>
      <c r="C381" s="27" t="n"/>
      <c r="D381" s="32" t="n"/>
      <c r="E381" s="33" t="n"/>
      <c r="F381" s="36" t="n"/>
      <c r="G381" s="33" t="n"/>
      <c r="H381" s="20" t="str">
        <f>IF(AND(ISNUMBER(E381),ISNUMBER(F381)),E381*F381,"")</f>
        <v/>
      </c>
      <c r="I381" s="38" t="str">
        <f>IF(A381="","",IFERROR(IF(N(INDEX('交易记录'!$G$5:$G$304,MATCH(A381,'交易记录'!$A$5:$A$304,0)))&gt;0,INDEX('交易记录'!$G$5:$G$304,MATCH(A381,'交易记录'!$A$5:$A$304,0)),1),1))</f>
        <v/>
      </c>
      <c r="J381" s="41" t="str">
        <f>IF(ISNUMBER(H381),ROUND('参数'!$C$11+H381*I381*'参数'!$C$12+F381*'参数'!$C$13,2),"")</f>
        <v/>
      </c>
      <c r="K381" s="22" t="n"/>
      <c r="L381" s="20" t="str">
        <f>IF(ISNUMBER(K381),K381,IF(ISNUMBER(H381),J381,""))</f>
        <v/>
      </c>
      <c r="M381" s="46" t="str">
        <f>IF(AND(ISNUMBER(E381),ISNUMBER(G381),ISNUMBER(F381)),(E381-G381)*IF(D381="卖",-1,1)*F381*I381,"")</f>
        <v/>
      </c>
      <c r="N381" s="38" t="str">
        <f>IF(A381="","",IFERROR(T(INDEX('交易记录'!$C$5:$C$304,MATCH(A381,'交易记录'!$A$5:$A$304,0))),"编号没找到"))</f>
        <v/>
      </c>
      <c r="O381" s="31" t="n"/>
    </row>
    <row r="382">
      <c r="A382" s="29" t="n"/>
      <c r="B382" s="30" t="n"/>
      <c r="C382" s="27" t="n"/>
      <c r="D382" s="32" t="n"/>
      <c r="E382" s="33" t="n"/>
      <c r="F382" s="36" t="n"/>
      <c r="G382" s="33" t="n"/>
      <c r="H382" s="20" t="str">
        <f>IF(AND(ISNUMBER(E382),ISNUMBER(F382)),E382*F382,"")</f>
        <v/>
      </c>
      <c r="I382" s="38" t="str">
        <f>IF(A382="","",IFERROR(IF(N(INDEX('交易记录'!$G$5:$G$304,MATCH(A382,'交易记录'!$A$5:$A$304,0)))&gt;0,INDEX('交易记录'!$G$5:$G$304,MATCH(A382,'交易记录'!$A$5:$A$304,0)),1),1))</f>
        <v/>
      </c>
      <c r="J382" s="41" t="str">
        <f>IF(ISNUMBER(H382),ROUND('参数'!$C$11+H382*I382*'参数'!$C$12+F382*'参数'!$C$13,2),"")</f>
        <v/>
      </c>
      <c r="K382" s="22" t="n"/>
      <c r="L382" s="20" t="str">
        <f>IF(ISNUMBER(K382),K382,IF(ISNUMBER(H382),J382,""))</f>
        <v/>
      </c>
      <c r="M382" s="46" t="str">
        <f>IF(AND(ISNUMBER(E382),ISNUMBER(G382),ISNUMBER(F382)),(E382-G382)*IF(D382="卖",-1,1)*F382*I382,"")</f>
        <v/>
      </c>
      <c r="N382" s="38" t="str">
        <f>IF(A382="","",IFERROR(T(INDEX('交易记录'!$C$5:$C$304,MATCH(A382,'交易记录'!$A$5:$A$304,0))),"编号没找到"))</f>
        <v/>
      </c>
      <c r="O382" s="31" t="n"/>
    </row>
    <row r="383">
      <c r="A383" s="29" t="n"/>
      <c r="B383" s="30" t="n"/>
      <c r="C383" s="27" t="n"/>
      <c r="D383" s="32" t="n"/>
      <c r="E383" s="33" t="n"/>
      <c r="F383" s="36" t="n"/>
      <c r="G383" s="33" t="n"/>
      <c r="H383" s="20" t="str">
        <f>IF(AND(ISNUMBER(E383),ISNUMBER(F383)),E383*F383,"")</f>
        <v/>
      </c>
      <c r="I383" s="38" t="str">
        <f>IF(A383="","",IFERROR(IF(N(INDEX('交易记录'!$G$5:$G$304,MATCH(A383,'交易记录'!$A$5:$A$304,0)))&gt;0,INDEX('交易记录'!$G$5:$G$304,MATCH(A383,'交易记录'!$A$5:$A$304,0)),1),1))</f>
        <v/>
      </c>
      <c r="J383" s="41" t="str">
        <f>IF(ISNUMBER(H383),ROUND('参数'!$C$11+H383*I383*'参数'!$C$12+F383*'参数'!$C$13,2),"")</f>
        <v/>
      </c>
      <c r="K383" s="22" t="n"/>
      <c r="L383" s="20" t="str">
        <f>IF(ISNUMBER(K383),K383,IF(ISNUMBER(H383),J383,""))</f>
        <v/>
      </c>
      <c r="M383" s="46" t="str">
        <f>IF(AND(ISNUMBER(E383),ISNUMBER(G383),ISNUMBER(F383)),(E383-G383)*IF(D383="卖",-1,1)*F383*I383,"")</f>
        <v/>
      </c>
      <c r="N383" s="38" t="str">
        <f>IF(A383="","",IFERROR(T(INDEX('交易记录'!$C$5:$C$304,MATCH(A383,'交易记录'!$A$5:$A$304,0))),"编号没找到"))</f>
        <v/>
      </c>
      <c r="O383" s="31" t="n"/>
    </row>
    <row r="384">
      <c r="A384" s="29" t="n"/>
      <c r="B384" s="30" t="n"/>
      <c r="C384" s="27" t="n"/>
      <c r="D384" s="32" t="n"/>
      <c r="E384" s="33" t="n"/>
      <c r="F384" s="36" t="n"/>
      <c r="G384" s="33" t="n"/>
      <c r="H384" s="20" t="str">
        <f>IF(AND(ISNUMBER(E384),ISNUMBER(F384)),E384*F384,"")</f>
        <v/>
      </c>
      <c r="I384" s="38" t="str">
        <f>IF(A384="","",IFERROR(IF(N(INDEX('交易记录'!$G$5:$G$304,MATCH(A384,'交易记录'!$A$5:$A$304,0)))&gt;0,INDEX('交易记录'!$G$5:$G$304,MATCH(A384,'交易记录'!$A$5:$A$304,0)),1),1))</f>
        <v/>
      </c>
      <c r="J384" s="41" t="str">
        <f>IF(ISNUMBER(H384),ROUND('参数'!$C$11+H384*I384*'参数'!$C$12+F384*'参数'!$C$13,2),"")</f>
        <v/>
      </c>
      <c r="K384" s="22" t="n"/>
      <c r="L384" s="20" t="str">
        <f>IF(ISNUMBER(K384),K384,IF(ISNUMBER(H384),J384,""))</f>
        <v/>
      </c>
      <c r="M384" s="46" t="str">
        <f>IF(AND(ISNUMBER(E384),ISNUMBER(G384),ISNUMBER(F384)),(E384-G384)*IF(D384="卖",-1,1)*F384*I384,"")</f>
        <v/>
      </c>
      <c r="N384" s="38" t="str">
        <f>IF(A384="","",IFERROR(T(INDEX('交易记录'!$C$5:$C$304,MATCH(A384,'交易记录'!$A$5:$A$304,0))),"编号没找到"))</f>
        <v/>
      </c>
      <c r="O384" s="31" t="n"/>
    </row>
    <row r="385">
      <c r="A385" s="29" t="n"/>
      <c r="B385" s="30" t="n"/>
      <c r="C385" s="27" t="n"/>
      <c r="D385" s="32" t="n"/>
      <c r="E385" s="33" t="n"/>
      <c r="F385" s="36" t="n"/>
      <c r="G385" s="33" t="n"/>
      <c r="H385" s="20" t="str">
        <f>IF(AND(ISNUMBER(E385),ISNUMBER(F385)),E385*F385,"")</f>
        <v/>
      </c>
      <c r="I385" s="38" t="str">
        <f>IF(A385="","",IFERROR(IF(N(INDEX('交易记录'!$G$5:$G$304,MATCH(A385,'交易记录'!$A$5:$A$304,0)))&gt;0,INDEX('交易记录'!$G$5:$G$304,MATCH(A385,'交易记录'!$A$5:$A$304,0)),1),1))</f>
        <v/>
      </c>
      <c r="J385" s="41" t="str">
        <f>IF(ISNUMBER(H385),ROUND('参数'!$C$11+H385*I385*'参数'!$C$12+F385*'参数'!$C$13,2),"")</f>
        <v/>
      </c>
      <c r="K385" s="22" t="n"/>
      <c r="L385" s="20" t="str">
        <f>IF(ISNUMBER(K385),K385,IF(ISNUMBER(H385),J385,""))</f>
        <v/>
      </c>
      <c r="M385" s="46" t="str">
        <f>IF(AND(ISNUMBER(E385),ISNUMBER(G385),ISNUMBER(F385)),(E385-G385)*IF(D385="卖",-1,1)*F385*I385,"")</f>
        <v/>
      </c>
      <c r="N385" s="38" t="str">
        <f>IF(A385="","",IFERROR(T(INDEX('交易记录'!$C$5:$C$304,MATCH(A385,'交易记录'!$A$5:$A$304,0))),"编号没找到"))</f>
        <v/>
      </c>
      <c r="O385" s="31" t="n"/>
    </row>
    <row r="386">
      <c r="A386" s="29" t="n"/>
      <c r="B386" s="30" t="n"/>
      <c r="C386" s="27" t="n"/>
      <c r="D386" s="32" t="n"/>
      <c r="E386" s="33" t="n"/>
      <c r="F386" s="36" t="n"/>
      <c r="G386" s="33" t="n"/>
      <c r="H386" s="20" t="str">
        <f>IF(AND(ISNUMBER(E386),ISNUMBER(F386)),E386*F386,"")</f>
        <v/>
      </c>
      <c r="I386" s="38" t="str">
        <f>IF(A386="","",IFERROR(IF(N(INDEX('交易记录'!$G$5:$G$304,MATCH(A386,'交易记录'!$A$5:$A$304,0)))&gt;0,INDEX('交易记录'!$G$5:$G$304,MATCH(A386,'交易记录'!$A$5:$A$304,0)),1),1))</f>
        <v/>
      </c>
      <c r="J386" s="41" t="str">
        <f>IF(ISNUMBER(H386),ROUND('参数'!$C$11+H386*I386*'参数'!$C$12+F386*'参数'!$C$13,2),"")</f>
        <v/>
      </c>
      <c r="K386" s="22" t="n"/>
      <c r="L386" s="20" t="str">
        <f>IF(ISNUMBER(K386),K386,IF(ISNUMBER(H386),J386,""))</f>
        <v/>
      </c>
      <c r="M386" s="46" t="str">
        <f>IF(AND(ISNUMBER(E386),ISNUMBER(G386),ISNUMBER(F386)),(E386-G386)*IF(D386="卖",-1,1)*F386*I386,"")</f>
        <v/>
      </c>
      <c r="N386" s="38" t="str">
        <f>IF(A386="","",IFERROR(T(INDEX('交易记录'!$C$5:$C$304,MATCH(A386,'交易记录'!$A$5:$A$304,0))),"编号没找到"))</f>
        <v/>
      </c>
      <c r="O386" s="31" t="n"/>
    </row>
    <row r="387">
      <c r="A387" s="29" t="n"/>
      <c r="B387" s="30" t="n"/>
      <c r="C387" s="27" t="n"/>
      <c r="D387" s="32" t="n"/>
      <c r="E387" s="33" t="n"/>
      <c r="F387" s="36" t="n"/>
      <c r="G387" s="33" t="n"/>
      <c r="H387" s="20" t="str">
        <f>IF(AND(ISNUMBER(E387),ISNUMBER(F387)),E387*F387,"")</f>
        <v/>
      </c>
      <c r="I387" s="38" t="str">
        <f>IF(A387="","",IFERROR(IF(N(INDEX('交易记录'!$G$5:$G$304,MATCH(A387,'交易记录'!$A$5:$A$304,0)))&gt;0,INDEX('交易记录'!$G$5:$G$304,MATCH(A387,'交易记录'!$A$5:$A$304,0)),1),1))</f>
        <v/>
      </c>
      <c r="J387" s="41" t="str">
        <f>IF(ISNUMBER(H387),ROUND('参数'!$C$11+H387*I387*'参数'!$C$12+F387*'参数'!$C$13,2),"")</f>
        <v/>
      </c>
      <c r="K387" s="22" t="n"/>
      <c r="L387" s="20" t="str">
        <f>IF(ISNUMBER(K387),K387,IF(ISNUMBER(H387),J387,""))</f>
        <v/>
      </c>
      <c r="M387" s="46" t="str">
        <f>IF(AND(ISNUMBER(E387),ISNUMBER(G387),ISNUMBER(F387)),(E387-G387)*IF(D387="卖",-1,1)*F387*I387,"")</f>
        <v/>
      </c>
      <c r="N387" s="38" t="str">
        <f>IF(A387="","",IFERROR(T(INDEX('交易记录'!$C$5:$C$304,MATCH(A387,'交易记录'!$A$5:$A$304,0))),"编号没找到"))</f>
        <v/>
      </c>
      <c r="O387" s="31" t="n"/>
    </row>
    <row r="388">
      <c r="A388" s="29" t="n"/>
      <c r="B388" s="30" t="n"/>
      <c r="C388" s="27" t="n"/>
      <c r="D388" s="32" t="n"/>
      <c r="E388" s="33" t="n"/>
      <c r="F388" s="36" t="n"/>
      <c r="G388" s="33" t="n"/>
      <c r="H388" s="20" t="str">
        <f>IF(AND(ISNUMBER(E388),ISNUMBER(F388)),E388*F388,"")</f>
        <v/>
      </c>
      <c r="I388" s="38" t="str">
        <f>IF(A388="","",IFERROR(IF(N(INDEX('交易记录'!$G$5:$G$304,MATCH(A388,'交易记录'!$A$5:$A$304,0)))&gt;0,INDEX('交易记录'!$G$5:$G$304,MATCH(A388,'交易记录'!$A$5:$A$304,0)),1),1))</f>
        <v/>
      </c>
      <c r="J388" s="41" t="str">
        <f>IF(ISNUMBER(H388),ROUND('参数'!$C$11+H388*I388*'参数'!$C$12+F388*'参数'!$C$13,2),"")</f>
        <v/>
      </c>
      <c r="K388" s="22" t="n"/>
      <c r="L388" s="20" t="str">
        <f>IF(ISNUMBER(K388),K388,IF(ISNUMBER(H388),J388,""))</f>
        <v/>
      </c>
      <c r="M388" s="46" t="str">
        <f>IF(AND(ISNUMBER(E388),ISNUMBER(G388),ISNUMBER(F388)),(E388-G388)*IF(D388="卖",-1,1)*F388*I388,"")</f>
        <v/>
      </c>
      <c r="N388" s="38" t="str">
        <f>IF(A388="","",IFERROR(T(INDEX('交易记录'!$C$5:$C$304,MATCH(A388,'交易记录'!$A$5:$A$304,0))),"编号没找到"))</f>
        <v/>
      </c>
      <c r="O388" s="31" t="n"/>
    </row>
    <row r="389">
      <c r="A389" s="29" t="n"/>
      <c r="B389" s="30" t="n"/>
      <c r="C389" s="27" t="n"/>
      <c r="D389" s="32" t="n"/>
      <c r="E389" s="33" t="n"/>
      <c r="F389" s="36" t="n"/>
      <c r="G389" s="33" t="n"/>
      <c r="H389" s="20" t="str">
        <f>IF(AND(ISNUMBER(E389),ISNUMBER(F389)),E389*F389,"")</f>
        <v/>
      </c>
      <c r="I389" s="38" t="str">
        <f>IF(A389="","",IFERROR(IF(N(INDEX('交易记录'!$G$5:$G$304,MATCH(A389,'交易记录'!$A$5:$A$304,0)))&gt;0,INDEX('交易记录'!$G$5:$G$304,MATCH(A389,'交易记录'!$A$5:$A$304,0)),1),1))</f>
        <v/>
      </c>
      <c r="J389" s="41" t="str">
        <f>IF(ISNUMBER(H389),ROUND('参数'!$C$11+H389*I389*'参数'!$C$12+F389*'参数'!$C$13,2),"")</f>
        <v/>
      </c>
      <c r="K389" s="22" t="n"/>
      <c r="L389" s="20" t="str">
        <f>IF(ISNUMBER(K389),K389,IF(ISNUMBER(H389),J389,""))</f>
        <v/>
      </c>
      <c r="M389" s="46" t="str">
        <f>IF(AND(ISNUMBER(E389),ISNUMBER(G389),ISNUMBER(F389)),(E389-G389)*IF(D389="卖",-1,1)*F389*I389,"")</f>
        <v/>
      </c>
      <c r="N389" s="38" t="str">
        <f>IF(A389="","",IFERROR(T(INDEX('交易记录'!$C$5:$C$304,MATCH(A389,'交易记录'!$A$5:$A$304,0))),"编号没找到"))</f>
        <v/>
      </c>
      <c r="O389" s="31" t="n"/>
    </row>
    <row r="390">
      <c r="A390" s="29" t="n"/>
      <c r="B390" s="30" t="n"/>
      <c r="C390" s="27" t="n"/>
      <c r="D390" s="32" t="n"/>
      <c r="E390" s="33" t="n"/>
      <c r="F390" s="36" t="n"/>
      <c r="G390" s="33" t="n"/>
      <c r="H390" s="20" t="str">
        <f>IF(AND(ISNUMBER(E390),ISNUMBER(F390)),E390*F390,"")</f>
        <v/>
      </c>
      <c r="I390" s="38" t="str">
        <f>IF(A390="","",IFERROR(IF(N(INDEX('交易记录'!$G$5:$G$304,MATCH(A390,'交易记录'!$A$5:$A$304,0)))&gt;0,INDEX('交易记录'!$G$5:$G$304,MATCH(A390,'交易记录'!$A$5:$A$304,0)),1),1))</f>
        <v/>
      </c>
      <c r="J390" s="41" t="str">
        <f>IF(ISNUMBER(H390),ROUND('参数'!$C$11+H390*I390*'参数'!$C$12+F390*'参数'!$C$13,2),"")</f>
        <v/>
      </c>
      <c r="K390" s="22" t="n"/>
      <c r="L390" s="20" t="str">
        <f>IF(ISNUMBER(K390),K390,IF(ISNUMBER(H390),J390,""))</f>
        <v/>
      </c>
      <c r="M390" s="46" t="str">
        <f>IF(AND(ISNUMBER(E390),ISNUMBER(G390),ISNUMBER(F390)),(E390-G390)*IF(D390="卖",-1,1)*F390*I390,"")</f>
        <v/>
      </c>
      <c r="N390" s="38" t="str">
        <f>IF(A390="","",IFERROR(T(INDEX('交易记录'!$C$5:$C$304,MATCH(A390,'交易记录'!$A$5:$A$304,0))),"编号没找到"))</f>
        <v/>
      </c>
      <c r="O390" s="31" t="n"/>
    </row>
    <row r="391">
      <c r="A391" s="29" t="n"/>
      <c r="B391" s="30" t="n"/>
      <c r="C391" s="27" t="n"/>
      <c r="D391" s="32" t="n"/>
      <c r="E391" s="33" t="n"/>
      <c r="F391" s="36" t="n"/>
      <c r="G391" s="33" t="n"/>
      <c r="H391" s="20" t="str">
        <f>IF(AND(ISNUMBER(E391),ISNUMBER(F391)),E391*F391,"")</f>
        <v/>
      </c>
      <c r="I391" s="38" t="str">
        <f>IF(A391="","",IFERROR(IF(N(INDEX('交易记录'!$G$5:$G$304,MATCH(A391,'交易记录'!$A$5:$A$304,0)))&gt;0,INDEX('交易记录'!$G$5:$G$304,MATCH(A391,'交易记录'!$A$5:$A$304,0)),1),1))</f>
        <v/>
      </c>
      <c r="J391" s="41" t="str">
        <f>IF(ISNUMBER(H391),ROUND('参数'!$C$11+H391*I391*'参数'!$C$12+F391*'参数'!$C$13,2),"")</f>
        <v/>
      </c>
      <c r="K391" s="22" t="n"/>
      <c r="L391" s="20" t="str">
        <f>IF(ISNUMBER(K391),K391,IF(ISNUMBER(H391),J391,""))</f>
        <v/>
      </c>
      <c r="M391" s="46" t="str">
        <f>IF(AND(ISNUMBER(E391),ISNUMBER(G391),ISNUMBER(F391)),(E391-G391)*IF(D391="卖",-1,1)*F391*I391,"")</f>
        <v/>
      </c>
      <c r="N391" s="38" t="str">
        <f>IF(A391="","",IFERROR(T(INDEX('交易记录'!$C$5:$C$304,MATCH(A391,'交易记录'!$A$5:$A$304,0))),"编号没找到"))</f>
        <v/>
      </c>
      <c r="O391" s="31" t="n"/>
    </row>
    <row r="392">
      <c r="A392" s="29" t="n"/>
      <c r="B392" s="30" t="n"/>
      <c r="C392" s="27" t="n"/>
      <c r="D392" s="32" t="n"/>
      <c r="E392" s="33" t="n"/>
      <c r="F392" s="36" t="n"/>
      <c r="G392" s="33" t="n"/>
      <c r="H392" s="20" t="str">
        <f>IF(AND(ISNUMBER(E392),ISNUMBER(F392)),E392*F392,"")</f>
        <v/>
      </c>
      <c r="I392" s="38" t="str">
        <f>IF(A392="","",IFERROR(IF(N(INDEX('交易记录'!$G$5:$G$304,MATCH(A392,'交易记录'!$A$5:$A$304,0)))&gt;0,INDEX('交易记录'!$G$5:$G$304,MATCH(A392,'交易记录'!$A$5:$A$304,0)),1),1))</f>
        <v/>
      </c>
      <c r="J392" s="41" t="str">
        <f>IF(ISNUMBER(H392),ROUND('参数'!$C$11+H392*I392*'参数'!$C$12+F392*'参数'!$C$13,2),"")</f>
        <v/>
      </c>
      <c r="K392" s="22" t="n"/>
      <c r="L392" s="20" t="str">
        <f>IF(ISNUMBER(K392),K392,IF(ISNUMBER(H392),J392,""))</f>
        <v/>
      </c>
      <c r="M392" s="46" t="str">
        <f>IF(AND(ISNUMBER(E392),ISNUMBER(G392),ISNUMBER(F392)),(E392-G392)*IF(D392="卖",-1,1)*F392*I392,"")</f>
        <v/>
      </c>
      <c r="N392" s="38" t="str">
        <f>IF(A392="","",IFERROR(T(INDEX('交易记录'!$C$5:$C$304,MATCH(A392,'交易记录'!$A$5:$A$304,0))),"编号没找到"))</f>
        <v/>
      </c>
      <c r="O392" s="31" t="n"/>
    </row>
    <row r="393">
      <c r="A393" s="29" t="n"/>
      <c r="B393" s="30" t="n"/>
      <c r="C393" s="27" t="n"/>
      <c r="D393" s="32" t="n"/>
      <c r="E393" s="33" t="n"/>
      <c r="F393" s="36" t="n"/>
      <c r="G393" s="33" t="n"/>
      <c r="H393" s="20" t="str">
        <f>IF(AND(ISNUMBER(E393),ISNUMBER(F393)),E393*F393,"")</f>
        <v/>
      </c>
      <c r="I393" s="38" t="str">
        <f>IF(A393="","",IFERROR(IF(N(INDEX('交易记录'!$G$5:$G$304,MATCH(A393,'交易记录'!$A$5:$A$304,0)))&gt;0,INDEX('交易记录'!$G$5:$G$304,MATCH(A393,'交易记录'!$A$5:$A$304,0)),1),1))</f>
        <v/>
      </c>
      <c r="J393" s="41" t="str">
        <f>IF(ISNUMBER(H393),ROUND('参数'!$C$11+H393*I393*'参数'!$C$12+F393*'参数'!$C$13,2),"")</f>
        <v/>
      </c>
      <c r="K393" s="22" t="n"/>
      <c r="L393" s="20" t="str">
        <f>IF(ISNUMBER(K393),K393,IF(ISNUMBER(H393),J393,""))</f>
        <v/>
      </c>
      <c r="M393" s="46" t="str">
        <f>IF(AND(ISNUMBER(E393),ISNUMBER(G393),ISNUMBER(F393)),(E393-G393)*IF(D393="卖",-1,1)*F393*I393,"")</f>
        <v/>
      </c>
      <c r="N393" s="38" t="str">
        <f>IF(A393="","",IFERROR(T(INDEX('交易记录'!$C$5:$C$304,MATCH(A393,'交易记录'!$A$5:$A$304,0))),"编号没找到"))</f>
        <v/>
      </c>
      <c r="O393" s="31" t="n"/>
    </row>
    <row r="394">
      <c r="A394" s="29" t="n"/>
      <c r="B394" s="30" t="n"/>
      <c r="C394" s="27" t="n"/>
      <c r="D394" s="32" t="n"/>
      <c r="E394" s="33" t="n"/>
      <c r="F394" s="36" t="n"/>
      <c r="G394" s="33" t="n"/>
      <c r="H394" s="20" t="str">
        <f>IF(AND(ISNUMBER(E394),ISNUMBER(F394)),E394*F394,"")</f>
        <v/>
      </c>
      <c r="I394" s="38" t="str">
        <f>IF(A394="","",IFERROR(IF(N(INDEX('交易记录'!$G$5:$G$304,MATCH(A394,'交易记录'!$A$5:$A$304,0)))&gt;0,INDEX('交易记录'!$G$5:$G$304,MATCH(A394,'交易记录'!$A$5:$A$304,0)),1),1))</f>
        <v/>
      </c>
      <c r="J394" s="41" t="str">
        <f>IF(ISNUMBER(H394),ROUND('参数'!$C$11+H394*I394*'参数'!$C$12+F394*'参数'!$C$13,2),"")</f>
        <v/>
      </c>
      <c r="K394" s="22" t="n"/>
      <c r="L394" s="20" t="str">
        <f>IF(ISNUMBER(K394),K394,IF(ISNUMBER(H394),J394,""))</f>
        <v/>
      </c>
      <c r="M394" s="46" t="str">
        <f>IF(AND(ISNUMBER(E394),ISNUMBER(G394),ISNUMBER(F394)),(E394-G394)*IF(D394="卖",-1,1)*F394*I394,"")</f>
        <v/>
      </c>
      <c r="N394" s="38" t="str">
        <f>IF(A394="","",IFERROR(T(INDEX('交易记录'!$C$5:$C$304,MATCH(A394,'交易记录'!$A$5:$A$304,0))),"编号没找到"))</f>
        <v/>
      </c>
      <c r="O394" s="31" t="n"/>
    </row>
    <row r="395">
      <c r="A395" s="29" t="n"/>
      <c r="B395" s="30" t="n"/>
      <c r="C395" s="27" t="n"/>
      <c r="D395" s="32" t="n"/>
      <c r="E395" s="33" t="n"/>
      <c r="F395" s="36" t="n"/>
      <c r="G395" s="33" t="n"/>
      <c r="H395" s="20" t="str">
        <f>IF(AND(ISNUMBER(E395),ISNUMBER(F395)),E395*F395,"")</f>
        <v/>
      </c>
      <c r="I395" s="38" t="str">
        <f>IF(A395="","",IFERROR(IF(N(INDEX('交易记录'!$G$5:$G$304,MATCH(A395,'交易记录'!$A$5:$A$304,0)))&gt;0,INDEX('交易记录'!$G$5:$G$304,MATCH(A395,'交易记录'!$A$5:$A$304,0)),1),1))</f>
        <v/>
      </c>
      <c r="J395" s="41" t="str">
        <f>IF(ISNUMBER(H395),ROUND('参数'!$C$11+H395*I395*'参数'!$C$12+F395*'参数'!$C$13,2),"")</f>
        <v/>
      </c>
      <c r="K395" s="22" t="n"/>
      <c r="L395" s="20" t="str">
        <f>IF(ISNUMBER(K395),K395,IF(ISNUMBER(H395),J395,""))</f>
        <v/>
      </c>
      <c r="M395" s="46" t="str">
        <f>IF(AND(ISNUMBER(E395),ISNUMBER(G395),ISNUMBER(F395)),(E395-G395)*IF(D395="卖",-1,1)*F395*I395,"")</f>
        <v/>
      </c>
      <c r="N395" s="38" t="str">
        <f>IF(A395="","",IFERROR(T(INDEX('交易记录'!$C$5:$C$304,MATCH(A395,'交易记录'!$A$5:$A$304,0))),"编号没找到"))</f>
        <v/>
      </c>
      <c r="O395" s="31" t="n"/>
    </row>
    <row r="396">
      <c r="A396" s="29" t="n"/>
      <c r="B396" s="30" t="n"/>
      <c r="C396" s="27" t="n"/>
      <c r="D396" s="32" t="n"/>
      <c r="E396" s="33" t="n"/>
      <c r="F396" s="36" t="n"/>
      <c r="G396" s="33" t="n"/>
      <c r="H396" s="20" t="str">
        <f>IF(AND(ISNUMBER(E396),ISNUMBER(F396)),E396*F396,"")</f>
        <v/>
      </c>
      <c r="I396" s="38" t="str">
        <f>IF(A396="","",IFERROR(IF(N(INDEX('交易记录'!$G$5:$G$304,MATCH(A396,'交易记录'!$A$5:$A$304,0)))&gt;0,INDEX('交易记录'!$G$5:$G$304,MATCH(A396,'交易记录'!$A$5:$A$304,0)),1),1))</f>
        <v/>
      </c>
      <c r="J396" s="41" t="str">
        <f>IF(ISNUMBER(H396),ROUND('参数'!$C$11+H396*I396*'参数'!$C$12+F396*'参数'!$C$13,2),"")</f>
        <v/>
      </c>
      <c r="K396" s="22" t="n"/>
      <c r="L396" s="20" t="str">
        <f>IF(ISNUMBER(K396),K396,IF(ISNUMBER(H396),J396,""))</f>
        <v/>
      </c>
      <c r="M396" s="46" t="str">
        <f>IF(AND(ISNUMBER(E396),ISNUMBER(G396),ISNUMBER(F396)),(E396-G396)*IF(D396="卖",-1,1)*F396*I396,"")</f>
        <v/>
      </c>
      <c r="N396" s="38" t="str">
        <f>IF(A396="","",IFERROR(T(INDEX('交易记录'!$C$5:$C$304,MATCH(A396,'交易记录'!$A$5:$A$304,0))),"编号没找到"))</f>
        <v/>
      </c>
      <c r="O396" s="31" t="n"/>
    </row>
    <row r="397">
      <c r="A397" s="29" t="n"/>
      <c r="B397" s="30" t="n"/>
      <c r="C397" s="27" t="n"/>
      <c r="D397" s="32" t="n"/>
      <c r="E397" s="33" t="n"/>
      <c r="F397" s="36" t="n"/>
      <c r="G397" s="33" t="n"/>
      <c r="H397" s="20" t="str">
        <f>IF(AND(ISNUMBER(E397),ISNUMBER(F397)),E397*F397,"")</f>
        <v/>
      </c>
      <c r="I397" s="38" t="str">
        <f>IF(A397="","",IFERROR(IF(N(INDEX('交易记录'!$G$5:$G$304,MATCH(A397,'交易记录'!$A$5:$A$304,0)))&gt;0,INDEX('交易记录'!$G$5:$G$304,MATCH(A397,'交易记录'!$A$5:$A$304,0)),1),1))</f>
        <v/>
      </c>
      <c r="J397" s="41" t="str">
        <f>IF(ISNUMBER(H397),ROUND('参数'!$C$11+H397*I397*'参数'!$C$12+F397*'参数'!$C$13,2),"")</f>
        <v/>
      </c>
      <c r="K397" s="22" t="n"/>
      <c r="L397" s="20" t="str">
        <f>IF(ISNUMBER(K397),K397,IF(ISNUMBER(H397),J397,""))</f>
        <v/>
      </c>
      <c r="M397" s="46" t="str">
        <f>IF(AND(ISNUMBER(E397),ISNUMBER(G397),ISNUMBER(F397)),(E397-G397)*IF(D397="卖",-1,1)*F397*I397,"")</f>
        <v/>
      </c>
      <c r="N397" s="38" t="str">
        <f>IF(A397="","",IFERROR(T(INDEX('交易记录'!$C$5:$C$304,MATCH(A397,'交易记录'!$A$5:$A$304,0))),"编号没找到"))</f>
        <v/>
      </c>
      <c r="O397" s="31" t="n"/>
    </row>
    <row r="398">
      <c r="A398" s="29" t="n"/>
      <c r="B398" s="30" t="n"/>
      <c r="C398" s="27" t="n"/>
      <c r="D398" s="32" t="n"/>
      <c r="E398" s="33" t="n"/>
      <c r="F398" s="36" t="n"/>
      <c r="G398" s="33" t="n"/>
      <c r="H398" s="20" t="str">
        <f>IF(AND(ISNUMBER(E398),ISNUMBER(F398)),E398*F398,"")</f>
        <v/>
      </c>
      <c r="I398" s="38" t="str">
        <f>IF(A398="","",IFERROR(IF(N(INDEX('交易记录'!$G$5:$G$304,MATCH(A398,'交易记录'!$A$5:$A$304,0)))&gt;0,INDEX('交易记录'!$G$5:$G$304,MATCH(A398,'交易记录'!$A$5:$A$304,0)),1),1))</f>
        <v/>
      </c>
      <c r="J398" s="41" t="str">
        <f>IF(ISNUMBER(H398),ROUND('参数'!$C$11+H398*I398*'参数'!$C$12+F398*'参数'!$C$13,2),"")</f>
        <v/>
      </c>
      <c r="K398" s="22" t="n"/>
      <c r="L398" s="20" t="str">
        <f>IF(ISNUMBER(K398),K398,IF(ISNUMBER(H398),J398,""))</f>
        <v/>
      </c>
      <c r="M398" s="46" t="str">
        <f>IF(AND(ISNUMBER(E398),ISNUMBER(G398),ISNUMBER(F398)),(E398-G398)*IF(D398="卖",-1,1)*F398*I398,"")</f>
        <v/>
      </c>
      <c r="N398" s="38" t="str">
        <f>IF(A398="","",IFERROR(T(INDEX('交易记录'!$C$5:$C$304,MATCH(A398,'交易记录'!$A$5:$A$304,0))),"编号没找到"))</f>
        <v/>
      </c>
      <c r="O398" s="31" t="n"/>
    </row>
    <row r="399">
      <c r="A399" s="29" t="n"/>
      <c r="B399" s="30" t="n"/>
      <c r="C399" s="27" t="n"/>
      <c r="D399" s="32" t="n"/>
      <c r="E399" s="33" t="n"/>
      <c r="F399" s="36" t="n"/>
      <c r="G399" s="33" t="n"/>
      <c r="H399" s="20" t="str">
        <f>IF(AND(ISNUMBER(E399),ISNUMBER(F399)),E399*F399,"")</f>
        <v/>
      </c>
      <c r="I399" s="38" t="str">
        <f>IF(A399="","",IFERROR(IF(N(INDEX('交易记录'!$G$5:$G$304,MATCH(A399,'交易记录'!$A$5:$A$304,0)))&gt;0,INDEX('交易记录'!$G$5:$G$304,MATCH(A399,'交易记录'!$A$5:$A$304,0)),1),1))</f>
        <v/>
      </c>
      <c r="J399" s="41" t="str">
        <f>IF(ISNUMBER(H399),ROUND('参数'!$C$11+H399*I399*'参数'!$C$12+F399*'参数'!$C$13,2),"")</f>
        <v/>
      </c>
      <c r="K399" s="22" t="n"/>
      <c r="L399" s="20" t="str">
        <f>IF(ISNUMBER(K399),K399,IF(ISNUMBER(H399),J399,""))</f>
        <v/>
      </c>
      <c r="M399" s="46" t="str">
        <f>IF(AND(ISNUMBER(E399),ISNUMBER(G399),ISNUMBER(F399)),(E399-G399)*IF(D399="卖",-1,1)*F399*I399,"")</f>
        <v/>
      </c>
      <c r="N399" s="38" t="str">
        <f>IF(A399="","",IFERROR(T(INDEX('交易记录'!$C$5:$C$304,MATCH(A399,'交易记录'!$A$5:$A$304,0))),"编号没找到"))</f>
        <v/>
      </c>
      <c r="O399" s="31" t="n"/>
    </row>
    <row r="400">
      <c r="A400" s="29" t="n"/>
      <c r="B400" s="30" t="n"/>
      <c r="C400" s="27" t="n"/>
      <c r="D400" s="32" t="n"/>
      <c r="E400" s="33" t="n"/>
      <c r="F400" s="36" t="n"/>
      <c r="G400" s="33" t="n"/>
      <c r="H400" s="20" t="str">
        <f>IF(AND(ISNUMBER(E400),ISNUMBER(F400)),E400*F400,"")</f>
        <v/>
      </c>
      <c r="I400" s="38" t="str">
        <f>IF(A400="","",IFERROR(IF(N(INDEX('交易记录'!$G$5:$G$304,MATCH(A400,'交易记录'!$A$5:$A$304,0)))&gt;0,INDEX('交易记录'!$G$5:$G$304,MATCH(A400,'交易记录'!$A$5:$A$304,0)),1),1))</f>
        <v/>
      </c>
      <c r="J400" s="41" t="str">
        <f>IF(ISNUMBER(H400),ROUND('参数'!$C$11+H400*I400*'参数'!$C$12+F400*'参数'!$C$13,2),"")</f>
        <v/>
      </c>
      <c r="K400" s="22" t="n"/>
      <c r="L400" s="20" t="str">
        <f>IF(ISNUMBER(K400),K400,IF(ISNUMBER(H400),J400,""))</f>
        <v/>
      </c>
      <c r="M400" s="46" t="str">
        <f>IF(AND(ISNUMBER(E400),ISNUMBER(G400),ISNUMBER(F400)),(E400-G400)*IF(D400="卖",-1,1)*F400*I400,"")</f>
        <v/>
      </c>
      <c r="N400" s="38" t="str">
        <f>IF(A400="","",IFERROR(T(INDEX('交易记录'!$C$5:$C$304,MATCH(A400,'交易记录'!$A$5:$A$304,0))),"编号没找到"))</f>
        <v/>
      </c>
      <c r="O400" s="31" t="n"/>
    </row>
    <row r="401">
      <c r="A401" s="29" t="n"/>
      <c r="B401" s="30" t="n"/>
      <c r="C401" s="27" t="n"/>
      <c r="D401" s="32" t="n"/>
      <c r="E401" s="33" t="n"/>
      <c r="F401" s="36" t="n"/>
      <c r="G401" s="33" t="n"/>
      <c r="H401" s="20" t="str">
        <f>IF(AND(ISNUMBER(E401),ISNUMBER(F401)),E401*F401,"")</f>
        <v/>
      </c>
      <c r="I401" s="38" t="str">
        <f>IF(A401="","",IFERROR(IF(N(INDEX('交易记录'!$G$5:$G$304,MATCH(A401,'交易记录'!$A$5:$A$304,0)))&gt;0,INDEX('交易记录'!$G$5:$G$304,MATCH(A401,'交易记录'!$A$5:$A$304,0)),1),1))</f>
        <v/>
      </c>
      <c r="J401" s="41" t="str">
        <f>IF(ISNUMBER(H401),ROUND('参数'!$C$11+H401*I401*'参数'!$C$12+F401*'参数'!$C$13,2),"")</f>
        <v/>
      </c>
      <c r="K401" s="22" t="n"/>
      <c r="L401" s="20" t="str">
        <f>IF(ISNUMBER(K401),K401,IF(ISNUMBER(H401),J401,""))</f>
        <v/>
      </c>
      <c r="M401" s="46" t="str">
        <f>IF(AND(ISNUMBER(E401),ISNUMBER(G401),ISNUMBER(F401)),(E401-G401)*IF(D401="卖",-1,1)*F401*I401,"")</f>
        <v/>
      </c>
      <c r="N401" s="38" t="str">
        <f>IF(A401="","",IFERROR(T(INDEX('交易记录'!$C$5:$C$304,MATCH(A401,'交易记录'!$A$5:$A$304,0))),"编号没找到"))</f>
        <v/>
      </c>
      <c r="O401" s="31" t="n"/>
    </row>
    <row r="402">
      <c r="A402" s="29" t="n"/>
      <c r="B402" s="30" t="n"/>
      <c r="C402" s="27" t="n"/>
      <c r="D402" s="32" t="n"/>
      <c r="E402" s="33" t="n"/>
      <c r="F402" s="36" t="n"/>
      <c r="G402" s="33" t="n"/>
      <c r="H402" s="20" t="str">
        <f>IF(AND(ISNUMBER(E402),ISNUMBER(F402)),E402*F402,"")</f>
        <v/>
      </c>
      <c r="I402" s="38" t="str">
        <f>IF(A402="","",IFERROR(IF(N(INDEX('交易记录'!$G$5:$G$304,MATCH(A402,'交易记录'!$A$5:$A$304,0)))&gt;0,INDEX('交易记录'!$G$5:$G$304,MATCH(A402,'交易记录'!$A$5:$A$304,0)),1),1))</f>
        <v/>
      </c>
      <c r="J402" s="41" t="str">
        <f>IF(ISNUMBER(H402),ROUND('参数'!$C$11+H402*I402*'参数'!$C$12+F402*'参数'!$C$13,2),"")</f>
        <v/>
      </c>
      <c r="K402" s="22" t="n"/>
      <c r="L402" s="20" t="str">
        <f>IF(ISNUMBER(K402),K402,IF(ISNUMBER(H402),J402,""))</f>
        <v/>
      </c>
      <c r="M402" s="46" t="str">
        <f>IF(AND(ISNUMBER(E402),ISNUMBER(G402),ISNUMBER(F402)),(E402-G402)*IF(D402="卖",-1,1)*F402*I402,"")</f>
        <v/>
      </c>
      <c r="N402" s="38" t="str">
        <f>IF(A402="","",IFERROR(T(INDEX('交易记录'!$C$5:$C$304,MATCH(A402,'交易记录'!$A$5:$A$304,0))),"编号没找到"))</f>
        <v/>
      </c>
      <c r="O402" s="31" t="n"/>
    </row>
    <row r="403">
      <c r="A403" s="29" t="n"/>
      <c r="B403" s="30" t="n"/>
      <c r="C403" s="27" t="n"/>
      <c r="D403" s="32" t="n"/>
      <c r="E403" s="33" t="n"/>
      <c r="F403" s="36" t="n"/>
      <c r="G403" s="33" t="n"/>
      <c r="H403" s="20" t="str">
        <f>IF(AND(ISNUMBER(E403),ISNUMBER(F403)),E403*F403,"")</f>
        <v/>
      </c>
      <c r="I403" s="38" t="str">
        <f>IF(A403="","",IFERROR(IF(N(INDEX('交易记录'!$G$5:$G$304,MATCH(A403,'交易记录'!$A$5:$A$304,0)))&gt;0,INDEX('交易记录'!$G$5:$G$304,MATCH(A403,'交易记录'!$A$5:$A$304,0)),1),1))</f>
        <v/>
      </c>
      <c r="J403" s="41" t="str">
        <f>IF(ISNUMBER(H403),ROUND('参数'!$C$11+H403*I403*'参数'!$C$12+F403*'参数'!$C$13,2),"")</f>
        <v/>
      </c>
      <c r="K403" s="22" t="n"/>
      <c r="L403" s="20" t="str">
        <f>IF(ISNUMBER(K403),K403,IF(ISNUMBER(H403),J403,""))</f>
        <v/>
      </c>
      <c r="M403" s="46" t="str">
        <f>IF(AND(ISNUMBER(E403),ISNUMBER(G403),ISNUMBER(F403)),(E403-G403)*IF(D403="卖",-1,1)*F403*I403,"")</f>
        <v/>
      </c>
      <c r="N403" s="38" t="str">
        <f>IF(A403="","",IFERROR(T(INDEX('交易记录'!$C$5:$C$304,MATCH(A403,'交易记录'!$A$5:$A$304,0))),"编号没找到"))</f>
        <v/>
      </c>
      <c r="O403" s="31" t="n"/>
    </row>
    <row r="404">
      <c r="A404" s="29" t="n"/>
      <c r="B404" s="30" t="n"/>
      <c r="C404" s="27" t="n"/>
      <c r="D404" s="32" t="n"/>
      <c r="E404" s="33" t="n"/>
      <c r="F404" s="36" t="n"/>
      <c r="G404" s="33" t="n"/>
      <c r="H404" s="20" t="str">
        <f>IF(AND(ISNUMBER(E404),ISNUMBER(F404)),E404*F404,"")</f>
        <v/>
      </c>
      <c r="I404" s="38" t="str">
        <f>IF(A404="","",IFERROR(IF(N(INDEX('交易记录'!$G$5:$G$304,MATCH(A404,'交易记录'!$A$5:$A$304,0)))&gt;0,INDEX('交易记录'!$G$5:$G$304,MATCH(A404,'交易记录'!$A$5:$A$304,0)),1),1))</f>
        <v/>
      </c>
      <c r="J404" s="41" t="str">
        <f>IF(ISNUMBER(H404),ROUND('参数'!$C$11+H404*I404*'参数'!$C$12+F404*'参数'!$C$13,2),"")</f>
        <v/>
      </c>
      <c r="K404" s="22" t="n"/>
      <c r="L404" s="20" t="str">
        <f>IF(ISNUMBER(K404),K404,IF(ISNUMBER(H404),J404,""))</f>
        <v/>
      </c>
      <c r="M404" s="46" t="str">
        <f>IF(AND(ISNUMBER(E404),ISNUMBER(G404),ISNUMBER(F404)),(E404-G404)*IF(D404="卖",-1,1)*F404*I404,"")</f>
        <v/>
      </c>
      <c r="N404" s="38" t="str">
        <f>IF(A404="","",IFERROR(T(INDEX('交易记录'!$C$5:$C$304,MATCH(A404,'交易记录'!$A$5:$A$304,0))),"编号没找到"))</f>
        <v/>
      </c>
      <c r="O404" s="31" t="n"/>
    </row>
    <row r="405">
      <c r="A405" s="29" t="n"/>
      <c r="B405" s="30" t="n"/>
      <c r="C405" s="27" t="n"/>
      <c r="D405" s="32" t="n"/>
      <c r="E405" s="33" t="n"/>
      <c r="F405" s="36" t="n"/>
      <c r="G405" s="33" t="n"/>
      <c r="H405" s="20" t="str">
        <f>IF(AND(ISNUMBER(E405),ISNUMBER(F405)),E405*F405,"")</f>
        <v/>
      </c>
      <c r="I405" s="38" t="str">
        <f>IF(A405="","",IFERROR(IF(N(INDEX('交易记录'!$G$5:$G$304,MATCH(A405,'交易记录'!$A$5:$A$304,0)))&gt;0,INDEX('交易记录'!$G$5:$G$304,MATCH(A405,'交易记录'!$A$5:$A$304,0)),1),1))</f>
        <v/>
      </c>
      <c r="J405" s="41" t="str">
        <f>IF(ISNUMBER(H405),ROUND('参数'!$C$11+H405*I405*'参数'!$C$12+F405*'参数'!$C$13,2),"")</f>
        <v/>
      </c>
      <c r="K405" s="22" t="n"/>
      <c r="L405" s="20" t="str">
        <f>IF(ISNUMBER(K405),K405,IF(ISNUMBER(H405),J405,""))</f>
        <v/>
      </c>
      <c r="M405" s="46" t="str">
        <f>IF(AND(ISNUMBER(E405),ISNUMBER(G405),ISNUMBER(F405)),(E405-G405)*IF(D405="卖",-1,1)*F405*I405,"")</f>
        <v/>
      </c>
      <c r="N405" s="38" t="str">
        <f>IF(A405="","",IFERROR(T(INDEX('交易记录'!$C$5:$C$304,MATCH(A405,'交易记录'!$A$5:$A$304,0))),"编号没找到"))</f>
        <v/>
      </c>
      <c r="O405" s="31" t="n"/>
    </row>
    <row r="406">
      <c r="A406" s="29" t="n"/>
      <c r="B406" s="30" t="n"/>
      <c r="C406" s="27" t="n"/>
      <c r="D406" s="32" t="n"/>
      <c r="E406" s="33" t="n"/>
      <c r="F406" s="36" t="n"/>
      <c r="G406" s="33" t="n"/>
      <c r="H406" s="20" t="str">
        <f>IF(AND(ISNUMBER(E406),ISNUMBER(F406)),E406*F406,"")</f>
        <v/>
      </c>
      <c r="I406" s="38" t="str">
        <f>IF(A406="","",IFERROR(IF(N(INDEX('交易记录'!$G$5:$G$304,MATCH(A406,'交易记录'!$A$5:$A$304,0)))&gt;0,INDEX('交易记录'!$G$5:$G$304,MATCH(A406,'交易记录'!$A$5:$A$304,0)),1),1))</f>
        <v/>
      </c>
      <c r="J406" s="41" t="str">
        <f>IF(ISNUMBER(H406),ROUND('参数'!$C$11+H406*I406*'参数'!$C$12+F406*'参数'!$C$13,2),"")</f>
        <v/>
      </c>
      <c r="K406" s="22" t="n"/>
      <c r="L406" s="20" t="str">
        <f>IF(ISNUMBER(K406),K406,IF(ISNUMBER(H406),J406,""))</f>
        <v/>
      </c>
      <c r="M406" s="46" t="str">
        <f>IF(AND(ISNUMBER(E406),ISNUMBER(G406),ISNUMBER(F406)),(E406-G406)*IF(D406="卖",-1,1)*F406*I406,"")</f>
        <v/>
      </c>
      <c r="N406" s="38" t="str">
        <f>IF(A406="","",IFERROR(T(INDEX('交易记录'!$C$5:$C$304,MATCH(A406,'交易记录'!$A$5:$A$304,0))),"编号没找到"))</f>
        <v/>
      </c>
      <c r="O406" s="31" t="n"/>
    </row>
    <row r="407">
      <c r="A407" s="29" t="n"/>
      <c r="B407" s="30" t="n"/>
      <c r="C407" s="27" t="n"/>
      <c r="D407" s="32" t="n"/>
      <c r="E407" s="33" t="n"/>
      <c r="F407" s="36" t="n"/>
      <c r="G407" s="33" t="n"/>
      <c r="H407" s="20" t="str">
        <f>IF(AND(ISNUMBER(E407),ISNUMBER(F407)),E407*F407,"")</f>
        <v/>
      </c>
      <c r="I407" s="38" t="str">
        <f>IF(A407="","",IFERROR(IF(N(INDEX('交易记录'!$G$5:$G$304,MATCH(A407,'交易记录'!$A$5:$A$304,0)))&gt;0,INDEX('交易记录'!$G$5:$G$304,MATCH(A407,'交易记录'!$A$5:$A$304,0)),1),1))</f>
        <v/>
      </c>
      <c r="J407" s="41" t="str">
        <f>IF(ISNUMBER(H407),ROUND('参数'!$C$11+H407*I407*'参数'!$C$12+F407*'参数'!$C$13,2),"")</f>
        <v/>
      </c>
      <c r="K407" s="22" t="n"/>
      <c r="L407" s="20" t="str">
        <f>IF(ISNUMBER(K407),K407,IF(ISNUMBER(H407),J407,""))</f>
        <v/>
      </c>
      <c r="M407" s="46" t="str">
        <f>IF(AND(ISNUMBER(E407),ISNUMBER(G407),ISNUMBER(F407)),(E407-G407)*IF(D407="卖",-1,1)*F407*I407,"")</f>
        <v/>
      </c>
      <c r="N407" s="38" t="str">
        <f>IF(A407="","",IFERROR(T(INDEX('交易记录'!$C$5:$C$304,MATCH(A407,'交易记录'!$A$5:$A$304,0))),"编号没找到"))</f>
        <v/>
      </c>
      <c r="O407" s="31" t="n"/>
    </row>
    <row r="408">
      <c r="A408" s="29" t="n"/>
      <c r="B408" s="30" t="n"/>
      <c r="C408" s="27" t="n"/>
      <c r="D408" s="32" t="n"/>
      <c r="E408" s="33" t="n"/>
      <c r="F408" s="36" t="n"/>
      <c r="G408" s="33" t="n"/>
      <c r="H408" s="20" t="str">
        <f>IF(AND(ISNUMBER(E408),ISNUMBER(F408)),E408*F408,"")</f>
        <v/>
      </c>
      <c r="I408" s="38" t="str">
        <f>IF(A408="","",IFERROR(IF(N(INDEX('交易记录'!$G$5:$G$304,MATCH(A408,'交易记录'!$A$5:$A$304,0)))&gt;0,INDEX('交易记录'!$G$5:$G$304,MATCH(A408,'交易记录'!$A$5:$A$304,0)),1),1))</f>
        <v/>
      </c>
      <c r="J408" s="41" t="str">
        <f>IF(ISNUMBER(H408),ROUND('参数'!$C$11+H408*I408*'参数'!$C$12+F408*'参数'!$C$13,2),"")</f>
        <v/>
      </c>
      <c r="K408" s="22" t="n"/>
      <c r="L408" s="20" t="str">
        <f>IF(ISNUMBER(K408),K408,IF(ISNUMBER(H408),J408,""))</f>
        <v/>
      </c>
      <c r="M408" s="46" t="str">
        <f>IF(AND(ISNUMBER(E408),ISNUMBER(G408),ISNUMBER(F408)),(E408-G408)*IF(D408="卖",-1,1)*F408*I408,"")</f>
        <v/>
      </c>
      <c r="N408" s="38" t="str">
        <f>IF(A408="","",IFERROR(T(INDEX('交易记录'!$C$5:$C$304,MATCH(A408,'交易记录'!$A$5:$A$304,0))),"编号没找到"))</f>
        <v/>
      </c>
      <c r="O408" s="31" t="n"/>
    </row>
    <row r="409">
      <c r="A409" s="29" t="n"/>
      <c r="B409" s="30" t="n"/>
      <c r="C409" s="27" t="n"/>
      <c r="D409" s="32" t="n"/>
      <c r="E409" s="33" t="n"/>
      <c r="F409" s="36" t="n"/>
      <c r="G409" s="33" t="n"/>
      <c r="H409" s="20" t="str">
        <f>IF(AND(ISNUMBER(E409),ISNUMBER(F409)),E409*F409,"")</f>
        <v/>
      </c>
      <c r="I409" s="38" t="str">
        <f>IF(A409="","",IFERROR(IF(N(INDEX('交易记录'!$G$5:$G$304,MATCH(A409,'交易记录'!$A$5:$A$304,0)))&gt;0,INDEX('交易记录'!$G$5:$G$304,MATCH(A409,'交易记录'!$A$5:$A$304,0)),1),1))</f>
        <v/>
      </c>
      <c r="J409" s="41" t="str">
        <f>IF(ISNUMBER(H409),ROUND('参数'!$C$11+H409*I409*'参数'!$C$12+F409*'参数'!$C$13,2),"")</f>
        <v/>
      </c>
      <c r="K409" s="22" t="n"/>
      <c r="L409" s="20" t="str">
        <f>IF(ISNUMBER(K409),K409,IF(ISNUMBER(H409),J409,""))</f>
        <v/>
      </c>
      <c r="M409" s="46" t="str">
        <f>IF(AND(ISNUMBER(E409),ISNUMBER(G409),ISNUMBER(F409)),(E409-G409)*IF(D409="卖",-1,1)*F409*I409,"")</f>
        <v/>
      </c>
      <c r="N409" s="38" t="str">
        <f>IF(A409="","",IFERROR(T(INDEX('交易记录'!$C$5:$C$304,MATCH(A409,'交易记录'!$A$5:$A$304,0))),"编号没找到"))</f>
        <v/>
      </c>
      <c r="O409" s="31" t="n"/>
    </row>
    <row r="410">
      <c r="A410" s="29" t="n"/>
      <c r="B410" s="30" t="n"/>
      <c r="C410" s="27" t="n"/>
      <c r="D410" s="32" t="n"/>
      <c r="E410" s="33" t="n"/>
      <c r="F410" s="36" t="n"/>
      <c r="G410" s="33" t="n"/>
      <c r="H410" s="20" t="str">
        <f>IF(AND(ISNUMBER(E410),ISNUMBER(F410)),E410*F410,"")</f>
        <v/>
      </c>
      <c r="I410" s="38" t="str">
        <f>IF(A410="","",IFERROR(IF(N(INDEX('交易记录'!$G$5:$G$304,MATCH(A410,'交易记录'!$A$5:$A$304,0)))&gt;0,INDEX('交易记录'!$G$5:$G$304,MATCH(A410,'交易记录'!$A$5:$A$304,0)),1),1))</f>
        <v/>
      </c>
      <c r="J410" s="41" t="str">
        <f>IF(ISNUMBER(H410),ROUND('参数'!$C$11+H410*I410*'参数'!$C$12+F410*'参数'!$C$13,2),"")</f>
        <v/>
      </c>
      <c r="K410" s="22" t="n"/>
      <c r="L410" s="20" t="str">
        <f>IF(ISNUMBER(K410),K410,IF(ISNUMBER(H410),J410,""))</f>
        <v/>
      </c>
      <c r="M410" s="46" t="str">
        <f>IF(AND(ISNUMBER(E410),ISNUMBER(G410),ISNUMBER(F410)),(E410-G410)*IF(D410="卖",-1,1)*F410*I410,"")</f>
        <v/>
      </c>
      <c r="N410" s="38" t="str">
        <f>IF(A410="","",IFERROR(T(INDEX('交易记录'!$C$5:$C$304,MATCH(A410,'交易记录'!$A$5:$A$304,0))),"编号没找到"))</f>
        <v/>
      </c>
      <c r="O410" s="31" t="n"/>
    </row>
    <row r="411">
      <c r="A411" s="29" t="n"/>
      <c r="B411" s="30" t="n"/>
      <c r="C411" s="27" t="n"/>
      <c r="D411" s="32" t="n"/>
      <c r="E411" s="33" t="n"/>
      <c r="F411" s="36" t="n"/>
      <c r="G411" s="33" t="n"/>
      <c r="H411" s="20" t="str">
        <f>IF(AND(ISNUMBER(E411),ISNUMBER(F411)),E411*F411,"")</f>
        <v/>
      </c>
      <c r="I411" s="38" t="str">
        <f>IF(A411="","",IFERROR(IF(N(INDEX('交易记录'!$G$5:$G$304,MATCH(A411,'交易记录'!$A$5:$A$304,0)))&gt;0,INDEX('交易记录'!$G$5:$G$304,MATCH(A411,'交易记录'!$A$5:$A$304,0)),1),1))</f>
        <v/>
      </c>
      <c r="J411" s="41" t="str">
        <f>IF(ISNUMBER(H411),ROUND('参数'!$C$11+H411*I411*'参数'!$C$12+F411*'参数'!$C$13,2),"")</f>
        <v/>
      </c>
      <c r="K411" s="22" t="n"/>
      <c r="L411" s="20" t="str">
        <f>IF(ISNUMBER(K411),K411,IF(ISNUMBER(H411),J411,""))</f>
        <v/>
      </c>
      <c r="M411" s="46" t="str">
        <f>IF(AND(ISNUMBER(E411),ISNUMBER(G411),ISNUMBER(F411)),(E411-G411)*IF(D411="卖",-1,1)*F411*I411,"")</f>
        <v/>
      </c>
      <c r="N411" s="38" t="str">
        <f>IF(A411="","",IFERROR(T(INDEX('交易记录'!$C$5:$C$304,MATCH(A411,'交易记录'!$A$5:$A$304,0))),"编号没找到"))</f>
        <v/>
      </c>
      <c r="O411" s="31" t="n"/>
    </row>
    <row r="412">
      <c r="A412" s="29" t="n"/>
      <c r="B412" s="30" t="n"/>
      <c r="C412" s="27" t="n"/>
      <c r="D412" s="32" t="n"/>
      <c r="E412" s="33" t="n"/>
      <c r="F412" s="36" t="n"/>
      <c r="G412" s="33" t="n"/>
      <c r="H412" s="20" t="str">
        <f>IF(AND(ISNUMBER(E412),ISNUMBER(F412)),E412*F412,"")</f>
        <v/>
      </c>
      <c r="I412" s="38" t="str">
        <f>IF(A412="","",IFERROR(IF(N(INDEX('交易记录'!$G$5:$G$304,MATCH(A412,'交易记录'!$A$5:$A$304,0)))&gt;0,INDEX('交易记录'!$G$5:$G$304,MATCH(A412,'交易记录'!$A$5:$A$304,0)),1),1))</f>
        <v/>
      </c>
      <c r="J412" s="41" t="str">
        <f>IF(ISNUMBER(H412),ROUND('参数'!$C$11+H412*I412*'参数'!$C$12+F412*'参数'!$C$13,2),"")</f>
        <v/>
      </c>
      <c r="K412" s="22" t="n"/>
      <c r="L412" s="20" t="str">
        <f>IF(ISNUMBER(K412),K412,IF(ISNUMBER(H412),J412,""))</f>
        <v/>
      </c>
      <c r="M412" s="46" t="str">
        <f>IF(AND(ISNUMBER(E412),ISNUMBER(G412),ISNUMBER(F412)),(E412-G412)*IF(D412="卖",-1,1)*F412*I412,"")</f>
        <v/>
      </c>
      <c r="N412" s="38" t="str">
        <f>IF(A412="","",IFERROR(T(INDEX('交易记录'!$C$5:$C$304,MATCH(A412,'交易记录'!$A$5:$A$304,0))),"编号没找到"))</f>
        <v/>
      </c>
      <c r="O412" s="31" t="n"/>
    </row>
    <row r="413">
      <c r="A413" s="29" t="n"/>
      <c r="B413" s="30" t="n"/>
      <c r="C413" s="27" t="n"/>
      <c r="D413" s="32" t="n"/>
      <c r="E413" s="33" t="n"/>
      <c r="F413" s="36" t="n"/>
      <c r="G413" s="33" t="n"/>
      <c r="H413" s="20" t="str">
        <f>IF(AND(ISNUMBER(E413),ISNUMBER(F413)),E413*F413,"")</f>
        <v/>
      </c>
      <c r="I413" s="38" t="str">
        <f>IF(A413="","",IFERROR(IF(N(INDEX('交易记录'!$G$5:$G$304,MATCH(A413,'交易记录'!$A$5:$A$304,0)))&gt;0,INDEX('交易记录'!$G$5:$G$304,MATCH(A413,'交易记录'!$A$5:$A$304,0)),1),1))</f>
        <v/>
      </c>
      <c r="J413" s="41" t="str">
        <f>IF(ISNUMBER(H413),ROUND('参数'!$C$11+H413*I413*'参数'!$C$12+F413*'参数'!$C$13,2),"")</f>
        <v/>
      </c>
      <c r="K413" s="22" t="n"/>
      <c r="L413" s="20" t="str">
        <f>IF(ISNUMBER(K413),K413,IF(ISNUMBER(H413),J413,""))</f>
        <v/>
      </c>
      <c r="M413" s="46" t="str">
        <f>IF(AND(ISNUMBER(E413),ISNUMBER(G413),ISNUMBER(F413)),(E413-G413)*IF(D413="卖",-1,1)*F413*I413,"")</f>
        <v/>
      </c>
      <c r="N413" s="38" t="str">
        <f>IF(A413="","",IFERROR(T(INDEX('交易记录'!$C$5:$C$304,MATCH(A413,'交易记录'!$A$5:$A$304,0))),"编号没找到"))</f>
        <v/>
      </c>
      <c r="O413" s="31" t="n"/>
    </row>
    <row r="414">
      <c r="A414" s="29" t="n"/>
      <c r="B414" s="30" t="n"/>
      <c r="C414" s="27" t="n"/>
      <c r="D414" s="32" t="n"/>
      <c r="E414" s="33" t="n"/>
      <c r="F414" s="36" t="n"/>
      <c r="G414" s="33" t="n"/>
      <c r="H414" s="20" t="str">
        <f>IF(AND(ISNUMBER(E414),ISNUMBER(F414)),E414*F414,"")</f>
        <v/>
      </c>
      <c r="I414" s="38" t="str">
        <f>IF(A414="","",IFERROR(IF(N(INDEX('交易记录'!$G$5:$G$304,MATCH(A414,'交易记录'!$A$5:$A$304,0)))&gt;0,INDEX('交易记录'!$G$5:$G$304,MATCH(A414,'交易记录'!$A$5:$A$304,0)),1),1))</f>
        <v/>
      </c>
      <c r="J414" s="41" t="str">
        <f>IF(ISNUMBER(H414),ROUND('参数'!$C$11+H414*I414*'参数'!$C$12+F414*'参数'!$C$13,2),"")</f>
        <v/>
      </c>
      <c r="K414" s="22" t="n"/>
      <c r="L414" s="20" t="str">
        <f>IF(ISNUMBER(K414),K414,IF(ISNUMBER(H414),J414,""))</f>
        <v/>
      </c>
      <c r="M414" s="46" t="str">
        <f>IF(AND(ISNUMBER(E414),ISNUMBER(G414),ISNUMBER(F414)),(E414-G414)*IF(D414="卖",-1,1)*F414*I414,"")</f>
        <v/>
      </c>
      <c r="N414" s="38" t="str">
        <f>IF(A414="","",IFERROR(T(INDEX('交易记录'!$C$5:$C$304,MATCH(A414,'交易记录'!$A$5:$A$304,0))),"编号没找到"))</f>
        <v/>
      </c>
      <c r="O414" s="31" t="n"/>
    </row>
    <row r="415">
      <c r="A415" s="29" t="n"/>
      <c r="B415" s="30" t="n"/>
      <c r="C415" s="27" t="n"/>
      <c r="D415" s="32" t="n"/>
      <c r="E415" s="33" t="n"/>
      <c r="F415" s="36" t="n"/>
      <c r="G415" s="33" t="n"/>
      <c r="H415" s="20" t="str">
        <f>IF(AND(ISNUMBER(E415),ISNUMBER(F415)),E415*F415,"")</f>
        <v/>
      </c>
      <c r="I415" s="38" t="str">
        <f>IF(A415="","",IFERROR(IF(N(INDEX('交易记录'!$G$5:$G$304,MATCH(A415,'交易记录'!$A$5:$A$304,0)))&gt;0,INDEX('交易记录'!$G$5:$G$304,MATCH(A415,'交易记录'!$A$5:$A$304,0)),1),1))</f>
        <v/>
      </c>
      <c r="J415" s="41" t="str">
        <f>IF(ISNUMBER(H415),ROUND('参数'!$C$11+H415*I415*'参数'!$C$12+F415*'参数'!$C$13,2),"")</f>
        <v/>
      </c>
      <c r="K415" s="22" t="n"/>
      <c r="L415" s="20" t="str">
        <f>IF(ISNUMBER(K415),K415,IF(ISNUMBER(H415),J415,""))</f>
        <v/>
      </c>
      <c r="M415" s="46" t="str">
        <f>IF(AND(ISNUMBER(E415),ISNUMBER(G415),ISNUMBER(F415)),(E415-G415)*IF(D415="卖",-1,1)*F415*I415,"")</f>
        <v/>
      </c>
      <c r="N415" s="38" t="str">
        <f>IF(A415="","",IFERROR(T(INDEX('交易记录'!$C$5:$C$304,MATCH(A415,'交易记录'!$A$5:$A$304,0))),"编号没找到"))</f>
        <v/>
      </c>
      <c r="O415" s="31" t="n"/>
    </row>
    <row r="416">
      <c r="A416" s="29" t="n"/>
      <c r="B416" s="30" t="n"/>
      <c r="C416" s="27" t="n"/>
      <c r="D416" s="32" t="n"/>
      <c r="E416" s="33" t="n"/>
      <c r="F416" s="36" t="n"/>
      <c r="G416" s="33" t="n"/>
      <c r="H416" s="20" t="str">
        <f>IF(AND(ISNUMBER(E416),ISNUMBER(F416)),E416*F416,"")</f>
        <v/>
      </c>
      <c r="I416" s="38" t="str">
        <f>IF(A416="","",IFERROR(IF(N(INDEX('交易记录'!$G$5:$G$304,MATCH(A416,'交易记录'!$A$5:$A$304,0)))&gt;0,INDEX('交易记录'!$G$5:$G$304,MATCH(A416,'交易记录'!$A$5:$A$304,0)),1),1))</f>
        <v/>
      </c>
      <c r="J416" s="41" t="str">
        <f>IF(ISNUMBER(H416),ROUND('参数'!$C$11+H416*I416*'参数'!$C$12+F416*'参数'!$C$13,2),"")</f>
        <v/>
      </c>
      <c r="K416" s="22" t="n"/>
      <c r="L416" s="20" t="str">
        <f>IF(ISNUMBER(K416),K416,IF(ISNUMBER(H416),J416,""))</f>
        <v/>
      </c>
      <c r="M416" s="46" t="str">
        <f>IF(AND(ISNUMBER(E416),ISNUMBER(G416),ISNUMBER(F416)),(E416-G416)*IF(D416="卖",-1,1)*F416*I416,"")</f>
        <v/>
      </c>
      <c r="N416" s="38" t="str">
        <f>IF(A416="","",IFERROR(T(INDEX('交易记录'!$C$5:$C$304,MATCH(A416,'交易记录'!$A$5:$A$304,0))),"编号没找到"))</f>
        <v/>
      </c>
      <c r="O416" s="31" t="n"/>
    </row>
    <row r="417">
      <c r="A417" s="29" t="n"/>
      <c r="B417" s="30" t="n"/>
      <c r="C417" s="27" t="n"/>
      <c r="D417" s="32" t="n"/>
      <c r="E417" s="33" t="n"/>
      <c r="F417" s="36" t="n"/>
      <c r="G417" s="33" t="n"/>
      <c r="H417" s="20" t="str">
        <f>IF(AND(ISNUMBER(E417),ISNUMBER(F417)),E417*F417,"")</f>
        <v/>
      </c>
      <c r="I417" s="38" t="str">
        <f>IF(A417="","",IFERROR(IF(N(INDEX('交易记录'!$G$5:$G$304,MATCH(A417,'交易记录'!$A$5:$A$304,0)))&gt;0,INDEX('交易记录'!$G$5:$G$304,MATCH(A417,'交易记录'!$A$5:$A$304,0)),1),1))</f>
        <v/>
      </c>
      <c r="J417" s="41" t="str">
        <f>IF(ISNUMBER(H417),ROUND('参数'!$C$11+H417*I417*'参数'!$C$12+F417*'参数'!$C$13,2),"")</f>
        <v/>
      </c>
      <c r="K417" s="22" t="n"/>
      <c r="L417" s="20" t="str">
        <f>IF(ISNUMBER(K417),K417,IF(ISNUMBER(H417),J417,""))</f>
        <v/>
      </c>
      <c r="M417" s="46" t="str">
        <f>IF(AND(ISNUMBER(E417),ISNUMBER(G417),ISNUMBER(F417)),(E417-G417)*IF(D417="卖",-1,1)*F417*I417,"")</f>
        <v/>
      </c>
      <c r="N417" s="38" t="str">
        <f>IF(A417="","",IFERROR(T(INDEX('交易记录'!$C$5:$C$304,MATCH(A417,'交易记录'!$A$5:$A$304,0))),"编号没找到"))</f>
        <v/>
      </c>
      <c r="O417" s="31" t="n"/>
    </row>
    <row r="418">
      <c r="A418" s="29" t="n"/>
      <c r="B418" s="30" t="n"/>
      <c r="C418" s="27" t="n"/>
      <c r="D418" s="32" t="n"/>
      <c r="E418" s="33" t="n"/>
      <c r="F418" s="36" t="n"/>
      <c r="G418" s="33" t="n"/>
      <c r="H418" s="20" t="str">
        <f>IF(AND(ISNUMBER(E418),ISNUMBER(F418)),E418*F418,"")</f>
        <v/>
      </c>
      <c r="I418" s="38" t="str">
        <f>IF(A418="","",IFERROR(IF(N(INDEX('交易记录'!$G$5:$G$304,MATCH(A418,'交易记录'!$A$5:$A$304,0)))&gt;0,INDEX('交易记录'!$G$5:$G$304,MATCH(A418,'交易记录'!$A$5:$A$304,0)),1),1))</f>
        <v/>
      </c>
      <c r="J418" s="41" t="str">
        <f>IF(ISNUMBER(H418),ROUND('参数'!$C$11+H418*I418*'参数'!$C$12+F418*'参数'!$C$13,2),"")</f>
        <v/>
      </c>
      <c r="K418" s="22" t="n"/>
      <c r="L418" s="20" t="str">
        <f>IF(ISNUMBER(K418),K418,IF(ISNUMBER(H418),J418,""))</f>
        <v/>
      </c>
      <c r="M418" s="46" t="str">
        <f>IF(AND(ISNUMBER(E418),ISNUMBER(G418),ISNUMBER(F418)),(E418-G418)*IF(D418="卖",-1,1)*F418*I418,"")</f>
        <v/>
      </c>
      <c r="N418" s="38" t="str">
        <f>IF(A418="","",IFERROR(T(INDEX('交易记录'!$C$5:$C$304,MATCH(A418,'交易记录'!$A$5:$A$304,0))),"编号没找到"))</f>
        <v/>
      </c>
      <c r="O418" s="31" t="n"/>
    </row>
    <row r="419">
      <c r="A419" s="29" t="n"/>
      <c r="B419" s="30" t="n"/>
      <c r="C419" s="27" t="n"/>
      <c r="D419" s="32" t="n"/>
      <c r="E419" s="33" t="n"/>
      <c r="F419" s="36" t="n"/>
      <c r="G419" s="33" t="n"/>
      <c r="H419" s="20" t="str">
        <f>IF(AND(ISNUMBER(E419),ISNUMBER(F419)),E419*F419,"")</f>
        <v/>
      </c>
      <c r="I419" s="38" t="str">
        <f>IF(A419="","",IFERROR(IF(N(INDEX('交易记录'!$G$5:$G$304,MATCH(A419,'交易记录'!$A$5:$A$304,0)))&gt;0,INDEX('交易记录'!$G$5:$G$304,MATCH(A419,'交易记录'!$A$5:$A$304,0)),1),1))</f>
        <v/>
      </c>
      <c r="J419" s="41" t="str">
        <f>IF(ISNUMBER(H419),ROUND('参数'!$C$11+H419*I419*'参数'!$C$12+F419*'参数'!$C$13,2),"")</f>
        <v/>
      </c>
      <c r="K419" s="22" t="n"/>
      <c r="L419" s="20" t="str">
        <f>IF(ISNUMBER(K419),K419,IF(ISNUMBER(H419),J419,""))</f>
        <v/>
      </c>
      <c r="M419" s="46" t="str">
        <f>IF(AND(ISNUMBER(E419),ISNUMBER(G419),ISNUMBER(F419)),(E419-G419)*IF(D419="卖",-1,1)*F419*I419,"")</f>
        <v/>
      </c>
      <c r="N419" s="38" t="str">
        <f>IF(A419="","",IFERROR(T(INDEX('交易记录'!$C$5:$C$304,MATCH(A419,'交易记录'!$A$5:$A$304,0))),"编号没找到"))</f>
        <v/>
      </c>
      <c r="O419" s="31" t="n"/>
    </row>
    <row r="420">
      <c r="A420" s="29" t="n"/>
      <c r="B420" s="30" t="n"/>
      <c r="C420" s="27" t="n"/>
      <c r="D420" s="32" t="n"/>
      <c r="E420" s="33" t="n"/>
      <c r="F420" s="36" t="n"/>
      <c r="G420" s="33" t="n"/>
      <c r="H420" s="20" t="str">
        <f>IF(AND(ISNUMBER(E420),ISNUMBER(F420)),E420*F420,"")</f>
        <v/>
      </c>
      <c r="I420" s="38" t="str">
        <f>IF(A420="","",IFERROR(IF(N(INDEX('交易记录'!$G$5:$G$304,MATCH(A420,'交易记录'!$A$5:$A$304,0)))&gt;0,INDEX('交易记录'!$G$5:$G$304,MATCH(A420,'交易记录'!$A$5:$A$304,0)),1),1))</f>
        <v/>
      </c>
      <c r="J420" s="41" t="str">
        <f>IF(ISNUMBER(H420),ROUND('参数'!$C$11+H420*I420*'参数'!$C$12+F420*'参数'!$C$13,2),"")</f>
        <v/>
      </c>
      <c r="K420" s="22" t="n"/>
      <c r="L420" s="20" t="str">
        <f>IF(ISNUMBER(K420),K420,IF(ISNUMBER(H420),J420,""))</f>
        <v/>
      </c>
      <c r="M420" s="46" t="str">
        <f>IF(AND(ISNUMBER(E420),ISNUMBER(G420),ISNUMBER(F420)),(E420-G420)*IF(D420="卖",-1,1)*F420*I420,"")</f>
        <v/>
      </c>
      <c r="N420" s="38" t="str">
        <f>IF(A420="","",IFERROR(T(INDEX('交易记录'!$C$5:$C$304,MATCH(A420,'交易记录'!$A$5:$A$304,0))),"编号没找到"))</f>
        <v/>
      </c>
      <c r="O420" s="31" t="n"/>
    </row>
    <row r="421">
      <c r="A421" s="29" t="n"/>
      <c r="B421" s="30" t="n"/>
      <c r="C421" s="27" t="n"/>
      <c r="D421" s="32" t="n"/>
      <c r="E421" s="33" t="n"/>
      <c r="F421" s="36" t="n"/>
      <c r="G421" s="33" t="n"/>
      <c r="H421" s="20" t="str">
        <f>IF(AND(ISNUMBER(E421),ISNUMBER(F421)),E421*F421,"")</f>
        <v/>
      </c>
      <c r="I421" s="38" t="str">
        <f>IF(A421="","",IFERROR(IF(N(INDEX('交易记录'!$G$5:$G$304,MATCH(A421,'交易记录'!$A$5:$A$304,0)))&gt;0,INDEX('交易记录'!$G$5:$G$304,MATCH(A421,'交易记录'!$A$5:$A$304,0)),1),1))</f>
        <v/>
      </c>
      <c r="J421" s="41" t="str">
        <f>IF(ISNUMBER(H421),ROUND('参数'!$C$11+H421*I421*'参数'!$C$12+F421*'参数'!$C$13,2),"")</f>
        <v/>
      </c>
      <c r="K421" s="22" t="n"/>
      <c r="L421" s="20" t="str">
        <f>IF(ISNUMBER(K421),K421,IF(ISNUMBER(H421),J421,""))</f>
        <v/>
      </c>
      <c r="M421" s="46" t="str">
        <f>IF(AND(ISNUMBER(E421),ISNUMBER(G421),ISNUMBER(F421)),(E421-G421)*IF(D421="卖",-1,1)*F421*I421,"")</f>
        <v/>
      </c>
      <c r="N421" s="38" t="str">
        <f>IF(A421="","",IFERROR(T(INDEX('交易记录'!$C$5:$C$304,MATCH(A421,'交易记录'!$A$5:$A$304,0))),"编号没找到"))</f>
        <v/>
      </c>
      <c r="O421" s="31" t="n"/>
    </row>
    <row r="422">
      <c r="A422" s="29" t="n"/>
      <c r="B422" s="30" t="n"/>
      <c r="C422" s="27" t="n"/>
      <c r="D422" s="32" t="n"/>
      <c r="E422" s="33" t="n"/>
      <c r="F422" s="36" t="n"/>
      <c r="G422" s="33" t="n"/>
      <c r="H422" s="20" t="str">
        <f>IF(AND(ISNUMBER(E422),ISNUMBER(F422)),E422*F422,"")</f>
        <v/>
      </c>
      <c r="I422" s="38" t="str">
        <f>IF(A422="","",IFERROR(IF(N(INDEX('交易记录'!$G$5:$G$304,MATCH(A422,'交易记录'!$A$5:$A$304,0)))&gt;0,INDEX('交易记录'!$G$5:$G$304,MATCH(A422,'交易记录'!$A$5:$A$304,0)),1),1))</f>
        <v/>
      </c>
      <c r="J422" s="41" t="str">
        <f>IF(ISNUMBER(H422),ROUND('参数'!$C$11+H422*I422*'参数'!$C$12+F422*'参数'!$C$13,2),"")</f>
        <v/>
      </c>
      <c r="K422" s="22" t="n"/>
      <c r="L422" s="20" t="str">
        <f>IF(ISNUMBER(K422),K422,IF(ISNUMBER(H422),J422,""))</f>
        <v/>
      </c>
      <c r="M422" s="46" t="str">
        <f>IF(AND(ISNUMBER(E422),ISNUMBER(G422),ISNUMBER(F422)),(E422-G422)*IF(D422="卖",-1,1)*F422*I422,"")</f>
        <v/>
      </c>
      <c r="N422" s="38" t="str">
        <f>IF(A422="","",IFERROR(T(INDEX('交易记录'!$C$5:$C$304,MATCH(A422,'交易记录'!$A$5:$A$304,0))),"编号没找到"))</f>
        <v/>
      </c>
      <c r="O422" s="31" t="n"/>
    </row>
    <row r="423">
      <c r="A423" s="29" t="n"/>
      <c r="B423" s="30" t="n"/>
      <c r="C423" s="27" t="n"/>
      <c r="D423" s="32" t="n"/>
      <c r="E423" s="33" t="n"/>
      <c r="F423" s="36" t="n"/>
      <c r="G423" s="33" t="n"/>
      <c r="H423" s="20" t="str">
        <f>IF(AND(ISNUMBER(E423),ISNUMBER(F423)),E423*F423,"")</f>
        <v/>
      </c>
      <c r="I423" s="38" t="str">
        <f>IF(A423="","",IFERROR(IF(N(INDEX('交易记录'!$G$5:$G$304,MATCH(A423,'交易记录'!$A$5:$A$304,0)))&gt;0,INDEX('交易记录'!$G$5:$G$304,MATCH(A423,'交易记录'!$A$5:$A$304,0)),1),1))</f>
        <v/>
      </c>
      <c r="J423" s="41" t="str">
        <f>IF(ISNUMBER(H423),ROUND('参数'!$C$11+H423*I423*'参数'!$C$12+F423*'参数'!$C$13,2),"")</f>
        <v/>
      </c>
      <c r="K423" s="22" t="n"/>
      <c r="L423" s="20" t="str">
        <f>IF(ISNUMBER(K423),K423,IF(ISNUMBER(H423),J423,""))</f>
        <v/>
      </c>
      <c r="M423" s="46" t="str">
        <f>IF(AND(ISNUMBER(E423),ISNUMBER(G423),ISNUMBER(F423)),(E423-G423)*IF(D423="卖",-1,1)*F423*I423,"")</f>
        <v/>
      </c>
      <c r="N423" s="38" t="str">
        <f>IF(A423="","",IFERROR(T(INDEX('交易记录'!$C$5:$C$304,MATCH(A423,'交易记录'!$A$5:$A$304,0))),"编号没找到"))</f>
        <v/>
      </c>
      <c r="O423" s="31" t="n"/>
    </row>
    <row r="424">
      <c r="A424" s="29" t="n"/>
      <c r="B424" s="30" t="n"/>
      <c r="C424" s="27" t="n"/>
      <c r="D424" s="32" t="n"/>
      <c r="E424" s="33" t="n"/>
      <c r="F424" s="36" t="n"/>
      <c r="G424" s="33" t="n"/>
      <c r="H424" s="20" t="str">
        <f>IF(AND(ISNUMBER(E424),ISNUMBER(F424)),E424*F424,"")</f>
        <v/>
      </c>
      <c r="I424" s="38" t="str">
        <f>IF(A424="","",IFERROR(IF(N(INDEX('交易记录'!$G$5:$G$304,MATCH(A424,'交易记录'!$A$5:$A$304,0)))&gt;0,INDEX('交易记录'!$G$5:$G$304,MATCH(A424,'交易记录'!$A$5:$A$304,0)),1),1))</f>
        <v/>
      </c>
      <c r="J424" s="41" t="str">
        <f>IF(ISNUMBER(H424),ROUND('参数'!$C$11+H424*I424*'参数'!$C$12+F424*'参数'!$C$13,2),"")</f>
        <v/>
      </c>
      <c r="K424" s="22" t="n"/>
      <c r="L424" s="20" t="str">
        <f>IF(ISNUMBER(K424),K424,IF(ISNUMBER(H424),J424,""))</f>
        <v/>
      </c>
      <c r="M424" s="46" t="str">
        <f>IF(AND(ISNUMBER(E424),ISNUMBER(G424),ISNUMBER(F424)),(E424-G424)*IF(D424="卖",-1,1)*F424*I424,"")</f>
        <v/>
      </c>
      <c r="N424" s="38" t="str">
        <f>IF(A424="","",IFERROR(T(INDEX('交易记录'!$C$5:$C$304,MATCH(A424,'交易记录'!$A$5:$A$304,0))),"编号没找到"))</f>
        <v/>
      </c>
      <c r="O424" s="31" t="n"/>
    </row>
    <row r="425">
      <c r="A425" s="29" t="n"/>
      <c r="B425" s="30" t="n"/>
      <c r="C425" s="27" t="n"/>
      <c r="D425" s="32" t="n"/>
      <c r="E425" s="33" t="n"/>
      <c r="F425" s="36" t="n"/>
      <c r="G425" s="33" t="n"/>
      <c r="H425" s="20" t="str">
        <f>IF(AND(ISNUMBER(E425),ISNUMBER(F425)),E425*F425,"")</f>
        <v/>
      </c>
      <c r="I425" s="38" t="str">
        <f>IF(A425="","",IFERROR(IF(N(INDEX('交易记录'!$G$5:$G$304,MATCH(A425,'交易记录'!$A$5:$A$304,0)))&gt;0,INDEX('交易记录'!$G$5:$G$304,MATCH(A425,'交易记录'!$A$5:$A$304,0)),1),1))</f>
        <v/>
      </c>
      <c r="J425" s="41" t="str">
        <f>IF(ISNUMBER(H425),ROUND('参数'!$C$11+H425*I425*'参数'!$C$12+F425*'参数'!$C$13,2),"")</f>
        <v/>
      </c>
      <c r="K425" s="22" t="n"/>
      <c r="L425" s="20" t="str">
        <f>IF(ISNUMBER(K425),K425,IF(ISNUMBER(H425),J425,""))</f>
        <v/>
      </c>
      <c r="M425" s="46" t="str">
        <f>IF(AND(ISNUMBER(E425),ISNUMBER(G425),ISNUMBER(F425)),(E425-G425)*IF(D425="卖",-1,1)*F425*I425,"")</f>
        <v/>
      </c>
      <c r="N425" s="38" t="str">
        <f>IF(A425="","",IFERROR(T(INDEX('交易记录'!$C$5:$C$304,MATCH(A425,'交易记录'!$A$5:$A$304,0))),"编号没找到"))</f>
        <v/>
      </c>
      <c r="O425" s="31" t="n"/>
    </row>
    <row r="426">
      <c r="A426" s="29" t="n"/>
      <c r="B426" s="30" t="n"/>
      <c r="C426" s="27" t="n"/>
      <c r="D426" s="32" t="n"/>
      <c r="E426" s="33" t="n"/>
      <c r="F426" s="36" t="n"/>
      <c r="G426" s="33" t="n"/>
      <c r="H426" s="20" t="str">
        <f>IF(AND(ISNUMBER(E426),ISNUMBER(F426)),E426*F426,"")</f>
        <v/>
      </c>
      <c r="I426" s="38" t="str">
        <f>IF(A426="","",IFERROR(IF(N(INDEX('交易记录'!$G$5:$G$304,MATCH(A426,'交易记录'!$A$5:$A$304,0)))&gt;0,INDEX('交易记录'!$G$5:$G$304,MATCH(A426,'交易记录'!$A$5:$A$304,0)),1),1))</f>
        <v/>
      </c>
      <c r="J426" s="41" t="str">
        <f>IF(ISNUMBER(H426),ROUND('参数'!$C$11+H426*I426*'参数'!$C$12+F426*'参数'!$C$13,2),"")</f>
        <v/>
      </c>
      <c r="K426" s="22" t="n"/>
      <c r="L426" s="20" t="str">
        <f>IF(ISNUMBER(K426),K426,IF(ISNUMBER(H426),J426,""))</f>
        <v/>
      </c>
      <c r="M426" s="46" t="str">
        <f>IF(AND(ISNUMBER(E426),ISNUMBER(G426),ISNUMBER(F426)),(E426-G426)*IF(D426="卖",-1,1)*F426*I426,"")</f>
        <v/>
      </c>
      <c r="N426" s="38" t="str">
        <f>IF(A426="","",IFERROR(T(INDEX('交易记录'!$C$5:$C$304,MATCH(A426,'交易记录'!$A$5:$A$304,0))),"编号没找到"))</f>
        <v/>
      </c>
      <c r="O426" s="31" t="n"/>
    </row>
    <row r="427">
      <c r="A427" s="29" t="n"/>
      <c r="B427" s="30" t="n"/>
      <c r="C427" s="27" t="n"/>
      <c r="D427" s="32" t="n"/>
      <c r="E427" s="33" t="n"/>
      <c r="F427" s="36" t="n"/>
      <c r="G427" s="33" t="n"/>
      <c r="H427" s="20" t="str">
        <f>IF(AND(ISNUMBER(E427),ISNUMBER(F427)),E427*F427,"")</f>
        <v/>
      </c>
      <c r="I427" s="38" t="str">
        <f>IF(A427="","",IFERROR(IF(N(INDEX('交易记录'!$G$5:$G$304,MATCH(A427,'交易记录'!$A$5:$A$304,0)))&gt;0,INDEX('交易记录'!$G$5:$G$304,MATCH(A427,'交易记录'!$A$5:$A$304,0)),1),1))</f>
        <v/>
      </c>
      <c r="J427" s="41" t="str">
        <f>IF(ISNUMBER(H427),ROUND('参数'!$C$11+H427*I427*'参数'!$C$12+F427*'参数'!$C$13,2),"")</f>
        <v/>
      </c>
      <c r="K427" s="22" t="n"/>
      <c r="L427" s="20" t="str">
        <f>IF(ISNUMBER(K427),K427,IF(ISNUMBER(H427),J427,""))</f>
        <v/>
      </c>
      <c r="M427" s="46" t="str">
        <f>IF(AND(ISNUMBER(E427),ISNUMBER(G427),ISNUMBER(F427)),(E427-G427)*IF(D427="卖",-1,1)*F427*I427,"")</f>
        <v/>
      </c>
      <c r="N427" s="38" t="str">
        <f>IF(A427="","",IFERROR(T(INDEX('交易记录'!$C$5:$C$304,MATCH(A427,'交易记录'!$A$5:$A$304,0))),"编号没找到"))</f>
        <v/>
      </c>
      <c r="O427" s="31" t="n"/>
    </row>
    <row r="428">
      <c r="A428" s="29" t="n"/>
      <c r="B428" s="30" t="n"/>
      <c r="C428" s="27" t="n"/>
      <c r="D428" s="32" t="n"/>
      <c r="E428" s="33" t="n"/>
      <c r="F428" s="36" t="n"/>
      <c r="G428" s="33" t="n"/>
      <c r="H428" s="20" t="str">
        <f>IF(AND(ISNUMBER(E428),ISNUMBER(F428)),E428*F428,"")</f>
        <v/>
      </c>
      <c r="I428" s="38" t="str">
        <f>IF(A428="","",IFERROR(IF(N(INDEX('交易记录'!$G$5:$G$304,MATCH(A428,'交易记录'!$A$5:$A$304,0)))&gt;0,INDEX('交易记录'!$G$5:$G$304,MATCH(A428,'交易记录'!$A$5:$A$304,0)),1),1))</f>
        <v/>
      </c>
      <c r="J428" s="41" t="str">
        <f>IF(ISNUMBER(H428),ROUND('参数'!$C$11+H428*I428*'参数'!$C$12+F428*'参数'!$C$13,2),"")</f>
        <v/>
      </c>
      <c r="K428" s="22" t="n"/>
      <c r="L428" s="20" t="str">
        <f>IF(ISNUMBER(K428),K428,IF(ISNUMBER(H428),J428,""))</f>
        <v/>
      </c>
      <c r="M428" s="46" t="str">
        <f>IF(AND(ISNUMBER(E428),ISNUMBER(G428),ISNUMBER(F428)),(E428-G428)*IF(D428="卖",-1,1)*F428*I428,"")</f>
        <v/>
      </c>
      <c r="N428" s="38" t="str">
        <f>IF(A428="","",IFERROR(T(INDEX('交易记录'!$C$5:$C$304,MATCH(A428,'交易记录'!$A$5:$A$304,0))),"编号没找到"))</f>
        <v/>
      </c>
      <c r="O428" s="31" t="n"/>
    </row>
    <row r="429">
      <c r="A429" s="29" t="n"/>
      <c r="B429" s="30" t="n"/>
      <c r="C429" s="27" t="n"/>
      <c r="D429" s="32" t="n"/>
      <c r="E429" s="33" t="n"/>
      <c r="F429" s="36" t="n"/>
      <c r="G429" s="33" t="n"/>
      <c r="H429" s="20" t="str">
        <f>IF(AND(ISNUMBER(E429),ISNUMBER(F429)),E429*F429,"")</f>
        <v/>
      </c>
      <c r="I429" s="38" t="str">
        <f>IF(A429="","",IFERROR(IF(N(INDEX('交易记录'!$G$5:$G$304,MATCH(A429,'交易记录'!$A$5:$A$304,0)))&gt;0,INDEX('交易记录'!$G$5:$G$304,MATCH(A429,'交易记录'!$A$5:$A$304,0)),1),1))</f>
        <v/>
      </c>
      <c r="J429" s="41" t="str">
        <f>IF(ISNUMBER(H429),ROUND('参数'!$C$11+H429*I429*'参数'!$C$12+F429*'参数'!$C$13,2),"")</f>
        <v/>
      </c>
      <c r="K429" s="22" t="n"/>
      <c r="L429" s="20" t="str">
        <f>IF(ISNUMBER(K429),K429,IF(ISNUMBER(H429),J429,""))</f>
        <v/>
      </c>
      <c r="M429" s="46" t="str">
        <f>IF(AND(ISNUMBER(E429),ISNUMBER(G429),ISNUMBER(F429)),(E429-G429)*IF(D429="卖",-1,1)*F429*I429,"")</f>
        <v/>
      </c>
      <c r="N429" s="38" t="str">
        <f>IF(A429="","",IFERROR(T(INDEX('交易记录'!$C$5:$C$304,MATCH(A429,'交易记录'!$A$5:$A$304,0))),"编号没找到"))</f>
        <v/>
      </c>
      <c r="O429" s="31" t="n"/>
    </row>
    <row r="430">
      <c r="A430" s="29" t="n"/>
      <c r="B430" s="30" t="n"/>
      <c r="C430" s="27" t="n"/>
      <c r="D430" s="32" t="n"/>
      <c r="E430" s="33" t="n"/>
      <c r="F430" s="36" t="n"/>
      <c r="G430" s="33" t="n"/>
      <c r="H430" s="20" t="str">
        <f>IF(AND(ISNUMBER(E430),ISNUMBER(F430)),E430*F430,"")</f>
        <v/>
      </c>
      <c r="I430" s="38" t="str">
        <f>IF(A430="","",IFERROR(IF(N(INDEX('交易记录'!$G$5:$G$304,MATCH(A430,'交易记录'!$A$5:$A$304,0)))&gt;0,INDEX('交易记录'!$G$5:$G$304,MATCH(A430,'交易记录'!$A$5:$A$304,0)),1),1))</f>
        <v/>
      </c>
      <c r="J430" s="41" t="str">
        <f>IF(ISNUMBER(H430),ROUND('参数'!$C$11+H430*I430*'参数'!$C$12+F430*'参数'!$C$13,2),"")</f>
        <v/>
      </c>
      <c r="K430" s="22" t="n"/>
      <c r="L430" s="20" t="str">
        <f>IF(ISNUMBER(K430),K430,IF(ISNUMBER(H430),J430,""))</f>
        <v/>
      </c>
      <c r="M430" s="46" t="str">
        <f>IF(AND(ISNUMBER(E430),ISNUMBER(G430),ISNUMBER(F430)),(E430-G430)*IF(D430="卖",-1,1)*F430*I430,"")</f>
        <v/>
      </c>
      <c r="N430" s="38" t="str">
        <f>IF(A430="","",IFERROR(T(INDEX('交易记录'!$C$5:$C$304,MATCH(A430,'交易记录'!$A$5:$A$304,0))),"编号没找到"))</f>
        <v/>
      </c>
      <c r="O430" s="31" t="n"/>
    </row>
    <row r="431">
      <c r="A431" s="29" t="n"/>
      <c r="B431" s="30" t="n"/>
      <c r="C431" s="27" t="n"/>
      <c r="D431" s="32" t="n"/>
      <c r="E431" s="33" t="n"/>
      <c r="F431" s="36" t="n"/>
      <c r="G431" s="33" t="n"/>
      <c r="H431" s="20" t="str">
        <f>IF(AND(ISNUMBER(E431),ISNUMBER(F431)),E431*F431,"")</f>
        <v/>
      </c>
      <c r="I431" s="38" t="str">
        <f>IF(A431="","",IFERROR(IF(N(INDEX('交易记录'!$G$5:$G$304,MATCH(A431,'交易记录'!$A$5:$A$304,0)))&gt;0,INDEX('交易记录'!$G$5:$G$304,MATCH(A431,'交易记录'!$A$5:$A$304,0)),1),1))</f>
        <v/>
      </c>
      <c r="J431" s="41" t="str">
        <f>IF(ISNUMBER(H431),ROUND('参数'!$C$11+H431*I431*'参数'!$C$12+F431*'参数'!$C$13,2),"")</f>
        <v/>
      </c>
      <c r="K431" s="22" t="n"/>
      <c r="L431" s="20" t="str">
        <f>IF(ISNUMBER(K431),K431,IF(ISNUMBER(H431),J431,""))</f>
        <v/>
      </c>
      <c r="M431" s="46" t="str">
        <f>IF(AND(ISNUMBER(E431),ISNUMBER(G431),ISNUMBER(F431)),(E431-G431)*IF(D431="卖",-1,1)*F431*I431,"")</f>
        <v/>
      </c>
      <c r="N431" s="38" t="str">
        <f>IF(A431="","",IFERROR(T(INDEX('交易记录'!$C$5:$C$304,MATCH(A431,'交易记录'!$A$5:$A$304,0))),"编号没找到"))</f>
        <v/>
      </c>
      <c r="O431" s="31" t="n"/>
    </row>
    <row r="432">
      <c r="A432" s="29" t="n"/>
      <c r="B432" s="30" t="n"/>
      <c r="C432" s="27" t="n"/>
      <c r="D432" s="32" t="n"/>
      <c r="E432" s="33" t="n"/>
      <c r="F432" s="36" t="n"/>
      <c r="G432" s="33" t="n"/>
      <c r="H432" s="20" t="str">
        <f>IF(AND(ISNUMBER(E432),ISNUMBER(F432)),E432*F432,"")</f>
        <v/>
      </c>
      <c r="I432" s="38" t="str">
        <f>IF(A432="","",IFERROR(IF(N(INDEX('交易记录'!$G$5:$G$304,MATCH(A432,'交易记录'!$A$5:$A$304,0)))&gt;0,INDEX('交易记录'!$G$5:$G$304,MATCH(A432,'交易记录'!$A$5:$A$304,0)),1),1))</f>
        <v/>
      </c>
      <c r="J432" s="41" t="str">
        <f>IF(ISNUMBER(H432),ROUND('参数'!$C$11+H432*I432*'参数'!$C$12+F432*'参数'!$C$13,2),"")</f>
        <v/>
      </c>
      <c r="K432" s="22" t="n"/>
      <c r="L432" s="20" t="str">
        <f>IF(ISNUMBER(K432),K432,IF(ISNUMBER(H432),J432,""))</f>
        <v/>
      </c>
      <c r="M432" s="46" t="str">
        <f>IF(AND(ISNUMBER(E432),ISNUMBER(G432),ISNUMBER(F432)),(E432-G432)*IF(D432="卖",-1,1)*F432*I432,"")</f>
        <v/>
      </c>
      <c r="N432" s="38" t="str">
        <f>IF(A432="","",IFERROR(T(INDEX('交易记录'!$C$5:$C$304,MATCH(A432,'交易记录'!$A$5:$A$304,0))),"编号没找到"))</f>
        <v/>
      </c>
      <c r="O432" s="31" t="n"/>
    </row>
    <row r="433">
      <c r="A433" s="29" t="n"/>
      <c r="B433" s="30" t="n"/>
      <c r="C433" s="27" t="n"/>
      <c r="D433" s="32" t="n"/>
      <c r="E433" s="33" t="n"/>
      <c r="F433" s="36" t="n"/>
      <c r="G433" s="33" t="n"/>
      <c r="H433" s="20" t="str">
        <f>IF(AND(ISNUMBER(E433),ISNUMBER(F433)),E433*F433,"")</f>
        <v/>
      </c>
      <c r="I433" s="38" t="str">
        <f>IF(A433="","",IFERROR(IF(N(INDEX('交易记录'!$G$5:$G$304,MATCH(A433,'交易记录'!$A$5:$A$304,0)))&gt;0,INDEX('交易记录'!$G$5:$G$304,MATCH(A433,'交易记录'!$A$5:$A$304,0)),1),1))</f>
        <v/>
      </c>
      <c r="J433" s="41" t="str">
        <f>IF(ISNUMBER(H433),ROUND('参数'!$C$11+H433*I433*'参数'!$C$12+F433*'参数'!$C$13,2),"")</f>
        <v/>
      </c>
      <c r="K433" s="22" t="n"/>
      <c r="L433" s="20" t="str">
        <f>IF(ISNUMBER(K433),K433,IF(ISNUMBER(H433),J433,""))</f>
        <v/>
      </c>
      <c r="M433" s="46" t="str">
        <f>IF(AND(ISNUMBER(E433),ISNUMBER(G433),ISNUMBER(F433)),(E433-G433)*IF(D433="卖",-1,1)*F433*I433,"")</f>
        <v/>
      </c>
      <c r="N433" s="38" t="str">
        <f>IF(A433="","",IFERROR(T(INDEX('交易记录'!$C$5:$C$304,MATCH(A433,'交易记录'!$A$5:$A$304,0))),"编号没找到"))</f>
        <v/>
      </c>
      <c r="O433" s="31" t="n"/>
    </row>
    <row r="434">
      <c r="A434" s="29" t="n"/>
      <c r="B434" s="30" t="n"/>
      <c r="C434" s="27" t="n"/>
      <c r="D434" s="32" t="n"/>
      <c r="E434" s="33" t="n"/>
      <c r="F434" s="36" t="n"/>
      <c r="G434" s="33" t="n"/>
      <c r="H434" s="20" t="str">
        <f>IF(AND(ISNUMBER(E434),ISNUMBER(F434)),E434*F434,"")</f>
        <v/>
      </c>
      <c r="I434" s="38" t="str">
        <f>IF(A434="","",IFERROR(IF(N(INDEX('交易记录'!$G$5:$G$304,MATCH(A434,'交易记录'!$A$5:$A$304,0)))&gt;0,INDEX('交易记录'!$G$5:$G$304,MATCH(A434,'交易记录'!$A$5:$A$304,0)),1),1))</f>
        <v/>
      </c>
      <c r="J434" s="41" t="str">
        <f>IF(ISNUMBER(H434),ROUND('参数'!$C$11+H434*I434*'参数'!$C$12+F434*'参数'!$C$13,2),"")</f>
        <v/>
      </c>
      <c r="K434" s="22" t="n"/>
      <c r="L434" s="20" t="str">
        <f>IF(ISNUMBER(K434),K434,IF(ISNUMBER(H434),J434,""))</f>
        <v/>
      </c>
      <c r="M434" s="46" t="str">
        <f>IF(AND(ISNUMBER(E434),ISNUMBER(G434),ISNUMBER(F434)),(E434-G434)*IF(D434="卖",-1,1)*F434*I434,"")</f>
        <v/>
      </c>
      <c r="N434" s="38" t="str">
        <f>IF(A434="","",IFERROR(T(INDEX('交易记录'!$C$5:$C$304,MATCH(A434,'交易记录'!$A$5:$A$304,0))),"编号没找到"))</f>
        <v/>
      </c>
      <c r="O434" s="31" t="n"/>
    </row>
    <row r="435">
      <c r="A435" s="29" t="n"/>
      <c r="B435" s="30" t="n"/>
      <c r="C435" s="27" t="n"/>
      <c r="D435" s="32" t="n"/>
      <c r="E435" s="33" t="n"/>
      <c r="F435" s="36" t="n"/>
      <c r="G435" s="33" t="n"/>
      <c r="H435" s="20" t="str">
        <f>IF(AND(ISNUMBER(E435),ISNUMBER(F435)),E435*F435,"")</f>
        <v/>
      </c>
      <c r="I435" s="38" t="str">
        <f>IF(A435="","",IFERROR(IF(N(INDEX('交易记录'!$G$5:$G$304,MATCH(A435,'交易记录'!$A$5:$A$304,0)))&gt;0,INDEX('交易记录'!$G$5:$G$304,MATCH(A435,'交易记录'!$A$5:$A$304,0)),1),1))</f>
        <v/>
      </c>
      <c r="J435" s="41" t="str">
        <f>IF(ISNUMBER(H435),ROUND('参数'!$C$11+H435*I435*'参数'!$C$12+F435*'参数'!$C$13,2),"")</f>
        <v/>
      </c>
      <c r="K435" s="22" t="n"/>
      <c r="L435" s="20" t="str">
        <f>IF(ISNUMBER(K435),K435,IF(ISNUMBER(H435),J435,""))</f>
        <v/>
      </c>
      <c r="M435" s="46" t="str">
        <f>IF(AND(ISNUMBER(E435),ISNUMBER(G435),ISNUMBER(F435)),(E435-G435)*IF(D435="卖",-1,1)*F435*I435,"")</f>
        <v/>
      </c>
      <c r="N435" s="38" t="str">
        <f>IF(A435="","",IFERROR(T(INDEX('交易记录'!$C$5:$C$304,MATCH(A435,'交易记录'!$A$5:$A$304,0))),"编号没找到"))</f>
        <v/>
      </c>
      <c r="O435" s="31" t="n"/>
    </row>
    <row r="436">
      <c r="A436" s="29" t="n"/>
      <c r="B436" s="30" t="n"/>
      <c r="C436" s="27" t="n"/>
      <c r="D436" s="32" t="n"/>
      <c r="E436" s="33" t="n"/>
      <c r="F436" s="36" t="n"/>
      <c r="G436" s="33" t="n"/>
      <c r="H436" s="20" t="str">
        <f>IF(AND(ISNUMBER(E436),ISNUMBER(F436)),E436*F436,"")</f>
        <v/>
      </c>
      <c r="I436" s="38" t="str">
        <f>IF(A436="","",IFERROR(IF(N(INDEX('交易记录'!$G$5:$G$304,MATCH(A436,'交易记录'!$A$5:$A$304,0)))&gt;0,INDEX('交易记录'!$G$5:$G$304,MATCH(A436,'交易记录'!$A$5:$A$304,0)),1),1))</f>
        <v/>
      </c>
      <c r="J436" s="41" t="str">
        <f>IF(ISNUMBER(H436),ROUND('参数'!$C$11+H436*I436*'参数'!$C$12+F436*'参数'!$C$13,2),"")</f>
        <v/>
      </c>
      <c r="K436" s="22" t="n"/>
      <c r="L436" s="20" t="str">
        <f>IF(ISNUMBER(K436),K436,IF(ISNUMBER(H436),J436,""))</f>
        <v/>
      </c>
      <c r="M436" s="46" t="str">
        <f>IF(AND(ISNUMBER(E436),ISNUMBER(G436),ISNUMBER(F436)),(E436-G436)*IF(D436="卖",-1,1)*F436*I436,"")</f>
        <v/>
      </c>
      <c r="N436" s="38" t="str">
        <f>IF(A436="","",IFERROR(T(INDEX('交易记录'!$C$5:$C$304,MATCH(A436,'交易记录'!$A$5:$A$304,0))),"编号没找到"))</f>
        <v/>
      </c>
      <c r="O436" s="31" t="n"/>
    </row>
    <row r="437">
      <c r="A437" s="29" t="n"/>
      <c r="B437" s="30" t="n"/>
      <c r="C437" s="27" t="n"/>
      <c r="D437" s="32" t="n"/>
      <c r="E437" s="33" t="n"/>
      <c r="F437" s="36" t="n"/>
      <c r="G437" s="33" t="n"/>
      <c r="H437" s="20" t="str">
        <f>IF(AND(ISNUMBER(E437),ISNUMBER(F437)),E437*F437,"")</f>
        <v/>
      </c>
      <c r="I437" s="38" t="str">
        <f>IF(A437="","",IFERROR(IF(N(INDEX('交易记录'!$G$5:$G$304,MATCH(A437,'交易记录'!$A$5:$A$304,0)))&gt;0,INDEX('交易记录'!$G$5:$G$304,MATCH(A437,'交易记录'!$A$5:$A$304,0)),1),1))</f>
        <v/>
      </c>
      <c r="J437" s="41" t="str">
        <f>IF(ISNUMBER(H437),ROUND('参数'!$C$11+H437*I437*'参数'!$C$12+F437*'参数'!$C$13,2),"")</f>
        <v/>
      </c>
      <c r="K437" s="22" t="n"/>
      <c r="L437" s="20" t="str">
        <f>IF(ISNUMBER(K437),K437,IF(ISNUMBER(H437),J437,""))</f>
        <v/>
      </c>
      <c r="M437" s="46" t="str">
        <f>IF(AND(ISNUMBER(E437),ISNUMBER(G437),ISNUMBER(F437)),(E437-G437)*IF(D437="卖",-1,1)*F437*I437,"")</f>
        <v/>
      </c>
      <c r="N437" s="38" t="str">
        <f>IF(A437="","",IFERROR(T(INDEX('交易记录'!$C$5:$C$304,MATCH(A437,'交易记录'!$A$5:$A$304,0))),"编号没找到"))</f>
        <v/>
      </c>
      <c r="O437" s="31" t="n"/>
    </row>
    <row r="438">
      <c r="A438" s="29" t="n"/>
      <c r="B438" s="30" t="n"/>
      <c r="C438" s="27" t="n"/>
      <c r="D438" s="32" t="n"/>
      <c r="E438" s="33" t="n"/>
      <c r="F438" s="36" t="n"/>
      <c r="G438" s="33" t="n"/>
      <c r="H438" s="20" t="str">
        <f>IF(AND(ISNUMBER(E438),ISNUMBER(F438)),E438*F438,"")</f>
        <v/>
      </c>
      <c r="I438" s="38" t="str">
        <f>IF(A438="","",IFERROR(IF(N(INDEX('交易记录'!$G$5:$G$304,MATCH(A438,'交易记录'!$A$5:$A$304,0)))&gt;0,INDEX('交易记录'!$G$5:$G$304,MATCH(A438,'交易记录'!$A$5:$A$304,0)),1),1))</f>
        <v/>
      </c>
      <c r="J438" s="41" t="str">
        <f>IF(ISNUMBER(H438),ROUND('参数'!$C$11+H438*I438*'参数'!$C$12+F438*'参数'!$C$13,2),"")</f>
        <v/>
      </c>
      <c r="K438" s="22" t="n"/>
      <c r="L438" s="20" t="str">
        <f>IF(ISNUMBER(K438),K438,IF(ISNUMBER(H438),J438,""))</f>
        <v/>
      </c>
      <c r="M438" s="46" t="str">
        <f>IF(AND(ISNUMBER(E438),ISNUMBER(G438),ISNUMBER(F438)),(E438-G438)*IF(D438="卖",-1,1)*F438*I438,"")</f>
        <v/>
      </c>
      <c r="N438" s="38" t="str">
        <f>IF(A438="","",IFERROR(T(INDEX('交易记录'!$C$5:$C$304,MATCH(A438,'交易记录'!$A$5:$A$304,0))),"编号没找到"))</f>
        <v/>
      </c>
      <c r="O438" s="31" t="n"/>
    </row>
    <row r="439">
      <c r="A439" s="29" t="n"/>
      <c r="B439" s="30" t="n"/>
      <c r="C439" s="27" t="n"/>
      <c r="D439" s="32" t="n"/>
      <c r="E439" s="33" t="n"/>
      <c r="F439" s="36" t="n"/>
      <c r="G439" s="33" t="n"/>
      <c r="H439" s="20" t="str">
        <f>IF(AND(ISNUMBER(E439),ISNUMBER(F439)),E439*F439,"")</f>
        <v/>
      </c>
      <c r="I439" s="38" t="str">
        <f>IF(A439="","",IFERROR(IF(N(INDEX('交易记录'!$G$5:$G$304,MATCH(A439,'交易记录'!$A$5:$A$304,0)))&gt;0,INDEX('交易记录'!$G$5:$G$304,MATCH(A439,'交易记录'!$A$5:$A$304,0)),1),1))</f>
        <v/>
      </c>
      <c r="J439" s="41" t="str">
        <f>IF(ISNUMBER(H439),ROUND('参数'!$C$11+H439*I439*'参数'!$C$12+F439*'参数'!$C$13,2),"")</f>
        <v/>
      </c>
      <c r="K439" s="22" t="n"/>
      <c r="L439" s="20" t="str">
        <f>IF(ISNUMBER(K439),K439,IF(ISNUMBER(H439),J439,""))</f>
        <v/>
      </c>
      <c r="M439" s="46" t="str">
        <f>IF(AND(ISNUMBER(E439),ISNUMBER(G439),ISNUMBER(F439)),(E439-G439)*IF(D439="卖",-1,1)*F439*I439,"")</f>
        <v/>
      </c>
      <c r="N439" s="38" t="str">
        <f>IF(A439="","",IFERROR(T(INDEX('交易记录'!$C$5:$C$304,MATCH(A439,'交易记录'!$A$5:$A$304,0))),"编号没找到"))</f>
        <v/>
      </c>
      <c r="O439" s="31" t="n"/>
    </row>
    <row r="440">
      <c r="A440" s="29" t="n"/>
      <c r="B440" s="30" t="n"/>
      <c r="C440" s="27" t="n"/>
      <c r="D440" s="32" t="n"/>
      <c r="E440" s="33" t="n"/>
      <c r="F440" s="36" t="n"/>
      <c r="G440" s="33" t="n"/>
      <c r="H440" s="20" t="str">
        <f>IF(AND(ISNUMBER(E440),ISNUMBER(F440)),E440*F440,"")</f>
        <v/>
      </c>
      <c r="I440" s="38" t="str">
        <f>IF(A440="","",IFERROR(IF(N(INDEX('交易记录'!$G$5:$G$304,MATCH(A440,'交易记录'!$A$5:$A$304,0)))&gt;0,INDEX('交易记录'!$G$5:$G$304,MATCH(A440,'交易记录'!$A$5:$A$304,0)),1),1))</f>
        <v/>
      </c>
      <c r="J440" s="41" t="str">
        <f>IF(ISNUMBER(H440),ROUND('参数'!$C$11+H440*I440*'参数'!$C$12+F440*'参数'!$C$13,2),"")</f>
        <v/>
      </c>
      <c r="K440" s="22" t="n"/>
      <c r="L440" s="20" t="str">
        <f>IF(ISNUMBER(K440),K440,IF(ISNUMBER(H440),J440,""))</f>
        <v/>
      </c>
      <c r="M440" s="46" t="str">
        <f>IF(AND(ISNUMBER(E440),ISNUMBER(G440),ISNUMBER(F440)),(E440-G440)*IF(D440="卖",-1,1)*F440*I440,"")</f>
        <v/>
      </c>
      <c r="N440" s="38" t="str">
        <f>IF(A440="","",IFERROR(T(INDEX('交易记录'!$C$5:$C$304,MATCH(A440,'交易记录'!$A$5:$A$304,0))),"编号没找到"))</f>
        <v/>
      </c>
      <c r="O440" s="31" t="n"/>
    </row>
    <row r="441">
      <c r="A441" s="29" t="n"/>
      <c r="B441" s="30" t="n"/>
      <c r="C441" s="27" t="n"/>
      <c r="D441" s="32" t="n"/>
      <c r="E441" s="33" t="n"/>
      <c r="F441" s="36" t="n"/>
      <c r="G441" s="33" t="n"/>
      <c r="H441" s="20" t="str">
        <f>IF(AND(ISNUMBER(E441),ISNUMBER(F441)),E441*F441,"")</f>
        <v/>
      </c>
      <c r="I441" s="38" t="str">
        <f>IF(A441="","",IFERROR(IF(N(INDEX('交易记录'!$G$5:$G$304,MATCH(A441,'交易记录'!$A$5:$A$304,0)))&gt;0,INDEX('交易记录'!$G$5:$G$304,MATCH(A441,'交易记录'!$A$5:$A$304,0)),1),1))</f>
        <v/>
      </c>
      <c r="J441" s="41" t="str">
        <f>IF(ISNUMBER(H441),ROUND('参数'!$C$11+H441*I441*'参数'!$C$12+F441*'参数'!$C$13,2),"")</f>
        <v/>
      </c>
      <c r="K441" s="22" t="n"/>
      <c r="L441" s="20" t="str">
        <f>IF(ISNUMBER(K441),K441,IF(ISNUMBER(H441),J441,""))</f>
        <v/>
      </c>
      <c r="M441" s="46" t="str">
        <f>IF(AND(ISNUMBER(E441),ISNUMBER(G441),ISNUMBER(F441)),(E441-G441)*IF(D441="卖",-1,1)*F441*I441,"")</f>
        <v/>
      </c>
      <c r="N441" s="38" t="str">
        <f>IF(A441="","",IFERROR(T(INDEX('交易记录'!$C$5:$C$304,MATCH(A441,'交易记录'!$A$5:$A$304,0))),"编号没找到"))</f>
        <v/>
      </c>
      <c r="O441" s="31" t="n"/>
    </row>
    <row r="442">
      <c r="A442" s="29" t="n"/>
      <c r="B442" s="30" t="n"/>
      <c r="C442" s="27" t="n"/>
      <c r="D442" s="32" t="n"/>
      <c r="E442" s="33" t="n"/>
      <c r="F442" s="36" t="n"/>
      <c r="G442" s="33" t="n"/>
      <c r="H442" s="20" t="str">
        <f>IF(AND(ISNUMBER(E442),ISNUMBER(F442)),E442*F442,"")</f>
        <v/>
      </c>
      <c r="I442" s="38" t="str">
        <f>IF(A442="","",IFERROR(IF(N(INDEX('交易记录'!$G$5:$G$304,MATCH(A442,'交易记录'!$A$5:$A$304,0)))&gt;0,INDEX('交易记录'!$G$5:$G$304,MATCH(A442,'交易记录'!$A$5:$A$304,0)),1),1))</f>
        <v/>
      </c>
      <c r="J442" s="41" t="str">
        <f>IF(ISNUMBER(H442),ROUND('参数'!$C$11+H442*I442*'参数'!$C$12+F442*'参数'!$C$13,2),"")</f>
        <v/>
      </c>
      <c r="K442" s="22" t="n"/>
      <c r="L442" s="20" t="str">
        <f>IF(ISNUMBER(K442),K442,IF(ISNUMBER(H442),J442,""))</f>
        <v/>
      </c>
      <c r="M442" s="46" t="str">
        <f>IF(AND(ISNUMBER(E442),ISNUMBER(G442),ISNUMBER(F442)),(E442-G442)*IF(D442="卖",-1,1)*F442*I442,"")</f>
        <v/>
      </c>
      <c r="N442" s="38" t="str">
        <f>IF(A442="","",IFERROR(T(INDEX('交易记录'!$C$5:$C$304,MATCH(A442,'交易记录'!$A$5:$A$304,0))),"编号没找到"))</f>
        <v/>
      </c>
      <c r="O442" s="31" t="n"/>
    </row>
    <row r="443">
      <c r="A443" s="29" t="n"/>
      <c r="B443" s="30" t="n"/>
      <c r="C443" s="27" t="n"/>
      <c r="D443" s="32" t="n"/>
      <c r="E443" s="33" t="n"/>
      <c r="F443" s="36" t="n"/>
      <c r="G443" s="33" t="n"/>
      <c r="H443" s="20" t="str">
        <f>IF(AND(ISNUMBER(E443),ISNUMBER(F443)),E443*F443,"")</f>
        <v/>
      </c>
      <c r="I443" s="38" t="str">
        <f>IF(A443="","",IFERROR(IF(N(INDEX('交易记录'!$G$5:$G$304,MATCH(A443,'交易记录'!$A$5:$A$304,0)))&gt;0,INDEX('交易记录'!$G$5:$G$304,MATCH(A443,'交易记录'!$A$5:$A$304,0)),1),1))</f>
        <v/>
      </c>
      <c r="J443" s="41" t="str">
        <f>IF(ISNUMBER(H443),ROUND('参数'!$C$11+H443*I443*'参数'!$C$12+F443*'参数'!$C$13,2),"")</f>
        <v/>
      </c>
      <c r="K443" s="22" t="n"/>
      <c r="L443" s="20" t="str">
        <f>IF(ISNUMBER(K443),K443,IF(ISNUMBER(H443),J443,""))</f>
        <v/>
      </c>
      <c r="M443" s="46" t="str">
        <f>IF(AND(ISNUMBER(E443),ISNUMBER(G443),ISNUMBER(F443)),(E443-G443)*IF(D443="卖",-1,1)*F443*I443,"")</f>
        <v/>
      </c>
      <c r="N443" s="38" t="str">
        <f>IF(A443="","",IFERROR(T(INDEX('交易记录'!$C$5:$C$304,MATCH(A443,'交易记录'!$A$5:$A$304,0))),"编号没找到"))</f>
        <v/>
      </c>
      <c r="O443" s="31" t="n"/>
    </row>
    <row r="444">
      <c r="A444" s="29" t="n"/>
      <c r="B444" s="30" t="n"/>
      <c r="C444" s="27" t="n"/>
      <c r="D444" s="32" t="n"/>
      <c r="E444" s="33" t="n"/>
      <c r="F444" s="36" t="n"/>
      <c r="G444" s="33" t="n"/>
      <c r="H444" s="20" t="str">
        <f>IF(AND(ISNUMBER(E444),ISNUMBER(F444)),E444*F444,"")</f>
        <v/>
      </c>
      <c r="I444" s="38" t="str">
        <f>IF(A444="","",IFERROR(IF(N(INDEX('交易记录'!$G$5:$G$304,MATCH(A444,'交易记录'!$A$5:$A$304,0)))&gt;0,INDEX('交易记录'!$G$5:$G$304,MATCH(A444,'交易记录'!$A$5:$A$304,0)),1),1))</f>
        <v/>
      </c>
      <c r="J444" s="41" t="str">
        <f>IF(ISNUMBER(H444),ROUND('参数'!$C$11+H444*I444*'参数'!$C$12+F444*'参数'!$C$13,2),"")</f>
        <v/>
      </c>
      <c r="K444" s="22" t="n"/>
      <c r="L444" s="20" t="str">
        <f>IF(ISNUMBER(K444),K444,IF(ISNUMBER(H444),J444,""))</f>
        <v/>
      </c>
      <c r="M444" s="46" t="str">
        <f>IF(AND(ISNUMBER(E444),ISNUMBER(G444),ISNUMBER(F444)),(E444-G444)*IF(D444="卖",-1,1)*F444*I444,"")</f>
        <v/>
      </c>
      <c r="N444" s="38" t="str">
        <f>IF(A444="","",IFERROR(T(INDEX('交易记录'!$C$5:$C$304,MATCH(A444,'交易记录'!$A$5:$A$304,0))),"编号没找到"))</f>
        <v/>
      </c>
      <c r="O444" s="31" t="n"/>
    </row>
    <row r="445">
      <c r="A445" s="29" t="n"/>
      <c r="B445" s="30" t="n"/>
      <c r="C445" s="27" t="n"/>
      <c r="D445" s="32" t="n"/>
      <c r="E445" s="33" t="n"/>
      <c r="F445" s="36" t="n"/>
      <c r="G445" s="33" t="n"/>
      <c r="H445" s="20" t="str">
        <f>IF(AND(ISNUMBER(E445),ISNUMBER(F445)),E445*F445,"")</f>
        <v/>
      </c>
      <c r="I445" s="38" t="str">
        <f>IF(A445="","",IFERROR(IF(N(INDEX('交易记录'!$G$5:$G$304,MATCH(A445,'交易记录'!$A$5:$A$304,0)))&gt;0,INDEX('交易记录'!$G$5:$G$304,MATCH(A445,'交易记录'!$A$5:$A$304,0)),1),1))</f>
        <v/>
      </c>
      <c r="J445" s="41" t="str">
        <f>IF(ISNUMBER(H445),ROUND('参数'!$C$11+H445*I445*'参数'!$C$12+F445*'参数'!$C$13,2),"")</f>
        <v/>
      </c>
      <c r="K445" s="22" t="n"/>
      <c r="L445" s="20" t="str">
        <f>IF(ISNUMBER(K445),K445,IF(ISNUMBER(H445),J445,""))</f>
        <v/>
      </c>
      <c r="M445" s="46" t="str">
        <f>IF(AND(ISNUMBER(E445),ISNUMBER(G445),ISNUMBER(F445)),(E445-G445)*IF(D445="卖",-1,1)*F445*I445,"")</f>
        <v/>
      </c>
      <c r="N445" s="38" t="str">
        <f>IF(A445="","",IFERROR(T(INDEX('交易记录'!$C$5:$C$304,MATCH(A445,'交易记录'!$A$5:$A$304,0))),"编号没找到"))</f>
        <v/>
      </c>
      <c r="O445" s="31" t="n"/>
    </row>
    <row r="446">
      <c r="A446" s="29" t="n"/>
      <c r="B446" s="30" t="n"/>
      <c r="C446" s="27" t="n"/>
      <c r="D446" s="32" t="n"/>
      <c r="E446" s="33" t="n"/>
      <c r="F446" s="36" t="n"/>
      <c r="G446" s="33" t="n"/>
      <c r="H446" s="20" t="str">
        <f>IF(AND(ISNUMBER(E446),ISNUMBER(F446)),E446*F446,"")</f>
        <v/>
      </c>
      <c r="I446" s="38" t="str">
        <f>IF(A446="","",IFERROR(IF(N(INDEX('交易记录'!$G$5:$G$304,MATCH(A446,'交易记录'!$A$5:$A$304,0)))&gt;0,INDEX('交易记录'!$G$5:$G$304,MATCH(A446,'交易记录'!$A$5:$A$304,0)),1),1))</f>
        <v/>
      </c>
      <c r="J446" s="41" t="str">
        <f>IF(ISNUMBER(H446),ROUND('参数'!$C$11+H446*I446*'参数'!$C$12+F446*'参数'!$C$13,2),"")</f>
        <v/>
      </c>
      <c r="K446" s="22" t="n"/>
      <c r="L446" s="20" t="str">
        <f>IF(ISNUMBER(K446),K446,IF(ISNUMBER(H446),J446,""))</f>
        <v/>
      </c>
      <c r="M446" s="46" t="str">
        <f>IF(AND(ISNUMBER(E446),ISNUMBER(G446),ISNUMBER(F446)),(E446-G446)*IF(D446="卖",-1,1)*F446*I446,"")</f>
        <v/>
      </c>
      <c r="N446" s="38" t="str">
        <f>IF(A446="","",IFERROR(T(INDEX('交易记录'!$C$5:$C$304,MATCH(A446,'交易记录'!$A$5:$A$304,0))),"编号没找到"))</f>
        <v/>
      </c>
      <c r="O446" s="31" t="n"/>
    </row>
    <row r="447">
      <c r="A447" s="29" t="n"/>
      <c r="B447" s="30" t="n"/>
      <c r="C447" s="27" t="n"/>
      <c r="D447" s="32" t="n"/>
      <c r="E447" s="33" t="n"/>
      <c r="F447" s="36" t="n"/>
      <c r="G447" s="33" t="n"/>
      <c r="H447" s="20" t="str">
        <f>IF(AND(ISNUMBER(E447),ISNUMBER(F447)),E447*F447,"")</f>
        <v/>
      </c>
      <c r="I447" s="38" t="str">
        <f>IF(A447="","",IFERROR(IF(N(INDEX('交易记录'!$G$5:$G$304,MATCH(A447,'交易记录'!$A$5:$A$304,0)))&gt;0,INDEX('交易记录'!$G$5:$G$304,MATCH(A447,'交易记录'!$A$5:$A$304,0)),1),1))</f>
        <v/>
      </c>
      <c r="J447" s="41" t="str">
        <f>IF(ISNUMBER(H447),ROUND('参数'!$C$11+H447*I447*'参数'!$C$12+F447*'参数'!$C$13,2),"")</f>
        <v/>
      </c>
      <c r="K447" s="22" t="n"/>
      <c r="L447" s="20" t="str">
        <f>IF(ISNUMBER(K447),K447,IF(ISNUMBER(H447),J447,""))</f>
        <v/>
      </c>
      <c r="M447" s="46" t="str">
        <f>IF(AND(ISNUMBER(E447),ISNUMBER(G447),ISNUMBER(F447)),(E447-G447)*IF(D447="卖",-1,1)*F447*I447,"")</f>
        <v/>
      </c>
      <c r="N447" s="38" t="str">
        <f>IF(A447="","",IFERROR(T(INDEX('交易记录'!$C$5:$C$304,MATCH(A447,'交易记录'!$A$5:$A$304,0))),"编号没找到"))</f>
        <v/>
      </c>
      <c r="O447" s="31" t="n"/>
    </row>
    <row r="448">
      <c r="A448" s="29" t="n"/>
      <c r="B448" s="30" t="n"/>
      <c r="C448" s="27" t="n"/>
      <c r="D448" s="32" t="n"/>
      <c r="E448" s="33" t="n"/>
      <c r="F448" s="36" t="n"/>
      <c r="G448" s="33" t="n"/>
      <c r="H448" s="20" t="str">
        <f>IF(AND(ISNUMBER(E448),ISNUMBER(F448)),E448*F448,"")</f>
        <v/>
      </c>
      <c r="I448" s="38" t="str">
        <f>IF(A448="","",IFERROR(IF(N(INDEX('交易记录'!$G$5:$G$304,MATCH(A448,'交易记录'!$A$5:$A$304,0)))&gt;0,INDEX('交易记录'!$G$5:$G$304,MATCH(A448,'交易记录'!$A$5:$A$304,0)),1),1))</f>
        <v/>
      </c>
      <c r="J448" s="41" t="str">
        <f>IF(ISNUMBER(H448),ROUND('参数'!$C$11+H448*I448*'参数'!$C$12+F448*'参数'!$C$13,2),"")</f>
        <v/>
      </c>
      <c r="K448" s="22" t="n"/>
      <c r="L448" s="20" t="str">
        <f>IF(ISNUMBER(K448),K448,IF(ISNUMBER(H448),J448,""))</f>
        <v/>
      </c>
      <c r="M448" s="46" t="str">
        <f>IF(AND(ISNUMBER(E448),ISNUMBER(G448),ISNUMBER(F448)),(E448-G448)*IF(D448="卖",-1,1)*F448*I448,"")</f>
        <v/>
      </c>
      <c r="N448" s="38" t="str">
        <f>IF(A448="","",IFERROR(T(INDEX('交易记录'!$C$5:$C$304,MATCH(A448,'交易记录'!$A$5:$A$304,0))),"编号没找到"))</f>
        <v/>
      </c>
      <c r="O448" s="31" t="n"/>
    </row>
    <row r="449">
      <c r="A449" s="29" t="n"/>
      <c r="B449" s="30" t="n"/>
      <c r="C449" s="27" t="n"/>
      <c r="D449" s="32" t="n"/>
      <c r="E449" s="33" t="n"/>
      <c r="F449" s="36" t="n"/>
      <c r="G449" s="33" t="n"/>
      <c r="H449" s="20" t="str">
        <f>IF(AND(ISNUMBER(E449),ISNUMBER(F449)),E449*F449,"")</f>
        <v/>
      </c>
      <c r="I449" s="38" t="str">
        <f>IF(A449="","",IFERROR(IF(N(INDEX('交易记录'!$G$5:$G$304,MATCH(A449,'交易记录'!$A$5:$A$304,0)))&gt;0,INDEX('交易记录'!$G$5:$G$304,MATCH(A449,'交易记录'!$A$5:$A$304,0)),1),1))</f>
        <v/>
      </c>
      <c r="J449" s="41" t="str">
        <f>IF(ISNUMBER(H449),ROUND('参数'!$C$11+H449*I449*'参数'!$C$12+F449*'参数'!$C$13,2),"")</f>
        <v/>
      </c>
      <c r="K449" s="22" t="n"/>
      <c r="L449" s="20" t="str">
        <f>IF(ISNUMBER(K449),K449,IF(ISNUMBER(H449),J449,""))</f>
        <v/>
      </c>
      <c r="M449" s="46" t="str">
        <f>IF(AND(ISNUMBER(E449),ISNUMBER(G449),ISNUMBER(F449)),(E449-G449)*IF(D449="卖",-1,1)*F449*I449,"")</f>
        <v/>
      </c>
      <c r="N449" s="38" t="str">
        <f>IF(A449="","",IFERROR(T(INDEX('交易记录'!$C$5:$C$304,MATCH(A449,'交易记录'!$A$5:$A$304,0))),"编号没找到"))</f>
        <v/>
      </c>
      <c r="O449" s="31" t="n"/>
    </row>
    <row r="450">
      <c r="A450" s="29" t="n"/>
      <c r="B450" s="30" t="n"/>
      <c r="C450" s="27" t="n"/>
      <c r="D450" s="32" t="n"/>
      <c r="E450" s="33" t="n"/>
      <c r="F450" s="36" t="n"/>
      <c r="G450" s="33" t="n"/>
      <c r="H450" s="20" t="str">
        <f>IF(AND(ISNUMBER(E450),ISNUMBER(F450)),E450*F450,"")</f>
        <v/>
      </c>
      <c r="I450" s="38" t="str">
        <f>IF(A450="","",IFERROR(IF(N(INDEX('交易记录'!$G$5:$G$304,MATCH(A450,'交易记录'!$A$5:$A$304,0)))&gt;0,INDEX('交易记录'!$G$5:$G$304,MATCH(A450,'交易记录'!$A$5:$A$304,0)),1),1))</f>
        <v/>
      </c>
      <c r="J450" s="41" t="str">
        <f>IF(ISNUMBER(H450),ROUND('参数'!$C$11+H450*I450*'参数'!$C$12+F450*'参数'!$C$13,2),"")</f>
        <v/>
      </c>
      <c r="K450" s="22" t="n"/>
      <c r="L450" s="20" t="str">
        <f>IF(ISNUMBER(K450),K450,IF(ISNUMBER(H450),J450,""))</f>
        <v/>
      </c>
      <c r="M450" s="46" t="str">
        <f>IF(AND(ISNUMBER(E450),ISNUMBER(G450),ISNUMBER(F450)),(E450-G450)*IF(D450="卖",-1,1)*F450*I450,"")</f>
        <v/>
      </c>
      <c r="N450" s="38" t="str">
        <f>IF(A450="","",IFERROR(T(INDEX('交易记录'!$C$5:$C$304,MATCH(A450,'交易记录'!$A$5:$A$304,0))),"编号没找到"))</f>
        <v/>
      </c>
      <c r="O450" s="31" t="n"/>
    </row>
    <row r="451">
      <c r="A451" s="29" t="n"/>
      <c r="B451" s="30" t="n"/>
      <c r="C451" s="27" t="n"/>
      <c r="D451" s="32" t="n"/>
      <c r="E451" s="33" t="n"/>
      <c r="F451" s="36" t="n"/>
      <c r="G451" s="33" t="n"/>
      <c r="H451" s="20" t="str">
        <f>IF(AND(ISNUMBER(E451),ISNUMBER(F451)),E451*F451,"")</f>
        <v/>
      </c>
      <c r="I451" s="38" t="str">
        <f>IF(A451="","",IFERROR(IF(N(INDEX('交易记录'!$G$5:$G$304,MATCH(A451,'交易记录'!$A$5:$A$304,0)))&gt;0,INDEX('交易记录'!$G$5:$G$304,MATCH(A451,'交易记录'!$A$5:$A$304,0)),1),1))</f>
        <v/>
      </c>
      <c r="J451" s="41" t="str">
        <f>IF(ISNUMBER(H451),ROUND('参数'!$C$11+H451*I451*'参数'!$C$12+F451*'参数'!$C$13,2),"")</f>
        <v/>
      </c>
      <c r="K451" s="22" t="n"/>
      <c r="L451" s="20" t="str">
        <f>IF(ISNUMBER(K451),K451,IF(ISNUMBER(H451),J451,""))</f>
        <v/>
      </c>
      <c r="M451" s="46" t="str">
        <f>IF(AND(ISNUMBER(E451),ISNUMBER(G451),ISNUMBER(F451)),(E451-G451)*IF(D451="卖",-1,1)*F451*I451,"")</f>
        <v/>
      </c>
      <c r="N451" s="38" t="str">
        <f>IF(A451="","",IFERROR(T(INDEX('交易记录'!$C$5:$C$304,MATCH(A451,'交易记录'!$A$5:$A$304,0))),"编号没找到"))</f>
        <v/>
      </c>
      <c r="O451" s="31" t="n"/>
    </row>
    <row r="452">
      <c r="A452" s="29" t="n"/>
      <c r="B452" s="30" t="n"/>
      <c r="C452" s="27" t="n"/>
      <c r="D452" s="32" t="n"/>
      <c r="E452" s="33" t="n"/>
      <c r="F452" s="36" t="n"/>
      <c r="G452" s="33" t="n"/>
      <c r="H452" s="20" t="str">
        <f>IF(AND(ISNUMBER(E452),ISNUMBER(F452)),E452*F452,"")</f>
        <v/>
      </c>
      <c r="I452" s="38" t="str">
        <f>IF(A452="","",IFERROR(IF(N(INDEX('交易记录'!$G$5:$G$304,MATCH(A452,'交易记录'!$A$5:$A$304,0)))&gt;0,INDEX('交易记录'!$G$5:$G$304,MATCH(A452,'交易记录'!$A$5:$A$304,0)),1),1))</f>
        <v/>
      </c>
      <c r="J452" s="41" t="str">
        <f>IF(ISNUMBER(H452),ROUND('参数'!$C$11+H452*I452*'参数'!$C$12+F452*'参数'!$C$13,2),"")</f>
        <v/>
      </c>
      <c r="K452" s="22" t="n"/>
      <c r="L452" s="20" t="str">
        <f>IF(ISNUMBER(K452),K452,IF(ISNUMBER(H452),J452,""))</f>
        <v/>
      </c>
      <c r="M452" s="46" t="str">
        <f>IF(AND(ISNUMBER(E452),ISNUMBER(G452),ISNUMBER(F452)),(E452-G452)*IF(D452="卖",-1,1)*F452*I452,"")</f>
        <v/>
      </c>
      <c r="N452" s="38" t="str">
        <f>IF(A452="","",IFERROR(T(INDEX('交易记录'!$C$5:$C$304,MATCH(A452,'交易记录'!$A$5:$A$304,0))),"编号没找到"))</f>
        <v/>
      </c>
      <c r="O452" s="31" t="n"/>
    </row>
    <row r="453">
      <c r="A453" s="29" t="n"/>
      <c r="B453" s="30" t="n"/>
      <c r="C453" s="27" t="n"/>
      <c r="D453" s="32" t="n"/>
      <c r="E453" s="33" t="n"/>
      <c r="F453" s="36" t="n"/>
      <c r="G453" s="33" t="n"/>
      <c r="H453" s="20" t="str">
        <f>IF(AND(ISNUMBER(E453),ISNUMBER(F453)),E453*F453,"")</f>
        <v/>
      </c>
      <c r="I453" s="38" t="str">
        <f>IF(A453="","",IFERROR(IF(N(INDEX('交易记录'!$G$5:$G$304,MATCH(A453,'交易记录'!$A$5:$A$304,0)))&gt;0,INDEX('交易记录'!$G$5:$G$304,MATCH(A453,'交易记录'!$A$5:$A$304,0)),1),1))</f>
        <v/>
      </c>
      <c r="J453" s="41" t="str">
        <f>IF(ISNUMBER(H453),ROUND('参数'!$C$11+H453*I453*'参数'!$C$12+F453*'参数'!$C$13,2),"")</f>
        <v/>
      </c>
      <c r="K453" s="22" t="n"/>
      <c r="L453" s="20" t="str">
        <f>IF(ISNUMBER(K453),K453,IF(ISNUMBER(H453),J453,""))</f>
        <v/>
      </c>
      <c r="M453" s="46" t="str">
        <f>IF(AND(ISNUMBER(E453),ISNUMBER(G453),ISNUMBER(F453)),(E453-G453)*IF(D453="卖",-1,1)*F453*I453,"")</f>
        <v/>
      </c>
      <c r="N453" s="38" t="str">
        <f>IF(A453="","",IFERROR(T(INDEX('交易记录'!$C$5:$C$304,MATCH(A453,'交易记录'!$A$5:$A$304,0))),"编号没找到"))</f>
        <v/>
      </c>
      <c r="O453" s="31" t="n"/>
    </row>
    <row r="454">
      <c r="A454" s="29" t="n"/>
      <c r="B454" s="30" t="n"/>
      <c r="C454" s="27" t="n"/>
      <c r="D454" s="32" t="n"/>
      <c r="E454" s="33" t="n"/>
      <c r="F454" s="36" t="n"/>
      <c r="G454" s="33" t="n"/>
      <c r="H454" s="20" t="str">
        <f>IF(AND(ISNUMBER(E454),ISNUMBER(F454)),E454*F454,"")</f>
        <v/>
      </c>
      <c r="I454" s="38" t="str">
        <f>IF(A454="","",IFERROR(IF(N(INDEX('交易记录'!$G$5:$G$304,MATCH(A454,'交易记录'!$A$5:$A$304,0)))&gt;0,INDEX('交易记录'!$G$5:$G$304,MATCH(A454,'交易记录'!$A$5:$A$304,0)),1),1))</f>
        <v/>
      </c>
      <c r="J454" s="41" t="str">
        <f>IF(ISNUMBER(H454),ROUND('参数'!$C$11+H454*I454*'参数'!$C$12+F454*'参数'!$C$13,2),"")</f>
        <v/>
      </c>
      <c r="K454" s="22" t="n"/>
      <c r="L454" s="20" t="str">
        <f>IF(ISNUMBER(K454),K454,IF(ISNUMBER(H454),J454,""))</f>
        <v/>
      </c>
      <c r="M454" s="46" t="str">
        <f>IF(AND(ISNUMBER(E454),ISNUMBER(G454),ISNUMBER(F454)),(E454-G454)*IF(D454="卖",-1,1)*F454*I454,"")</f>
        <v/>
      </c>
      <c r="N454" s="38" t="str">
        <f>IF(A454="","",IFERROR(T(INDEX('交易记录'!$C$5:$C$304,MATCH(A454,'交易记录'!$A$5:$A$304,0))),"编号没找到"))</f>
        <v/>
      </c>
      <c r="O454" s="31" t="n"/>
    </row>
    <row r="455">
      <c r="A455" s="29" t="n"/>
      <c r="B455" s="30" t="n"/>
      <c r="C455" s="27" t="n"/>
      <c r="D455" s="32" t="n"/>
      <c r="E455" s="33" t="n"/>
      <c r="F455" s="36" t="n"/>
      <c r="G455" s="33" t="n"/>
      <c r="H455" s="20" t="str">
        <f>IF(AND(ISNUMBER(E455),ISNUMBER(F455)),E455*F455,"")</f>
        <v/>
      </c>
      <c r="I455" s="38" t="str">
        <f>IF(A455="","",IFERROR(IF(N(INDEX('交易记录'!$G$5:$G$304,MATCH(A455,'交易记录'!$A$5:$A$304,0)))&gt;0,INDEX('交易记录'!$G$5:$G$304,MATCH(A455,'交易记录'!$A$5:$A$304,0)),1),1))</f>
        <v/>
      </c>
      <c r="J455" s="41" t="str">
        <f>IF(ISNUMBER(H455),ROUND('参数'!$C$11+H455*I455*'参数'!$C$12+F455*'参数'!$C$13,2),"")</f>
        <v/>
      </c>
      <c r="K455" s="22" t="n"/>
      <c r="L455" s="20" t="str">
        <f>IF(ISNUMBER(K455),K455,IF(ISNUMBER(H455),J455,""))</f>
        <v/>
      </c>
      <c r="M455" s="46" t="str">
        <f>IF(AND(ISNUMBER(E455),ISNUMBER(G455),ISNUMBER(F455)),(E455-G455)*IF(D455="卖",-1,1)*F455*I455,"")</f>
        <v/>
      </c>
      <c r="N455" s="38" t="str">
        <f>IF(A455="","",IFERROR(T(INDEX('交易记录'!$C$5:$C$304,MATCH(A455,'交易记录'!$A$5:$A$304,0))),"编号没找到"))</f>
        <v/>
      </c>
      <c r="O455" s="31" t="n"/>
    </row>
    <row r="456">
      <c r="A456" s="29" t="n"/>
      <c r="B456" s="30" t="n"/>
      <c r="C456" s="27" t="n"/>
      <c r="D456" s="32" t="n"/>
      <c r="E456" s="33" t="n"/>
      <c r="F456" s="36" t="n"/>
      <c r="G456" s="33" t="n"/>
      <c r="H456" s="20" t="str">
        <f>IF(AND(ISNUMBER(E456),ISNUMBER(F456)),E456*F456,"")</f>
        <v/>
      </c>
      <c r="I456" s="38" t="str">
        <f>IF(A456="","",IFERROR(IF(N(INDEX('交易记录'!$G$5:$G$304,MATCH(A456,'交易记录'!$A$5:$A$304,0)))&gt;0,INDEX('交易记录'!$G$5:$G$304,MATCH(A456,'交易记录'!$A$5:$A$304,0)),1),1))</f>
        <v/>
      </c>
      <c r="J456" s="41" t="str">
        <f>IF(ISNUMBER(H456),ROUND('参数'!$C$11+H456*I456*'参数'!$C$12+F456*'参数'!$C$13,2),"")</f>
        <v/>
      </c>
      <c r="K456" s="22" t="n"/>
      <c r="L456" s="20" t="str">
        <f>IF(ISNUMBER(K456),K456,IF(ISNUMBER(H456),J456,""))</f>
        <v/>
      </c>
      <c r="M456" s="46" t="str">
        <f>IF(AND(ISNUMBER(E456),ISNUMBER(G456),ISNUMBER(F456)),(E456-G456)*IF(D456="卖",-1,1)*F456*I456,"")</f>
        <v/>
      </c>
      <c r="N456" s="38" t="str">
        <f>IF(A456="","",IFERROR(T(INDEX('交易记录'!$C$5:$C$304,MATCH(A456,'交易记录'!$A$5:$A$304,0))),"编号没找到"))</f>
        <v/>
      </c>
      <c r="O456" s="31" t="n"/>
    </row>
    <row r="457">
      <c r="A457" s="29" t="n"/>
      <c r="B457" s="30" t="n"/>
      <c r="C457" s="27" t="n"/>
      <c r="D457" s="32" t="n"/>
      <c r="E457" s="33" t="n"/>
      <c r="F457" s="36" t="n"/>
      <c r="G457" s="33" t="n"/>
      <c r="H457" s="20" t="str">
        <f>IF(AND(ISNUMBER(E457),ISNUMBER(F457)),E457*F457,"")</f>
        <v/>
      </c>
      <c r="I457" s="38" t="str">
        <f>IF(A457="","",IFERROR(IF(N(INDEX('交易记录'!$G$5:$G$304,MATCH(A457,'交易记录'!$A$5:$A$304,0)))&gt;0,INDEX('交易记录'!$G$5:$G$304,MATCH(A457,'交易记录'!$A$5:$A$304,0)),1),1))</f>
        <v/>
      </c>
      <c r="J457" s="41" t="str">
        <f>IF(ISNUMBER(H457),ROUND('参数'!$C$11+H457*I457*'参数'!$C$12+F457*'参数'!$C$13,2),"")</f>
        <v/>
      </c>
      <c r="K457" s="22" t="n"/>
      <c r="L457" s="20" t="str">
        <f>IF(ISNUMBER(K457),K457,IF(ISNUMBER(H457),J457,""))</f>
        <v/>
      </c>
      <c r="M457" s="46" t="str">
        <f>IF(AND(ISNUMBER(E457),ISNUMBER(G457),ISNUMBER(F457)),(E457-G457)*IF(D457="卖",-1,1)*F457*I457,"")</f>
        <v/>
      </c>
      <c r="N457" s="38" t="str">
        <f>IF(A457="","",IFERROR(T(INDEX('交易记录'!$C$5:$C$304,MATCH(A457,'交易记录'!$A$5:$A$304,0))),"编号没找到"))</f>
        <v/>
      </c>
      <c r="O457" s="31" t="n"/>
    </row>
    <row r="458">
      <c r="A458" s="29" t="n"/>
      <c r="B458" s="30" t="n"/>
      <c r="C458" s="27" t="n"/>
      <c r="D458" s="32" t="n"/>
      <c r="E458" s="33" t="n"/>
      <c r="F458" s="36" t="n"/>
      <c r="G458" s="33" t="n"/>
      <c r="H458" s="20" t="str">
        <f>IF(AND(ISNUMBER(E458),ISNUMBER(F458)),E458*F458,"")</f>
        <v/>
      </c>
      <c r="I458" s="38" t="str">
        <f>IF(A458="","",IFERROR(IF(N(INDEX('交易记录'!$G$5:$G$304,MATCH(A458,'交易记录'!$A$5:$A$304,0)))&gt;0,INDEX('交易记录'!$G$5:$G$304,MATCH(A458,'交易记录'!$A$5:$A$304,0)),1),1))</f>
        <v/>
      </c>
      <c r="J458" s="41" t="str">
        <f>IF(ISNUMBER(H458),ROUND('参数'!$C$11+H458*I458*'参数'!$C$12+F458*'参数'!$C$13,2),"")</f>
        <v/>
      </c>
      <c r="K458" s="22" t="n"/>
      <c r="L458" s="20" t="str">
        <f>IF(ISNUMBER(K458),K458,IF(ISNUMBER(H458),J458,""))</f>
        <v/>
      </c>
      <c r="M458" s="46" t="str">
        <f>IF(AND(ISNUMBER(E458),ISNUMBER(G458),ISNUMBER(F458)),(E458-G458)*IF(D458="卖",-1,1)*F458*I458,"")</f>
        <v/>
      </c>
      <c r="N458" s="38" t="str">
        <f>IF(A458="","",IFERROR(T(INDEX('交易记录'!$C$5:$C$304,MATCH(A458,'交易记录'!$A$5:$A$304,0))),"编号没找到"))</f>
        <v/>
      </c>
      <c r="O458" s="31" t="n"/>
    </row>
    <row r="459">
      <c r="A459" s="29" t="n"/>
      <c r="B459" s="30" t="n"/>
      <c r="C459" s="27" t="n"/>
      <c r="D459" s="32" t="n"/>
      <c r="E459" s="33" t="n"/>
      <c r="F459" s="36" t="n"/>
      <c r="G459" s="33" t="n"/>
      <c r="H459" s="20" t="str">
        <f>IF(AND(ISNUMBER(E459),ISNUMBER(F459)),E459*F459,"")</f>
        <v/>
      </c>
      <c r="I459" s="38" t="str">
        <f>IF(A459="","",IFERROR(IF(N(INDEX('交易记录'!$G$5:$G$304,MATCH(A459,'交易记录'!$A$5:$A$304,0)))&gt;0,INDEX('交易记录'!$G$5:$G$304,MATCH(A459,'交易记录'!$A$5:$A$304,0)),1),1))</f>
        <v/>
      </c>
      <c r="J459" s="41" t="str">
        <f>IF(ISNUMBER(H459),ROUND('参数'!$C$11+H459*I459*'参数'!$C$12+F459*'参数'!$C$13,2),"")</f>
        <v/>
      </c>
      <c r="K459" s="22" t="n"/>
      <c r="L459" s="20" t="str">
        <f>IF(ISNUMBER(K459),K459,IF(ISNUMBER(H459),J459,""))</f>
        <v/>
      </c>
      <c r="M459" s="46" t="str">
        <f>IF(AND(ISNUMBER(E459),ISNUMBER(G459),ISNUMBER(F459)),(E459-G459)*IF(D459="卖",-1,1)*F459*I459,"")</f>
        <v/>
      </c>
      <c r="N459" s="38" t="str">
        <f>IF(A459="","",IFERROR(T(INDEX('交易记录'!$C$5:$C$304,MATCH(A459,'交易记录'!$A$5:$A$304,0))),"编号没找到"))</f>
        <v/>
      </c>
      <c r="O459" s="31" t="n"/>
    </row>
    <row r="460">
      <c r="A460" s="29" t="n"/>
      <c r="B460" s="30" t="n"/>
      <c r="C460" s="27" t="n"/>
      <c r="D460" s="32" t="n"/>
      <c r="E460" s="33" t="n"/>
      <c r="F460" s="36" t="n"/>
      <c r="G460" s="33" t="n"/>
      <c r="H460" s="20" t="str">
        <f>IF(AND(ISNUMBER(E460),ISNUMBER(F460)),E460*F460,"")</f>
        <v/>
      </c>
      <c r="I460" s="38" t="str">
        <f>IF(A460="","",IFERROR(IF(N(INDEX('交易记录'!$G$5:$G$304,MATCH(A460,'交易记录'!$A$5:$A$304,0)))&gt;0,INDEX('交易记录'!$G$5:$G$304,MATCH(A460,'交易记录'!$A$5:$A$304,0)),1),1))</f>
        <v/>
      </c>
      <c r="J460" s="41" t="str">
        <f>IF(ISNUMBER(H460),ROUND('参数'!$C$11+H460*I460*'参数'!$C$12+F460*'参数'!$C$13,2),"")</f>
        <v/>
      </c>
      <c r="K460" s="22" t="n"/>
      <c r="L460" s="20" t="str">
        <f>IF(ISNUMBER(K460),K460,IF(ISNUMBER(H460),J460,""))</f>
        <v/>
      </c>
      <c r="M460" s="46" t="str">
        <f>IF(AND(ISNUMBER(E460),ISNUMBER(G460),ISNUMBER(F460)),(E460-G460)*IF(D460="卖",-1,1)*F460*I460,"")</f>
        <v/>
      </c>
      <c r="N460" s="38" t="str">
        <f>IF(A460="","",IFERROR(T(INDEX('交易记录'!$C$5:$C$304,MATCH(A460,'交易记录'!$A$5:$A$304,0))),"编号没找到"))</f>
        <v/>
      </c>
      <c r="O460" s="31" t="n"/>
    </row>
    <row r="461">
      <c r="A461" s="29" t="n"/>
      <c r="B461" s="30" t="n"/>
      <c r="C461" s="27" t="n"/>
      <c r="D461" s="32" t="n"/>
      <c r="E461" s="33" t="n"/>
      <c r="F461" s="36" t="n"/>
      <c r="G461" s="33" t="n"/>
      <c r="H461" s="20" t="str">
        <f>IF(AND(ISNUMBER(E461),ISNUMBER(F461)),E461*F461,"")</f>
        <v/>
      </c>
      <c r="I461" s="38" t="str">
        <f>IF(A461="","",IFERROR(IF(N(INDEX('交易记录'!$G$5:$G$304,MATCH(A461,'交易记录'!$A$5:$A$304,0)))&gt;0,INDEX('交易记录'!$G$5:$G$304,MATCH(A461,'交易记录'!$A$5:$A$304,0)),1),1))</f>
        <v/>
      </c>
      <c r="J461" s="41" t="str">
        <f>IF(ISNUMBER(H461),ROUND('参数'!$C$11+H461*I461*'参数'!$C$12+F461*'参数'!$C$13,2),"")</f>
        <v/>
      </c>
      <c r="K461" s="22" t="n"/>
      <c r="L461" s="20" t="str">
        <f>IF(ISNUMBER(K461),K461,IF(ISNUMBER(H461),J461,""))</f>
        <v/>
      </c>
      <c r="M461" s="46" t="str">
        <f>IF(AND(ISNUMBER(E461),ISNUMBER(G461),ISNUMBER(F461)),(E461-G461)*IF(D461="卖",-1,1)*F461*I461,"")</f>
        <v/>
      </c>
      <c r="N461" s="38" t="str">
        <f>IF(A461="","",IFERROR(T(INDEX('交易记录'!$C$5:$C$304,MATCH(A461,'交易记录'!$A$5:$A$304,0))),"编号没找到"))</f>
        <v/>
      </c>
      <c r="O461" s="31" t="n"/>
    </row>
    <row r="462">
      <c r="A462" s="29" t="n"/>
      <c r="B462" s="30" t="n"/>
      <c r="C462" s="27" t="n"/>
      <c r="D462" s="32" t="n"/>
      <c r="E462" s="33" t="n"/>
      <c r="F462" s="36" t="n"/>
      <c r="G462" s="33" t="n"/>
      <c r="H462" s="20" t="str">
        <f>IF(AND(ISNUMBER(E462),ISNUMBER(F462)),E462*F462,"")</f>
        <v/>
      </c>
      <c r="I462" s="38" t="str">
        <f>IF(A462="","",IFERROR(IF(N(INDEX('交易记录'!$G$5:$G$304,MATCH(A462,'交易记录'!$A$5:$A$304,0)))&gt;0,INDEX('交易记录'!$G$5:$G$304,MATCH(A462,'交易记录'!$A$5:$A$304,0)),1),1))</f>
        <v/>
      </c>
      <c r="J462" s="41" t="str">
        <f>IF(ISNUMBER(H462),ROUND('参数'!$C$11+H462*I462*'参数'!$C$12+F462*'参数'!$C$13,2),"")</f>
        <v/>
      </c>
      <c r="K462" s="22" t="n"/>
      <c r="L462" s="20" t="str">
        <f>IF(ISNUMBER(K462),K462,IF(ISNUMBER(H462),J462,""))</f>
        <v/>
      </c>
      <c r="M462" s="46" t="str">
        <f>IF(AND(ISNUMBER(E462),ISNUMBER(G462),ISNUMBER(F462)),(E462-G462)*IF(D462="卖",-1,1)*F462*I462,"")</f>
        <v/>
      </c>
      <c r="N462" s="38" t="str">
        <f>IF(A462="","",IFERROR(T(INDEX('交易记录'!$C$5:$C$304,MATCH(A462,'交易记录'!$A$5:$A$304,0))),"编号没找到"))</f>
        <v/>
      </c>
      <c r="O462" s="31" t="n"/>
    </row>
    <row r="463">
      <c r="A463" s="29" t="n"/>
      <c r="B463" s="30" t="n"/>
      <c r="C463" s="27" t="n"/>
      <c r="D463" s="32" t="n"/>
      <c r="E463" s="33" t="n"/>
      <c r="F463" s="36" t="n"/>
      <c r="G463" s="33" t="n"/>
      <c r="H463" s="20" t="str">
        <f>IF(AND(ISNUMBER(E463),ISNUMBER(F463)),E463*F463,"")</f>
        <v/>
      </c>
      <c r="I463" s="38" t="str">
        <f>IF(A463="","",IFERROR(IF(N(INDEX('交易记录'!$G$5:$G$304,MATCH(A463,'交易记录'!$A$5:$A$304,0)))&gt;0,INDEX('交易记录'!$G$5:$G$304,MATCH(A463,'交易记录'!$A$5:$A$304,0)),1),1))</f>
        <v/>
      </c>
      <c r="J463" s="41" t="str">
        <f>IF(ISNUMBER(H463),ROUND('参数'!$C$11+H463*I463*'参数'!$C$12+F463*'参数'!$C$13,2),"")</f>
        <v/>
      </c>
      <c r="K463" s="22" t="n"/>
      <c r="L463" s="20" t="str">
        <f>IF(ISNUMBER(K463),K463,IF(ISNUMBER(H463),J463,""))</f>
        <v/>
      </c>
      <c r="M463" s="46" t="str">
        <f>IF(AND(ISNUMBER(E463),ISNUMBER(G463),ISNUMBER(F463)),(E463-G463)*IF(D463="卖",-1,1)*F463*I463,"")</f>
        <v/>
      </c>
      <c r="N463" s="38" t="str">
        <f>IF(A463="","",IFERROR(T(INDEX('交易记录'!$C$5:$C$304,MATCH(A463,'交易记录'!$A$5:$A$304,0))),"编号没找到"))</f>
        <v/>
      </c>
      <c r="O463" s="31" t="n"/>
    </row>
    <row r="464">
      <c r="A464" s="29" t="n"/>
      <c r="B464" s="30" t="n"/>
      <c r="C464" s="27" t="n"/>
      <c r="D464" s="32" t="n"/>
      <c r="E464" s="33" t="n"/>
      <c r="F464" s="36" t="n"/>
      <c r="G464" s="33" t="n"/>
      <c r="H464" s="20" t="str">
        <f>IF(AND(ISNUMBER(E464),ISNUMBER(F464)),E464*F464,"")</f>
        <v/>
      </c>
      <c r="I464" s="38" t="str">
        <f>IF(A464="","",IFERROR(IF(N(INDEX('交易记录'!$G$5:$G$304,MATCH(A464,'交易记录'!$A$5:$A$304,0)))&gt;0,INDEX('交易记录'!$G$5:$G$304,MATCH(A464,'交易记录'!$A$5:$A$304,0)),1),1))</f>
        <v/>
      </c>
      <c r="J464" s="41" t="str">
        <f>IF(ISNUMBER(H464),ROUND('参数'!$C$11+H464*I464*'参数'!$C$12+F464*'参数'!$C$13,2),"")</f>
        <v/>
      </c>
      <c r="K464" s="22" t="n"/>
      <c r="L464" s="20" t="str">
        <f>IF(ISNUMBER(K464),K464,IF(ISNUMBER(H464),J464,""))</f>
        <v/>
      </c>
      <c r="M464" s="46" t="str">
        <f>IF(AND(ISNUMBER(E464),ISNUMBER(G464),ISNUMBER(F464)),(E464-G464)*IF(D464="卖",-1,1)*F464*I464,"")</f>
        <v/>
      </c>
      <c r="N464" s="38" t="str">
        <f>IF(A464="","",IFERROR(T(INDEX('交易记录'!$C$5:$C$304,MATCH(A464,'交易记录'!$A$5:$A$304,0))),"编号没找到"))</f>
        <v/>
      </c>
      <c r="O464" s="31" t="n"/>
    </row>
    <row r="465">
      <c r="A465" s="29" t="n"/>
      <c r="B465" s="30" t="n"/>
      <c r="C465" s="27" t="n"/>
      <c r="D465" s="32" t="n"/>
      <c r="E465" s="33" t="n"/>
      <c r="F465" s="36" t="n"/>
      <c r="G465" s="33" t="n"/>
      <c r="H465" s="20" t="str">
        <f>IF(AND(ISNUMBER(E465),ISNUMBER(F465)),E465*F465,"")</f>
        <v/>
      </c>
      <c r="I465" s="38" t="str">
        <f>IF(A465="","",IFERROR(IF(N(INDEX('交易记录'!$G$5:$G$304,MATCH(A465,'交易记录'!$A$5:$A$304,0)))&gt;0,INDEX('交易记录'!$G$5:$G$304,MATCH(A465,'交易记录'!$A$5:$A$304,0)),1),1))</f>
        <v/>
      </c>
      <c r="J465" s="41" t="str">
        <f>IF(ISNUMBER(H465),ROUND('参数'!$C$11+H465*I465*'参数'!$C$12+F465*'参数'!$C$13,2),"")</f>
        <v/>
      </c>
      <c r="K465" s="22" t="n"/>
      <c r="L465" s="20" t="str">
        <f>IF(ISNUMBER(K465),K465,IF(ISNUMBER(H465),J465,""))</f>
        <v/>
      </c>
      <c r="M465" s="46" t="str">
        <f>IF(AND(ISNUMBER(E465),ISNUMBER(G465),ISNUMBER(F465)),(E465-G465)*IF(D465="卖",-1,1)*F465*I465,"")</f>
        <v/>
      </c>
      <c r="N465" s="38" t="str">
        <f>IF(A465="","",IFERROR(T(INDEX('交易记录'!$C$5:$C$304,MATCH(A465,'交易记录'!$A$5:$A$304,0))),"编号没找到"))</f>
        <v/>
      </c>
      <c r="O465" s="31" t="n"/>
    </row>
    <row r="466">
      <c r="A466" s="29" t="n"/>
      <c r="B466" s="30" t="n"/>
      <c r="C466" s="27" t="n"/>
      <c r="D466" s="32" t="n"/>
      <c r="E466" s="33" t="n"/>
      <c r="F466" s="36" t="n"/>
      <c r="G466" s="33" t="n"/>
      <c r="H466" s="20" t="str">
        <f>IF(AND(ISNUMBER(E466),ISNUMBER(F466)),E466*F466,"")</f>
        <v/>
      </c>
      <c r="I466" s="38" t="str">
        <f>IF(A466="","",IFERROR(IF(N(INDEX('交易记录'!$G$5:$G$304,MATCH(A466,'交易记录'!$A$5:$A$304,0)))&gt;0,INDEX('交易记录'!$G$5:$G$304,MATCH(A466,'交易记录'!$A$5:$A$304,0)),1),1))</f>
        <v/>
      </c>
      <c r="J466" s="41" t="str">
        <f>IF(ISNUMBER(H466),ROUND('参数'!$C$11+H466*I466*'参数'!$C$12+F466*'参数'!$C$13,2),"")</f>
        <v/>
      </c>
      <c r="K466" s="22" t="n"/>
      <c r="L466" s="20" t="str">
        <f>IF(ISNUMBER(K466),K466,IF(ISNUMBER(H466),J466,""))</f>
        <v/>
      </c>
      <c r="M466" s="46" t="str">
        <f>IF(AND(ISNUMBER(E466),ISNUMBER(G466),ISNUMBER(F466)),(E466-G466)*IF(D466="卖",-1,1)*F466*I466,"")</f>
        <v/>
      </c>
      <c r="N466" s="38" t="str">
        <f>IF(A466="","",IFERROR(T(INDEX('交易记录'!$C$5:$C$304,MATCH(A466,'交易记录'!$A$5:$A$304,0))),"编号没找到"))</f>
        <v/>
      </c>
      <c r="O466" s="31" t="n"/>
    </row>
    <row r="467">
      <c r="A467" s="29" t="n"/>
      <c r="B467" s="30" t="n"/>
      <c r="C467" s="27" t="n"/>
      <c r="D467" s="32" t="n"/>
      <c r="E467" s="33" t="n"/>
      <c r="F467" s="36" t="n"/>
      <c r="G467" s="33" t="n"/>
      <c r="H467" s="20" t="str">
        <f>IF(AND(ISNUMBER(E467),ISNUMBER(F467)),E467*F467,"")</f>
        <v/>
      </c>
      <c r="I467" s="38" t="str">
        <f>IF(A467="","",IFERROR(IF(N(INDEX('交易记录'!$G$5:$G$304,MATCH(A467,'交易记录'!$A$5:$A$304,0)))&gt;0,INDEX('交易记录'!$G$5:$G$304,MATCH(A467,'交易记录'!$A$5:$A$304,0)),1),1))</f>
        <v/>
      </c>
      <c r="J467" s="41" t="str">
        <f>IF(ISNUMBER(H467),ROUND('参数'!$C$11+H467*I467*'参数'!$C$12+F467*'参数'!$C$13,2),"")</f>
        <v/>
      </c>
      <c r="K467" s="22" t="n"/>
      <c r="L467" s="20" t="str">
        <f>IF(ISNUMBER(K467),K467,IF(ISNUMBER(H467),J467,""))</f>
        <v/>
      </c>
      <c r="M467" s="46" t="str">
        <f>IF(AND(ISNUMBER(E467),ISNUMBER(G467),ISNUMBER(F467)),(E467-G467)*IF(D467="卖",-1,1)*F467*I467,"")</f>
        <v/>
      </c>
      <c r="N467" s="38" t="str">
        <f>IF(A467="","",IFERROR(T(INDEX('交易记录'!$C$5:$C$304,MATCH(A467,'交易记录'!$A$5:$A$304,0))),"编号没找到"))</f>
        <v/>
      </c>
      <c r="O467" s="31" t="n"/>
    </row>
    <row r="468">
      <c r="A468" s="29" t="n"/>
      <c r="B468" s="30" t="n"/>
      <c r="C468" s="27" t="n"/>
      <c r="D468" s="32" t="n"/>
      <c r="E468" s="33" t="n"/>
      <c r="F468" s="36" t="n"/>
      <c r="G468" s="33" t="n"/>
      <c r="H468" s="20" t="str">
        <f>IF(AND(ISNUMBER(E468),ISNUMBER(F468)),E468*F468,"")</f>
        <v/>
      </c>
      <c r="I468" s="38" t="str">
        <f>IF(A468="","",IFERROR(IF(N(INDEX('交易记录'!$G$5:$G$304,MATCH(A468,'交易记录'!$A$5:$A$304,0)))&gt;0,INDEX('交易记录'!$G$5:$G$304,MATCH(A468,'交易记录'!$A$5:$A$304,0)),1),1))</f>
        <v/>
      </c>
      <c r="J468" s="41" t="str">
        <f>IF(ISNUMBER(H468),ROUND('参数'!$C$11+H468*I468*'参数'!$C$12+F468*'参数'!$C$13,2),"")</f>
        <v/>
      </c>
      <c r="K468" s="22" t="n"/>
      <c r="L468" s="20" t="str">
        <f>IF(ISNUMBER(K468),K468,IF(ISNUMBER(H468),J468,""))</f>
        <v/>
      </c>
      <c r="M468" s="46" t="str">
        <f>IF(AND(ISNUMBER(E468),ISNUMBER(G468),ISNUMBER(F468)),(E468-G468)*IF(D468="卖",-1,1)*F468*I468,"")</f>
        <v/>
      </c>
      <c r="N468" s="38" t="str">
        <f>IF(A468="","",IFERROR(T(INDEX('交易记录'!$C$5:$C$304,MATCH(A468,'交易记录'!$A$5:$A$304,0))),"编号没找到"))</f>
        <v/>
      </c>
      <c r="O468" s="31" t="n"/>
    </row>
    <row r="469">
      <c r="A469" s="29" t="n"/>
      <c r="B469" s="30" t="n"/>
      <c r="C469" s="27" t="n"/>
      <c r="D469" s="32" t="n"/>
      <c r="E469" s="33" t="n"/>
      <c r="F469" s="36" t="n"/>
      <c r="G469" s="33" t="n"/>
      <c r="H469" s="20" t="str">
        <f>IF(AND(ISNUMBER(E469),ISNUMBER(F469)),E469*F469,"")</f>
        <v/>
      </c>
      <c r="I469" s="38" t="str">
        <f>IF(A469="","",IFERROR(IF(N(INDEX('交易记录'!$G$5:$G$304,MATCH(A469,'交易记录'!$A$5:$A$304,0)))&gt;0,INDEX('交易记录'!$G$5:$G$304,MATCH(A469,'交易记录'!$A$5:$A$304,0)),1),1))</f>
        <v/>
      </c>
      <c r="J469" s="41" t="str">
        <f>IF(ISNUMBER(H469),ROUND('参数'!$C$11+H469*I469*'参数'!$C$12+F469*'参数'!$C$13,2),"")</f>
        <v/>
      </c>
      <c r="K469" s="22" t="n"/>
      <c r="L469" s="20" t="str">
        <f>IF(ISNUMBER(K469),K469,IF(ISNUMBER(H469),J469,""))</f>
        <v/>
      </c>
      <c r="M469" s="46" t="str">
        <f>IF(AND(ISNUMBER(E469),ISNUMBER(G469),ISNUMBER(F469)),(E469-G469)*IF(D469="卖",-1,1)*F469*I469,"")</f>
        <v/>
      </c>
      <c r="N469" s="38" t="str">
        <f>IF(A469="","",IFERROR(T(INDEX('交易记录'!$C$5:$C$304,MATCH(A469,'交易记录'!$A$5:$A$304,0))),"编号没找到"))</f>
        <v/>
      </c>
      <c r="O469" s="31" t="n"/>
    </row>
    <row r="470">
      <c r="A470" s="29" t="n"/>
      <c r="B470" s="30" t="n"/>
      <c r="C470" s="27" t="n"/>
      <c r="D470" s="32" t="n"/>
      <c r="E470" s="33" t="n"/>
      <c r="F470" s="36" t="n"/>
      <c r="G470" s="33" t="n"/>
      <c r="H470" s="20" t="str">
        <f>IF(AND(ISNUMBER(E470),ISNUMBER(F470)),E470*F470,"")</f>
        <v/>
      </c>
      <c r="I470" s="38" t="str">
        <f>IF(A470="","",IFERROR(IF(N(INDEX('交易记录'!$G$5:$G$304,MATCH(A470,'交易记录'!$A$5:$A$304,0)))&gt;0,INDEX('交易记录'!$G$5:$G$304,MATCH(A470,'交易记录'!$A$5:$A$304,0)),1),1))</f>
        <v/>
      </c>
      <c r="J470" s="41" t="str">
        <f>IF(ISNUMBER(H470),ROUND('参数'!$C$11+H470*I470*'参数'!$C$12+F470*'参数'!$C$13,2),"")</f>
        <v/>
      </c>
      <c r="K470" s="22" t="n"/>
      <c r="L470" s="20" t="str">
        <f>IF(ISNUMBER(K470),K470,IF(ISNUMBER(H470),J470,""))</f>
        <v/>
      </c>
      <c r="M470" s="46" t="str">
        <f>IF(AND(ISNUMBER(E470),ISNUMBER(G470),ISNUMBER(F470)),(E470-G470)*IF(D470="卖",-1,1)*F470*I470,"")</f>
        <v/>
      </c>
      <c r="N470" s="38" t="str">
        <f>IF(A470="","",IFERROR(T(INDEX('交易记录'!$C$5:$C$304,MATCH(A470,'交易记录'!$A$5:$A$304,0))),"编号没找到"))</f>
        <v/>
      </c>
      <c r="O470" s="31" t="n"/>
    </row>
    <row r="471">
      <c r="A471" s="29" t="n"/>
      <c r="B471" s="30" t="n"/>
      <c r="C471" s="27" t="n"/>
      <c r="D471" s="32" t="n"/>
      <c r="E471" s="33" t="n"/>
      <c r="F471" s="36" t="n"/>
      <c r="G471" s="33" t="n"/>
      <c r="H471" s="20" t="str">
        <f>IF(AND(ISNUMBER(E471),ISNUMBER(F471)),E471*F471,"")</f>
        <v/>
      </c>
      <c r="I471" s="38" t="str">
        <f>IF(A471="","",IFERROR(IF(N(INDEX('交易记录'!$G$5:$G$304,MATCH(A471,'交易记录'!$A$5:$A$304,0)))&gt;0,INDEX('交易记录'!$G$5:$G$304,MATCH(A471,'交易记录'!$A$5:$A$304,0)),1),1))</f>
        <v/>
      </c>
      <c r="J471" s="41" t="str">
        <f>IF(ISNUMBER(H471),ROUND('参数'!$C$11+H471*I471*'参数'!$C$12+F471*'参数'!$C$13,2),"")</f>
        <v/>
      </c>
      <c r="K471" s="22" t="n"/>
      <c r="L471" s="20" t="str">
        <f>IF(ISNUMBER(K471),K471,IF(ISNUMBER(H471),J471,""))</f>
        <v/>
      </c>
      <c r="M471" s="46" t="str">
        <f>IF(AND(ISNUMBER(E471),ISNUMBER(G471),ISNUMBER(F471)),(E471-G471)*IF(D471="卖",-1,1)*F471*I471,"")</f>
        <v/>
      </c>
      <c r="N471" s="38" t="str">
        <f>IF(A471="","",IFERROR(T(INDEX('交易记录'!$C$5:$C$304,MATCH(A471,'交易记录'!$A$5:$A$304,0))),"编号没找到"))</f>
        <v/>
      </c>
      <c r="O471" s="31" t="n"/>
    </row>
    <row r="472">
      <c r="A472" s="29" t="n"/>
      <c r="B472" s="30" t="n"/>
      <c r="C472" s="27" t="n"/>
      <c r="D472" s="32" t="n"/>
      <c r="E472" s="33" t="n"/>
      <c r="F472" s="36" t="n"/>
      <c r="G472" s="33" t="n"/>
      <c r="H472" s="20" t="str">
        <f>IF(AND(ISNUMBER(E472),ISNUMBER(F472)),E472*F472,"")</f>
        <v/>
      </c>
      <c r="I472" s="38" t="str">
        <f>IF(A472="","",IFERROR(IF(N(INDEX('交易记录'!$G$5:$G$304,MATCH(A472,'交易记录'!$A$5:$A$304,0)))&gt;0,INDEX('交易记录'!$G$5:$G$304,MATCH(A472,'交易记录'!$A$5:$A$304,0)),1),1))</f>
        <v/>
      </c>
      <c r="J472" s="41" t="str">
        <f>IF(ISNUMBER(H472),ROUND('参数'!$C$11+H472*I472*'参数'!$C$12+F472*'参数'!$C$13,2),"")</f>
        <v/>
      </c>
      <c r="K472" s="22" t="n"/>
      <c r="L472" s="20" t="str">
        <f>IF(ISNUMBER(K472),K472,IF(ISNUMBER(H472),J472,""))</f>
        <v/>
      </c>
      <c r="M472" s="46" t="str">
        <f>IF(AND(ISNUMBER(E472),ISNUMBER(G472),ISNUMBER(F472)),(E472-G472)*IF(D472="卖",-1,1)*F472*I472,"")</f>
        <v/>
      </c>
      <c r="N472" s="38" t="str">
        <f>IF(A472="","",IFERROR(T(INDEX('交易记录'!$C$5:$C$304,MATCH(A472,'交易记录'!$A$5:$A$304,0))),"编号没找到"))</f>
        <v/>
      </c>
      <c r="O472" s="31" t="n"/>
    </row>
    <row r="473">
      <c r="A473" s="29" t="n"/>
      <c r="B473" s="30" t="n"/>
      <c r="C473" s="27" t="n"/>
      <c r="D473" s="32" t="n"/>
      <c r="E473" s="33" t="n"/>
      <c r="F473" s="36" t="n"/>
      <c r="G473" s="33" t="n"/>
      <c r="H473" s="20" t="str">
        <f>IF(AND(ISNUMBER(E473),ISNUMBER(F473)),E473*F473,"")</f>
        <v/>
      </c>
      <c r="I473" s="38" t="str">
        <f>IF(A473="","",IFERROR(IF(N(INDEX('交易记录'!$G$5:$G$304,MATCH(A473,'交易记录'!$A$5:$A$304,0)))&gt;0,INDEX('交易记录'!$G$5:$G$304,MATCH(A473,'交易记录'!$A$5:$A$304,0)),1),1))</f>
        <v/>
      </c>
      <c r="J473" s="41" t="str">
        <f>IF(ISNUMBER(H473),ROUND('参数'!$C$11+H473*I473*'参数'!$C$12+F473*'参数'!$C$13,2),"")</f>
        <v/>
      </c>
      <c r="K473" s="22" t="n"/>
      <c r="L473" s="20" t="str">
        <f>IF(ISNUMBER(K473),K473,IF(ISNUMBER(H473),J473,""))</f>
        <v/>
      </c>
      <c r="M473" s="46" t="str">
        <f>IF(AND(ISNUMBER(E473),ISNUMBER(G473),ISNUMBER(F473)),(E473-G473)*IF(D473="卖",-1,1)*F473*I473,"")</f>
        <v/>
      </c>
      <c r="N473" s="38" t="str">
        <f>IF(A473="","",IFERROR(T(INDEX('交易记录'!$C$5:$C$304,MATCH(A473,'交易记录'!$A$5:$A$304,0))),"编号没找到"))</f>
        <v/>
      </c>
      <c r="O473" s="31" t="n"/>
    </row>
    <row r="474">
      <c r="A474" s="29" t="n"/>
      <c r="B474" s="30" t="n"/>
      <c r="C474" s="27" t="n"/>
      <c r="D474" s="32" t="n"/>
      <c r="E474" s="33" t="n"/>
      <c r="F474" s="36" t="n"/>
      <c r="G474" s="33" t="n"/>
      <c r="H474" s="20" t="str">
        <f>IF(AND(ISNUMBER(E474),ISNUMBER(F474)),E474*F474,"")</f>
        <v/>
      </c>
      <c r="I474" s="38" t="str">
        <f>IF(A474="","",IFERROR(IF(N(INDEX('交易记录'!$G$5:$G$304,MATCH(A474,'交易记录'!$A$5:$A$304,0)))&gt;0,INDEX('交易记录'!$G$5:$G$304,MATCH(A474,'交易记录'!$A$5:$A$304,0)),1),1))</f>
        <v/>
      </c>
      <c r="J474" s="41" t="str">
        <f>IF(ISNUMBER(H474),ROUND('参数'!$C$11+H474*I474*'参数'!$C$12+F474*'参数'!$C$13,2),"")</f>
        <v/>
      </c>
      <c r="K474" s="22" t="n"/>
      <c r="L474" s="20" t="str">
        <f>IF(ISNUMBER(K474),K474,IF(ISNUMBER(H474),J474,""))</f>
        <v/>
      </c>
      <c r="M474" s="46" t="str">
        <f>IF(AND(ISNUMBER(E474),ISNUMBER(G474),ISNUMBER(F474)),(E474-G474)*IF(D474="卖",-1,1)*F474*I474,"")</f>
        <v/>
      </c>
      <c r="N474" s="38" t="str">
        <f>IF(A474="","",IFERROR(T(INDEX('交易记录'!$C$5:$C$304,MATCH(A474,'交易记录'!$A$5:$A$304,0))),"编号没找到"))</f>
        <v/>
      </c>
      <c r="O474" s="31" t="n"/>
    </row>
    <row r="475">
      <c r="A475" s="29" t="n"/>
      <c r="B475" s="30" t="n"/>
      <c r="C475" s="27" t="n"/>
      <c r="D475" s="32" t="n"/>
      <c r="E475" s="33" t="n"/>
      <c r="F475" s="36" t="n"/>
      <c r="G475" s="33" t="n"/>
      <c r="H475" s="20" t="str">
        <f>IF(AND(ISNUMBER(E475),ISNUMBER(F475)),E475*F475,"")</f>
        <v/>
      </c>
      <c r="I475" s="38" t="str">
        <f>IF(A475="","",IFERROR(IF(N(INDEX('交易记录'!$G$5:$G$304,MATCH(A475,'交易记录'!$A$5:$A$304,0)))&gt;0,INDEX('交易记录'!$G$5:$G$304,MATCH(A475,'交易记录'!$A$5:$A$304,0)),1),1))</f>
        <v/>
      </c>
      <c r="J475" s="41" t="str">
        <f>IF(ISNUMBER(H475),ROUND('参数'!$C$11+H475*I475*'参数'!$C$12+F475*'参数'!$C$13,2),"")</f>
        <v/>
      </c>
      <c r="K475" s="22" t="n"/>
      <c r="L475" s="20" t="str">
        <f>IF(ISNUMBER(K475),K475,IF(ISNUMBER(H475),J475,""))</f>
        <v/>
      </c>
      <c r="M475" s="46" t="str">
        <f>IF(AND(ISNUMBER(E475),ISNUMBER(G475),ISNUMBER(F475)),(E475-G475)*IF(D475="卖",-1,1)*F475*I475,"")</f>
        <v/>
      </c>
      <c r="N475" s="38" t="str">
        <f>IF(A475="","",IFERROR(T(INDEX('交易记录'!$C$5:$C$304,MATCH(A475,'交易记录'!$A$5:$A$304,0))),"编号没找到"))</f>
        <v/>
      </c>
      <c r="O475" s="31" t="n"/>
    </row>
    <row r="476">
      <c r="A476" s="29" t="n"/>
      <c r="B476" s="30" t="n"/>
      <c r="C476" s="27" t="n"/>
      <c r="D476" s="32" t="n"/>
      <c r="E476" s="33" t="n"/>
      <c r="F476" s="36" t="n"/>
      <c r="G476" s="33" t="n"/>
      <c r="H476" s="20" t="str">
        <f>IF(AND(ISNUMBER(E476),ISNUMBER(F476)),E476*F476,"")</f>
        <v/>
      </c>
      <c r="I476" s="38" t="str">
        <f>IF(A476="","",IFERROR(IF(N(INDEX('交易记录'!$G$5:$G$304,MATCH(A476,'交易记录'!$A$5:$A$304,0)))&gt;0,INDEX('交易记录'!$G$5:$G$304,MATCH(A476,'交易记录'!$A$5:$A$304,0)),1),1))</f>
        <v/>
      </c>
      <c r="J476" s="41" t="str">
        <f>IF(ISNUMBER(H476),ROUND('参数'!$C$11+H476*I476*'参数'!$C$12+F476*'参数'!$C$13,2),"")</f>
        <v/>
      </c>
      <c r="K476" s="22" t="n"/>
      <c r="L476" s="20" t="str">
        <f>IF(ISNUMBER(K476),K476,IF(ISNUMBER(H476),J476,""))</f>
        <v/>
      </c>
      <c r="M476" s="46" t="str">
        <f>IF(AND(ISNUMBER(E476),ISNUMBER(G476),ISNUMBER(F476)),(E476-G476)*IF(D476="卖",-1,1)*F476*I476,"")</f>
        <v/>
      </c>
      <c r="N476" s="38" t="str">
        <f>IF(A476="","",IFERROR(T(INDEX('交易记录'!$C$5:$C$304,MATCH(A476,'交易记录'!$A$5:$A$304,0))),"编号没找到"))</f>
        <v/>
      </c>
      <c r="O476" s="31" t="n"/>
    </row>
    <row r="477">
      <c r="A477" s="29" t="n"/>
      <c r="B477" s="30" t="n"/>
      <c r="C477" s="27" t="n"/>
      <c r="D477" s="32" t="n"/>
      <c r="E477" s="33" t="n"/>
      <c r="F477" s="36" t="n"/>
      <c r="G477" s="33" t="n"/>
      <c r="H477" s="20" t="str">
        <f>IF(AND(ISNUMBER(E477),ISNUMBER(F477)),E477*F477,"")</f>
        <v/>
      </c>
      <c r="I477" s="38" t="str">
        <f>IF(A477="","",IFERROR(IF(N(INDEX('交易记录'!$G$5:$G$304,MATCH(A477,'交易记录'!$A$5:$A$304,0)))&gt;0,INDEX('交易记录'!$G$5:$G$304,MATCH(A477,'交易记录'!$A$5:$A$304,0)),1),1))</f>
        <v/>
      </c>
      <c r="J477" s="41" t="str">
        <f>IF(ISNUMBER(H477),ROUND('参数'!$C$11+H477*I477*'参数'!$C$12+F477*'参数'!$C$13,2),"")</f>
        <v/>
      </c>
      <c r="K477" s="22" t="n"/>
      <c r="L477" s="20" t="str">
        <f>IF(ISNUMBER(K477),K477,IF(ISNUMBER(H477),J477,""))</f>
        <v/>
      </c>
      <c r="M477" s="46" t="str">
        <f>IF(AND(ISNUMBER(E477),ISNUMBER(G477),ISNUMBER(F477)),(E477-G477)*IF(D477="卖",-1,1)*F477*I477,"")</f>
        <v/>
      </c>
      <c r="N477" s="38" t="str">
        <f>IF(A477="","",IFERROR(T(INDEX('交易记录'!$C$5:$C$304,MATCH(A477,'交易记录'!$A$5:$A$304,0))),"编号没找到"))</f>
        <v/>
      </c>
      <c r="O477" s="31" t="n"/>
    </row>
    <row r="478">
      <c r="A478" s="29" t="n"/>
      <c r="B478" s="30" t="n"/>
      <c r="C478" s="27" t="n"/>
      <c r="D478" s="32" t="n"/>
      <c r="E478" s="33" t="n"/>
      <c r="F478" s="36" t="n"/>
      <c r="G478" s="33" t="n"/>
      <c r="H478" s="20" t="str">
        <f>IF(AND(ISNUMBER(E478),ISNUMBER(F478)),E478*F478,"")</f>
        <v/>
      </c>
      <c r="I478" s="38" t="str">
        <f>IF(A478="","",IFERROR(IF(N(INDEX('交易记录'!$G$5:$G$304,MATCH(A478,'交易记录'!$A$5:$A$304,0)))&gt;0,INDEX('交易记录'!$G$5:$G$304,MATCH(A478,'交易记录'!$A$5:$A$304,0)),1),1))</f>
        <v/>
      </c>
      <c r="J478" s="41" t="str">
        <f>IF(ISNUMBER(H478),ROUND('参数'!$C$11+H478*I478*'参数'!$C$12+F478*'参数'!$C$13,2),"")</f>
        <v/>
      </c>
      <c r="K478" s="22" t="n"/>
      <c r="L478" s="20" t="str">
        <f>IF(ISNUMBER(K478),K478,IF(ISNUMBER(H478),J478,""))</f>
        <v/>
      </c>
      <c r="M478" s="46" t="str">
        <f>IF(AND(ISNUMBER(E478),ISNUMBER(G478),ISNUMBER(F478)),(E478-G478)*IF(D478="卖",-1,1)*F478*I478,"")</f>
        <v/>
      </c>
      <c r="N478" s="38" t="str">
        <f>IF(A478="","",IFERROR(T(INDEX('交易记录'!$C$5:$C$304,MATCH(A478,'交易记录'!$A$5:$A$304,0))),"编号没找到"))</f>
        <v/>
      </c>
      <c r="O478" s="31" t="n"/>
    </row>
    <row r="479">
      <c r="A479" s="29" t="n"/>
      <c r="B479" s="30" t="n"/>
      <c r="C479" s="27" t="n"/>
      <c r="D479" s="32" t="n"/>
      <c r="E479" s="33" t="n"/>
      <c r="F479" s="36" t="n"/>
      <c r="G479" s="33" t="n"/>
      <c r="H479" s="20" t="str">
        <f>IF(AND(ISNUMBER(E479),ISNUMBER(F479)),E479*F479,"")</f>
        <v/>
      </c>
      <c r="I479" s="38" t="str">
        <f>IF(A479="","",IFERROR(IF(N(INDEX('交易记录'!$G$5:$G$304,MATCH(A479,'交易记录'!$A$5:$A$304,0)))&gt;0,INDEX('交易记录'!$G$5:$G$304,MATCH(A479,'交易记录'!$A$5:$A$304,0)),1),1))</f>
        <v/>
      </c>
      <c r="J479" s="41" t="str">
        <f>IF(ISNUMBER(H479),ROUND('参数'!$C$11+H479*I479*'参数'!$C$12+F479*'参数'!$C$13,2),"")</f>
        <v/>
      </c>
      <c r="K479" s="22" t="n"/>
      <c r="L479" s="20" t="str">
        <f>IF(ISNUMBER(K479),K479,IF(ISNUMBER(H479),J479,""))</f>
        <v/>
      </c>
      <c r="M479" s="46" t="str">
        <f>IF(AND(ISNUMBER(E479),ISNUMBER(G479),ISNUMBER(F479)),(E479-G479)*IF(D479="卖",-1,1)*F479*I479,"")</f>
        <v/>
      </c>
      <c r="N479" s="38" t="str">
        <f>IF(A479="","",IFERROR(T(INDEX('交易记录'!$C$5:$C$304,MATCH(A479,'交易记录'!$A$5:$A$304,0))),"编号没找到"))</f>
        <v/>
      </c>
      <c r="O479" s="31" t="n"/>
    </row>
    <row r="480">
      <c r="A480" s="29" t="n"/>
      <c r="B480" s="30" t="n"/>
      <c r="C480" s="27" t="n"/>
      <c r="D480" s="32" t="n"/>
      <c r="E480" s="33" t="n"/>
      <c r="F480" s="36" t="n"/>
      <c r="G480" s="33" t="n"/>
      <c r="H480" s="20" t="str">
        <f>IF(AND(ISNUMBER(E480),ISNUMBER(F480)),E480*F480,"")</f>
        <v/>
      </c>
      <c r="I480" s="38" t="str">
        <f>IF(A480="","",IFERROR(IF(N(INDEX('交易记录'!$G$5:$G$304,MATCH(A480,'交易记录'!$A$5:$A$304,0)))&gt;0,INDEX('交易记录'!$G$5:$G$304,MATCH(A480,'交易记录'!$A$5:$A$304,0)),1),1))</f>
        <v/>
      </c>
      <c r="J480" s="41" t="str">
        <f>IF(ISNUMBER(H480),ROUND('参数'!$C$11+H480*I480*'参数'!$C$12+F480*'参数'!$C$13,2),"")</f>
        <v/>
      </c>
      <c r="K480" s="22" t="n"/>
      <c r="L480" s="20" t="str">
        <f>IF(ISNUMBER(K480),K480,IF(ISNUMBER(H480),J480,""))</f>
        <v/>
      </c>
      <c r="M480" s="46" t="str">
        <f>IF(AND(ISNUMBER(E480),ISNUMBER(G480),ISNUMBER(F480)),(E480-G480)*IF(D480="卖",-1,1)*F480*I480,"")</f>
        <v/>
      </c>
      <c r="N480" s="38" t="str">
        <f>IF(A480="","",IFERROR(T(INDEX('交易记录'!$C$5:$C$304,MATCH(A480,'交易记录'!$A$5:$A$304,0))),"编号没找到"))</f>
        <v/>
      </c>
      <c r="O480" s="31" t="n"/>
    </row>
    <row r="481">
      <c r="A481" s="29" t="n"/>
      <c r="B481" s="30" t="n"/>
      <c r="C481" s="27" t="n"/>
      <c r="D481" s="32" t="n"/>
      <c r="E481" s="33" t="n"/>
      <c r="F481" s="36" t="n"/>
      <c r="G481" s="33" t="n"/>
      <c r="H481" s="20" t="str">
        <f>IF(AND(ISNUMBER(E481),ISNUMBER(F481)),E481*F481,"")</f>
        <v/>
      </c>
      <c r="I481" s="38" t="str">
        <f>IF(A481="","",IFERROR(IF(N(INDEX('交易记录'!$G$5:$G$304,MATCH(A481,'交易记录'!$A$5:$A$304,0)))&gt;0,INDEX('交易记录'!$G$5:$G$304,MATCH(A481,'交易记录'!$A$5:$A$304,0)),1),1))</f>
        <v/>
      </c>
      <c r="J481" s="41" t="str">
        <f>IF(ISNUMBER(H481),ROUND('参数'!$C$11+H481*I481*'参数'!$C$12+F481*'参数'!$C$13,2),"")</f>
        <v/>
      </c>
      <c r="K481" s="22" t="n"/>
      <c r="L481" s="20" t="str">
        <f>IF(ISNUMBER(K481),K481,IF(ISNUMBER(H481),J481,""))</f>
        <v/>
      </c>
      <c r="M481" s="46" t="str">
        <f>IF(AND(ISNUMBER(E481),ISNUMBER(G481),ISNUMBER(F481)),(E481-G481)*IF(D481="卖",-1,1)*F481*I481,"")</f>
        <v/>
      </c>
      <c r="N481" s="38" t="str">
        <f>IF(A481="","",IFERROR(T(INDEX('交易记录'!$C$5:$C$304,MATCH(A481,'交易记录'!$A$5:$A$304,0))),"编号没找到"))</f>
        <v/>
      </c>
      <c r="O481" s="31" t="n"/>
    </row>
    <row r="482">
      <c r="A482" s="29" t="n"/>
      <c r="B482" s="30" t="n"/>
      <c r="C482" s="27" t="n"/>
      <c r="D482" s="32" t="n"/>
      <c r="E482" s="33" t="n"/>
      <c r="F482" s="36" t="n"/>
      <c r="G482" s="33" t="n"/>
      <c r="H482" s="20" t="str">
        <f>IF(AND(ISNUMBER(E482),ISNUMBER(F482)),E482*F482,"")</f>
        <v/>
      </c>
      <c r="I482" s="38" t="str">
        <f>IF(A482="","",IFERROR(IF(N(INDEX('交易记录'!$G$5:$G$304,MATCH(A482,'交易记录'!$A$5:$A$304,0)))&gt;0,INDEX('交易记录'!$G$5:$G$304,MATCH(A482,'交易记录'!$A$5:$A$304,0)),1),1))</f>
        <v/>
      </c>
      <c r="J482" s="41" t="str">
        <f>IF(ISNUMBER(H482),ROUND('参数'!$C$11+H482*I482*'参数'!$C$12+F482*'参数'!$C$13,2),"")</f>
        <v/>
      </c>
      <c r="K482" s="22" t="n"/>
      <c r="L482" s="20" t="str">
        <f>IF(ISNUMBER(K482),K482,IF(ISNUMBER(H482),J482,""))</f>
        <v/>
      </c>
      <c r="M482" s="46" t="str">
        <f>IF(AND(ISNUMBER(E482),ISNUMBER(G482),ISNUMBER(F482)),(E482-G482)*IF(D482="卖",-1,1)*F482*I482,"")</f>
        <v/>
      </c>
      <c r="N482" s="38" t="str">
        <f>IF(A482="","",IFERROR(T(INDEX('交易记录'!$C$5:$C$304,MATCH(A482,'交易记录'!$A$5:$A$304,0))),"编号没找到"))</f>
        <v/>
      </c>
      <c r="O482" s="31" t="n"/>
    </row>
    <row r="483">
      <c r="A483" s="29" t="n"/>
      <c r="B483" s="30" t="n"/>
      <c r="C483" s="27" t="n"/>
      <c r="D483" s="32" t="n"/>
      <c r="E483" s="33" t="n"/>
      <c r="F483" s="36" t="n"/>
      <c r="G483" s="33" t="n"/>
      <c r="H483" s="20" t="str">
        <f>IF(AND(ISNUMBER(E483),ISNUMBER(F483)),E483*F483,"")</f>
        <v/>
      </c>
      <c r="I483" s="38" t="str">
        <f>IF(A483="","",IFERROR(IF(N(INDEX('交易记录'!$G$5:$G$304,MATCH(A483,'交易记录'!$A$5:$A$304,0)))&gt;0,INDEX('交易记录'!$G$5:$G$304,MATCH(A483,'交易记录'!$A$5:$A$304,0)),1),1))</f>
        <v/>
      </c>
      <c r="J483" s="41" t="str">
        <f>IF(ISNUMBER(H483),ROUND('参数'!$C$11+H483*I483*'参数'!$C$12+F483*'参数'!$C$13,2),"")</f>
        <v/>
      </c>
      <c r="K483" s="22" t="n"/>
      <c r="L483" s="20" t="str">
        <f>IF(ISNUMBER(K483),K483,IF(ISNUMBER(H483),J483,""))</f>
        <v/>
      </c>
      <c r="M483" s="46" t="str">
        <f>IF(AND(ISNUMBER(E483),ISNUMBER(G483),ISNUMBER(F483)),(E483-G483)*IF(D483="卖",-1,1)*F483*I483,"")</f>
        <v/>
      </c>
      <c r="N483" s="38" t="str">
        <f>IF(A483="","",IFERROR(T(INDEX('交易记录'!$C$5:$C$304,MATCH(A483,'交易记录'!$A$5:$A$304,0))),"编号没找到"))</f>
        <v/>
      </c>
      <c r="O483" s="31" t="n"/>
    </row>
    <row r="484">
      <c r="A484" s="29" t="n"/>
      <c r="B484" s="30" t="n"/>
      <c r="C484" s="27" t="n"/>
      <c r="D484" s="32" t="n"/>
      <c r="E484" s="33" t="n"/>
      <c r="F484" s="36" t="n"/>
      <c r="G484" s="33" t="n"/>
      <c r="H484" s="20" t="str">
        <f>IF(AND(ISNUMBER(E484),ISNUMBER(F484)),E484*F484,"")</f>
        <v/>
      </c>
      <c r="I484" s="38" t="str">
        <f>IF(A484="","",IFERROR(IF(N(INDEX('交易记录'!$G$5:$G$304,MATCH(A484,'交易记录'!$A$5:$A$304,0)))&gt;0,INDEX('交易记录'!$G$5:$G$304,MATCH(A484,'交易记录'!$A$5:$A$304,0)),1),1))</f>
        <v/>
      </c>
      <c r="J484" s="41" t="str">
        <f>IF(ISNUMBER(H484),ROUND('参数'!$C$11+H484*I484*'参数'!$C$12+F484*'参数'!$C$13,2),"")</f>
        <v/>
      </c>
      <c r="K484" s="22" t="n"/>
      <c r="L484" s="20" t="str">
        <f>IF(ISNUMBER(K484),K484,IF(ISNUMBER(H484),J484,""))</f>
        <v/>
      </c>
      <c r="M484" s="46" t="str">
        <f>IF(AND(ISNUMBER(E484),ISNUMBER(G484),ISNUMBER(F484)),(E484-G484)*IF(D484="卖",-1,1)*F484*I484,"")</f>
        <v/>
      </c>
      <c r="N484" s="38" t="str">
        <f>IF(A484="","",IFERROR(T(INDEX('交易记录'!$C$5:$C$304,MATCH(A484,'交易记录'!$A$5:$A$304,0))),"编号没找到"))</f>
        <v/>
      </c>
      <c r="O484" s="31" t="n"/>
    </row>
    <row r="485">
      <c r="A485" s="29" t="n"/>
      <c r="B485" s="30" t="n"/>
      <c r="C485" s="27" t="n"/>
      <c r="D485" s="32" t="n"/>
      <c r="E485" s="33" t="n"/>
      <c r="F485" s="36" t="n"/>
      <c r="G485" s="33" t="n"/>
      <c r="H485" s="20" t="str">
        <f>IF(AND(ISNUMBER(E485),ISNUMBER(F485)),E485*F485,"")</f>
        <v/>
      </c>
      <c r="I485" s="38" t="str">
        <f>IF(A485="","",IFERROR(IF(N(INDEX('交易记录'!$G$5:$G$304,MATCH(A485,'交易记录'!$A$5:$A$304,0)))&gt;0,INDEX('交易记录'!$G$5:$G$304,MATCH(A485,'交易记录'!$A$5:$A$304,0)),1),1))</f>
        <v/>
      </c>
      <c r="J485" s="41" t="str">
        <f>IF(ISNUMBER(H485),ROUND('参数'!$C$11+H485*I485*'参数'!$C$12+F485*'参数'!$C$13,2),"")</f>
        <v/>
      </c>
      <c r="K485" s="22" t="n"/>
      <c r="L485" s="20" t="str">
        <f>IF(ISNUMBER(K485),K485,IF(ISNUMBER(H485),J485,""))</f>
        <v/>
      </c>
      <c r="M485" s="46" t="str">
        <f>IF(AND(ISNUMBER(E485),ISNUMBER(G485),ISNUMBER(F485)),(E485-G485)*IF(D485="卖",-1,1)*F485*I485,"")</f>
        <v/>
      </c>
      <c r="N485" s="38" t="str">
        <f>IF(A485="","",IFERROR(T(INDEX('交易记录'!$C$5:$C$304,MATCH(A485,'交易记录'!$A$5:$A$304,0))),"编号没找到"))</f>
        <v/>
      </c>
      <c r="O485" s="31" t="n"/>
    </row>
    <row r="486">
      <c r="A486" s="29" t="n"/>
      <c r="B486" s="30" t="n"/>
      <c r="C486" s="27" t="n"/>
      <c r="D486" s="32" t="n"/>
      <c r="E486" s="33" t="n"/>
      <c r="F486" s="36" t="n"/>
      <c r="G486" s="33" t="n"/>
      <c r="H486" s="20" t="str">
        <f>IF(AND(ISNUMBER(E486),ISNUMBER(F486)),E486*F486,"")</f>
        <v/>
      </c>
      <c r="I486" s="38" t="str">
        <f>IF(A486="","",IFERROR(IF(N(INDEX('交易记录'!$G$5:$G$304,MATCH(A486,'交易记录'!$A$5:$A$304,0)))&gt;0,INDEX('交易记录'!$G$5:$G$304,MATCH(A486,'交易记录'!$A$5:$A$304,0)),1),1))</f>
        <v/>
      </c>
      <c r="J486" s="41" t="str">
        <f>IF(ISNUMBER(H486),ROUND('参数'!$C$11+H486*I486*'参数'!$C$12+F486*'参数'!$C$13,2),"")</f>
        <v/>
      </c>
      <c r="K486" s="22" t="n"/>
      <c r="L486" s="20" t="str">
        <f>IF(ISNUMBER(K486),K486,IF(ISNUMBER(H486),J486,""))</f>
        <v/>
      </c>
      <c r="M486" s="46" t="str">
        <f>IF(AND(ISNUMBER(E486),ISNUMBER(G486),ISNUMBER(F486)),(E486-G486)*IF(D486="卖",-1,1)*F486*I486,"")</f>
        <v/>
      </c>
      <c r="N486" s="38" t="str">
        <f>IF(A486="","",IFERROR(T(INDEX('交易记录'!$C$5:$C$304,MATCH(A486,'交易记录'!$A$5:$A$304,0))),"编号没找到"))</f>
        <v/>
      </c>
      <c r="O486" s="31" t="n"/>
    </row>
    <row r="487">
      <c r="A487" s="29" t="n"/>
      <c r="B487" s="30" t="n"/>
      <c r="C487" s="27" t="n"/>
      <c r="D487" s="32" t="n"/>
      <c r="E487" s="33" t="n"/>
      <c r="F487" s="36" t="n"/>
      <c r="G487" s="33" t="n"/>
      <c r="H487" s="20" t="str">
        <f>IF(AND(ISNUMBER(E487),ISNUMBER(F487)),E487*F487,"")</f>
        <v/>
      </c>
      <c r="I487" s="38" t="str">
        <f>IF(A487="","",IFERROR(IF(N(INDEX('交易记录'!$G$5:$G$304,MATCH(A487,'交易记录'!$A$5:$A$304,0)))&gt;0,INDEX('交易记录'!$G$5:$G$304,MATCH(A487,'交易记录'!$A$5:$A$304,0)),1),1))</f>
        <v/>
      </c>
      <c r="J487" s="41" t="str">
        <f>IF(ISNUMBER(H487),ROUND('参数'!$C$11+H487*I487*'参数'!$C$12+F487*'参数'!$C$13,2),"")</f>
        <v/>
      </c>
      <c r="K487" s="22" t="n"/>
      <c r="L487" s="20" t="str">
        <f>IF(ISNUMBER(K487),K487,IF(ISNUMBER(H487),J487,""))</f>
        <v/>
      </c>
      <c r="M487" s="46" t="str">
        <f>IF(AND(ISNUMBER(E487),ISNUMBER(G487),ISNUMBER(F487)),(E487-G487)*IF(D487="卖",-1,1)*F487*I487,"")</f>
        <v/>
      </c>
      <c r="N487" s="38" t="str">
        <f>IF(A487="","",IFERROR(T(INDEX('交易记录'!$C$5:$C$304,MATCH(A487,'交易记录'!$A$5:$A$304,0))),"编号没找到"))</f>
        <v/>
      </c>
      <c r="O487" s="31" t="n"/>
    </row>
    <row r="488">
      <c r="A488" s="29" t="n"/>
      <c r="B488" s="30" t="n"/>
      <c r="C488" s="27" t="n"/>
      <c r="D488" s="32" t="n"/>
      <c r="E488" s="33" t="n"/>
      <c r="F488" s="36" t="n"/>
      <c r="G488" s="33" t="n"/>
      <c r="H488" s="20" t="str">
        <f>IF(AND(ISNUMBER(E488),ISNUMBER(F488)),E488*F488,"")</f>
        <v/>
      </c>
      <c r="I488" s="38" t="str">
        <f>IF(A488="","",IFERROR(IF(N(INDEX('交易记录'!$G$5:$G$304,MATCH(A488,'交易记录'!$A$5:$A$304,0)))&gt;0,INDEX('交易记录'!$G$5:$G$304,MATCH(A488,'交易记录'!$A$5:$A$304,0)),1),1))</f>
        <v/>
      </c>
      <c r="J488" s="41" t="str">
        <f>IF(ISNUMBER(H488),ROUND('参数'!$C$11+H488*I488*'参数'!$C$12+F488*'参数'!$C$13,2),"")</f>
        <v/>
      </c>
      <c r="K488" s="22" t="n"/>
      <c r="L488" s="20" t="str">
        <f>IF(ISNUMBER(K488),K488,IF(ISNUMBER(H488),J488,""))</f>
        <v/>
      </c>
      <c r="M488" s="46" t="str">
        <f>IF(AND(ISNUMBER(E488),ISNUMBER(G488),ISNUMBER(F488)),(E488-G488)*IF(D488="卖",-1,1)*F488*I488,"")</f>
        <v/>
      </c>
      <c r="N488" s="38" t="str">
        <f>IF(A488="","",IFERROR(T(INDEX('交易记录'!$C$5:$C$304,MATCH(A488,'交易记录'!$A$5:$A$304,0))),"编号没找到"))</f>
        <v/>
      </c>
      <c r="O488" s="31" t="n"/>
    </row>
    <row r="489">
      <c r="A489" s="29" t="n"/>
      <c r="B489" s="30" t="n"/>
      <c r="C489" s="27" t="n"/>
      <c r="D489" s="32" t="n"/>
      <c r="E489" s="33" t="n"/>
      <c r="F489" s="36" t="n"/>
      <c r="G489" s="33" t="n"/>
      <c r="H489" s="20" t="str">
        <f>IF(AND(ISNUMBER(E489),ISNUMBER(F489)),E489*F489,"")</f>
        <v/>
      </c>
      <c r="I489" s="38" t="str">
        <f>IF(A489="","",IFERROR(IF(N(INDEX('交易记录'!$G$5:$G$304,MATCH(A489,'交易记录'!$A$5:$A$304,0)))&gt;0,INDEX('交易记录'!$G$5:$G$304,MATCH(A489,'交易记录'!$A$5:$A$304,0)),1),1))</f>
        <v/>
      </c>
      <c r="J489" s="41" t="str">
        <f>IF(ISNUMBER(H489),ROUND('参数'!$C$11+H489*I489*'参数'!$C$12+F489*'参数'!$C$13,2),"")</f>
        <v/>
      </c>
      <c r="K489" s="22" t="n"/>
      <c r="L489" s="20" t="str">
        <f>IF(ISNUMBER(K489),K489,IF(ISNUMBER(H489),J489,""))</f>
        <v/>
      </c>
      <c r="M489" s="46" t="str">
        <f>IF(AND(ISNUMBER(E489),ISNUMBER(G489),ISNUMBER(F489)),(E489-G489)*IF(D489="卖",-1,1)*F489*I489,"")</f>
        <v/>
      </c>
      <c r="N489" s="38" t="str">
        <f>IF(A489="","",IFERROR(T(INDEX('交易记录'!$C$5:$C$304,MATCH(A489,'交易记录'!$A$5:$A$304,0))),"编号没找到"))</f>
        <v/>
      </c>
      <c r="O489" s="31" t="n"/>
    </row>
    <row r="490">
      <c r="A490" s="29" t="n"/>
      <c r="B490" s="30" t="n"/>
      <c r="C490" s="27" t="n"/>
      <c r="D490" s="32" t="n"/>
      <c r="E490" s="33" t="n"/>
      <c r="F490" s="36" t="n"/>
      <c r="G490" s="33" t="n"/>
      <c r="H490" s="20" t="str">
        <f>IF(AND(ISNUMBER(E490),ISNUMBER(F490)),E490*F490,"")</f>
        <v/>
      </c>
      <c r="I490" s="38" t="str">
        <f>IF(A490="","",IFERROR(IF(N(INDEX('交易记录'!$G$5:$G$304,MATCH(A490,'交易记录'!$A$5:$A$304,0)))&gt;0,INDEX('交易记录'!$G$5:$G$304,MATCH(A490,'交易记录'!$A$5:$A$304,0)),1),1))</f>
        <v/>
      </c>
      <c r="J490" s="41" t="str">
        <f>IF(ISNUMBER(H490),ROUND('参数'!$C$11+H490*I490*'参数'!$C$12+F490*'参数'!$C$13,2),"")</f>
        <v/>
      </c>
      <c r="K490" s="22" t="n"/>
      <c r="L490" s="20" t="str">
        <f>IF(ISNUMBER(K490),K490,IF(ISNUMBER(H490),J490,""))</f>
        <v/>
      </c>
      <c r="M490" s="46" t="str">
        <f>IF(AND(ISNUMBER(E490),ISNUMBER(G490),ISNUMBER(F490)),(E490-G490)*IF(D490="卖",-1,1)*F490*I490,"")</f>
        <v/>
      </c>
      <c r="N490" s="38" t="str">
        <f>IF(A490="","",IFERROR(T(INDEX('交易记录'!$C$5:$C$304,MATCH(A490,'交易记录'!$A$5:$A$304,0))),"编号没找到"))</f>
        <v/>
      </c>
      <c r="O490" s="31" t="n"/>
    </row>
    <row r="491">
      <c r="A491" s="29" t="n"/>
      <c r="B491" s="30" t="n"/>
      <c r="C491" s="27" t="n"/>
      <c r="D491" s="32" t="n"/>
      <c r="E491" s="33" t="n"/>
      <c r="F491" s="36" t="n"/>
      <c r="G491" s="33" t="n"/>
      <c r="H491" s="20" t="str">
        <f>IF(AND(ISNUMBER(E491),ISNUMBER(F491)),E491*F491,"")</f>
        <v/>
      </c>
      <c r="I491" s="38" t="str">
        <f>IF(A491="","",IFERROR(IF(N(INDEX('交易记录'!$G$5:$G$304,MATCH(A491,'交易记录'!$A$5:$A$304,0)))&gt;0,INDEX('交易记录'!$G$5:$G$304,MATCH(A491,'交易记录'!$A$5:$A$304,0)),1),1))</f>
        <v/>
      </c>
      <c r="J491" s="41" t="str">
        <f>IF(ISNUMBER(H491),ROUND('参数'!$C$11+H491*I491*'参数'!$C$12+F491*'参数'!$C$13,2),"")</f>
        <v/>
      </c>
      <c r="K491" s="22" t="n"/>
      <c r="L491" s="20" t="str">
        <f>IF(ISNUMBER(K491),K491,IF(ISNUMBER(H491),J491,""))</f>
        <v/>
      </c>
      <c r="M491" s="46" t="str">
        <f>IF(AND(ISNUMBER(E491),ISNUMBER(G491),ISNUMBER(F491)),(E491-G491)*IF(D491="卖",-1,1)*F491*I491,"")</f>
        <v/>
      </c>
      <c r="N491" s="38" t="str">
        <f>IF(A491="","",IFERROR(T(INDEX('交易记录'!$C$5:$C$304,MATCH(A491,'交易记录'!$A$5:$A$304,0))),"编号没找到"))</f>
        <v/>
      </c>
      <c r="O491" s="31" t="n"/>
    </row>
    <row r="492">
      <c r="A492" s="29" t="n"/>
      <c r="B492" s="30" t="n"/>
      <c r="C492" s="27" t="n"/>
      <c r="D492" s="32" t="n"/>
      <c r="E492" s="33" t="n"/>
      <c r="F492" s="36" t="n"/>
      <c r="G492" s="33" t="n"/>
      <c r="H492" s="20" t="str">
        <f>IF(AND(ISNUMBER(E492),ISNUMBER(F492)),E492*F492,"")</f>
        <v/>
      </c>
      <c r="I492" s="38" t="str">
        <f>IF(A492="","",IFERROR(IF(N(INDEX('交易记录'!$G$5:$G$304,MATCH(A492,'交易记录'!$A$5:$A$304,0)))&gt;0,INDEX('交易记录'!$G$5:$G$304,MATCH(A492,'交易记录'!$A$5:$A$304,0)),1),1))</f>
        <v/>
      </c>
      <c r="J492" s="41" t="str">
        <f>IF(ISNUMBER(H492),ROUND('参数'!$C$11+H492*I492*'参数'!$C$12+F492*'参数'!$C$13,2),"")</f>
        <v/>
      </c>
      <c r="K492" s="22" t="n"/>
      <c r="L492" s="20" t="str">
        <f>IF(ISNUMBER(K492),K492,IF(ISNUMBER(H492),J492,""))</f>
        <v/>
      </c>
      <c r="M492" s="46" t="str">
        <f>IF(AND(ISNUMBER(E492),ISNUMBER(G492),ISNUMBER(F492)),(E492-G492)*IF(D492="卖",-1,1)*F492*I492,"")</f>
        <v/>
      </c>
      <c r="N492" s="38" t="str">
        <f>IF(A492="","",IFERROR(T(INDEX('交易记录'!$C$5:$C$304,MATCH(A492,'交易记录'!$A$5:$A$304,0))),"编号没找到"))</f>
        <v/>
      </c>
      <c r="O492" s="31" t="n"/>
    </row>
    <row r="493">
      <c r="A493" s="29" t="n"/>
      <c r="B493" s="30" t="n"/>
      <c r="C493" s="27" t="n"/>
      <c r="D493" s="32" t="n"/>
      <c r="E493" s="33" t="n"/>
      <c r="F493" s="36" t="n"/>
      <c r="G493" s="33" t="n"/>
      <c r="H493" s="20" t="str">
        <f>IF(AND(ISNUMBER(E493),ISNUMBER(F493)),E493*F493,"")</f>
        <v/>
      </c>
      <c r="I493" s="38" t="str">
        <f>IF(A493="","",IFERROR(IF(N(INDEX('交易记录'!$G$5:$G$304,MATCH(A493,'交易记录'!$A$5:$A$304,0)))&gt;0,INDEX('交易记录'!$G$5:$G$304,MATCH(A493,'交易记录'!$A$5:$A$304,0)),1),1))</f>
        <v/>
      </c>
      <c r="J493" s="41" t="str">
        <f>IF(ISNUMBER(H493),ROUND('参数'!$C$11+H493*I493*'参数'!$C$12+F493*'参数'!$C$13,2),"")</f>
        <v/>
      </c>
      <c r="K493" s="22" t="n"/>
      <c r="L493" s="20" t="str">
        <f>IF(ISNUMBER(K493),K493,IF(ISNUMBER(H493),J493,""))</f>
        <v/>
      </c>
      <c r="M493" s="46" t="str">
        <f>IF(AND(ISNUMBER(E493),ISNUMBER(G493),ISNUMBER(F493)),(E493-G493)*IF(D493="卖",-1,1)*F493*I493,"")</f>
        <v/>
      </c>
      <c r="N493" s="38" t="str">
        <f>IF(A493="","",IFERROR(T(INDEX('交易记录'!$C$5:$C$304,MATCH(A493,'交易记录'!$A$5:$A$304,0))),"编号没找到"))</f>
        <v/>
      </c>
      <c r="O493" s="31" t="n"/>
    </row>
    <row r="494">
      <c r="A494" s="29" t="n"/>
      <c r="B494" s="30" t="n"/>
      <c r="C494" s="27" t="n"/>
      <c r="D494" s="32" t="n"/>
      <c r="E494" s="33" t="n"/>
      <c r="F494" s="36" t="n"/>
      <c r="G494" s="33" t="n"/>
      <c r="H494" s="20" t="str">
        <f>IF(AND(ISNUMBER(E494),ISNUMBER(F494)),E494*F494,"")</f>
        <v/>
      </c>
      <c r="I494" s="38" t="str">
        <f>IF(A494="","",IFERROR(IF(N(INDEX('交易记录'!$G$5:$G$304,MATCH(A494,'交易记录'!$A$5:$A$304,0)))&gt;0,INDEX('交易记录'!$G$5:$G$304,MATCH(A494,'交易记录'!$A$5:$A$304,0)),1),1))</f>
        <v/>
      </c>
      <c r="J494" s="41" t="str">
        <f>IF(ISNUMBER(H494),ROUND('参数'!$C$11+H494*I494*'参数'!$C$12+F494*'参数'!$C$13,2),"")</f>
        <v/>
      </c>
      <c r="K494" s="22" t="n"/>
      <c r="L494" s="20" t="str">
        <f>IF(ISNUMBER(K494),K494,IF(ISNUMBER(H494),J494,""))</f>
        <v/>
      </c>
      <c r="M494" s="46" t="str">
        <f>IF(AND(ISNUMBER(E494),ISNUMBER(G494),ISNUMBER(F494)),(E494-G494)*IF(D494="卖",-1,1)*F494*I494,"")</f>
        <v/>
      </c>
      <c r="N494" s="38" t="str">
        <f>IF(A494="","",IFERROR(T(INDEX('交易记录'!$C$5:$C$304,MATCH(A494,'交易记录'!$A$5:$A$304,0))),"编号没找到"))</f>
        <v/>
      </c>
      <c r="O494" s="31" t="n"/>
    </row>
    <row r="495">
      <c r="A495" s="29" t="n"/>
      <c r="B495" s="30" t="n"/>
      <c r="C495" s="27" t="n"/>
      <c r="D495" s="32" t="n"/>
      <c r="E495" s="33" t="n"/>
      <c r="F495" s="36" t="n"/>
      <c r="G495" s="33" t="n"/>
      <c r="H495" s="20" t="str">
        <f>IF(AND(ISNUMBER(E495),ISNUMBER(F495)),E495*F495,"")</f>
        <v/>
      </c>
      <c r="I495" s="38" t="str">
        <f>IF(A495="","",IFERROR(IF(N(INDEX('交易记录'!$G$5:$G$304,MATCH(A495,'交易记录'!$A$5:$A$304,0)))&gt;0,INDEX('交易记录'!$G$5:$G$304,MATCH(A495,'交易记录'!$A$5:$A$304,0)),1),1))</f>
        <v/>
      </c>
      <c r="J495" s="41" t="str">
        <f>IF(ISNUMBER(H495),ROUND('参数'!$C$11+H495*I495*'参数'!$C$12+F495*'参数'!$C$13,2),"")</f>
        <v/>
      </c>
      <c r="K495" s="22" t="n"/>
      <c r="L495" s="20" t="str">
        <f>IF(ISNUMBER(K495),K495,IF(ISNUMBER(H495),J495,""))</f>
        <v/>
      </c>
      <c r="M495" s="46" t="str">
        <f>IF(AND(ISNUMBER(E495),ISNUMBER(G495),ISNUMBER(F495)),(E495-G495)*IF(D495="卖",-1,1)*F495*I495,"")</f>
        <v/>
      </c>
      <c r="N495" s="38" t="str">
        <f>IF(A495="","",IFERROR(T(INDEX('交易记录'!$C$5:$C$304,MATCH(A495,'交易记录'!$A$5:$A$304,0))),"编号没找到"))</f>
        <v/>
      </c>
      <c r="O495" s="31" t="n"/>
    </row>
    <row r="496">
      <c r="A496" s="29" t="n"/>
      <c r="B496" s="30" t="n"/>
      <c r="C496" s="27" t="n"/>
      <c r="D496" s="32" t="n"/>
      <c r="E496" s="33" t="n"/>
      <c r="F496" s="36" t="n"/>
      <c r="G496" s="33" t="n"/>
      <c r="H496" s="20" t="str">
        <f>IF(AND(ISNUMBER(E496),ISNUMBER(F496)),E496*F496,"")</f>
        <v/>
      </c>
      <c r="I496" s="38" t="str">
        <f>IF(A496="","",IFERROR(IF(N(INDEX('交易记录'!$G$5:$G$304,MATCH(A496,'交易记录'!$A$5:$A$304,0)))&gt;0,INDEX('交易记录'!$G$5:$G$304,MATCH(A496,'交易记录'!$A$5:$A$304,0)),1),1))</f>
        <v/>
      </c>
      <c r="J496" s="41" t="str">
        <f>IF(ISNUMBER(H496),ROUND('参数'!$C$11+H496*I496*'参数'!$C$12+F496*'参数'!$C$13,2),"")</f>
        <v/>
      </c>
      <c r="K496" s="22" t="n"/>
      <c r="L496" s="20" t="str">
        <f>IF(ISNUMBER(K496),K496,IF(ISNUMBER(H496),J496,""))</f>
        <v/>
      </c>
      <c r="M496" s="46" t="str">
        <f>IF(AND(ISNUMBER(E496),ISNUMBER(G496),ISNUMBER(F496)),(E496-G496)*IF(D496="卖",-1,1)*F496*I496,"")</f>
        <v/>
      </c>
      <c r="N496" s="38" t="str">
        <f>IF(A496="","",IFERROR(T(INDEX('交易记录'!$C$5:$C$304,MATCH(A496,'交易记录'!$A$5:$A$304,0))),"编号没找到"))</f>
        <v/>
      </c>
      <c r="O496" s="31" t="n"/>
    </row>
    <row r="497">
      <c r="A497" s="29" t="n"/>
      <c r="B497" s="30" t="n"/>
      <c r="C497" s="27" t="n"/>
      <c r="D497" s="32" t="n"/>
      <c r="E497" s="33" t="n"/>
      <c r="F497" s="36" t="n"/>
      <c r="G497" s="33" t="n"/>
      <c r="H497" s="20" t="str">
        <f>IF(AND(ISNUMBER(E497),ISNUMBER(F497)),E497*F497,"")</f>
        <v/>
      </c>
      <c r="I497" s="38" t="str">
        <f>IF(A497="","",IFERROR(IF(N(INDEX('交易记录'!$G$5:$G$304,MATCH(A497,'交易记录'!$A$5:$A$304,0)))&gt;0,INDEX('交易记录'!$G$5:$G$304,MATCH(A497,'交易记录'!$A$5:$A$304,0)),1),1))</f>
        <v/>
      </c>
      <c r="J497" s="41" t="str">
        <f>IF(ISNUMBER(H497),ROUND('参数'!$C$11+H497*I497*'参数'!$C$12+F497*'参数'!$C$13,2),"")</f>
        <v/>
      </c>
      <c r="K497" s="22" t="n"/>
      <c r="L497" s="20" t="str">
        <f>IF(ISNUMBER(K497),K497,IF(ISNUMBER(H497),J497,""))</f>
        <v/>
      </c>
      <c r="M497" s="46" t="str">
        <f>IF(AND(ISNUMBER(E497),ISNUMBER(G497),ISNUMBER(F497)),(E497-G497)*IF(D497="卖",-1,1)*F497*I497,"")</f>
        <v/>
      </c>
      <c r="N497" s="38" t="str">
        <f>IF(A497="","",IFERROR(T(INDEX('交易记录'!$C$5:$C$304,MATCH(A497,'交易记录'!$A$5:$A$304,0))),"编号没找到"))</f>
        <v/>
      </c>
      <c r="O497" s="31" t="n"/>
    </row>
    <row r="498">
      <c r="A498" s="29" t="n"/>
      <c r="B498" s="30" t="n"/>
      <c r="C498" s="27" t="n"/>
      <c r="D498" s="32" t="n"/>
      <c r="E498" s="33" t="n"/>
      <c r="F498" s="36" t="n"/>
      <c r="G498" s="33" t="n"/>
      <c r="H498" s="20" t="str">
        <f>IF(AND(ISNUMBER(E498),ISNUMBER(F498)),E498*F498,"")</f>
        <v/>
      </c>
      <c r="I498" s="38" t="str">
        <f>IF(A498="","",IFERROR(IF(N(INDEX('交易记录'!$G$5:$G$304,MATCH(A498,'交易记录'!$A$5:$A$304,0)))&gt;0,INDEX('交易记录'!$G$5:$G$304,MATCH(A498,'交易记录'!$A$5:$A$304,0)),1),1))</f>
        <v/>
      </c>
      <c r="J498" s="41" t="str">
        <f>IF(ISNUMBER(H498),ROUND('参数'!$C$11+H498*I498*'参数'!$C$12+F498*'参数'!$C$13,2),"")</f>
        <v/>
      </c>
      <c r="K498" s="22" t="n"/>
      <c r="L498" s="20" t="str">
        <f>IF(ISNUMBER(K498),K498,IF(ISNUMBER(H498),J498,""))</f>
        <v/>
      </c>
      <c r="M498" s="46" t="str">
        <f>IF(AND(ISNUMBER(E498),ISNUMBER(G498),ISNUMBER(F498)),(E498-G498)*IF(D498="卖",-1,1)*F498*I498,"")</f>
        <v/>
      </c>
      <c r="N498" s="38" t="str">
        <f>IF(A498="","",IFERROR(T(INDEX('交易记录'!$C$5:$C$304,MATCH(A498,'交易记录'!$A$5:$A$304,0))),"编号没找到"))</f>
        <v/>
      </c>
      <c r="O498" s="31" t="n"/>
    </row>
    <row r="499">
      <c r="A499" s="29" t="n"/>
      <c r="B499" s="30" t="n"/>
      <c r="C499" s="27" t="n"/>
      <c r="D499" s="32" t="n"/>
      <c r="E499" s="33" t="n"/>
      <c r="F499" s="36" t="n"/>
      <c r="G499" s="33" t="n"/>
      <c r="H499" s="20" t="str">
        <f>IF(AND(ISNUMBER(E499),ISNUMBER(F499)),E499*F499,"")</f>
        <v/>
      </c>
      <c r="I499" s="38" t="str">
        <f>IF(A499="","",IFERROR(IF(N(INDEX('交易记录'!$G$5:$G$304,MATCH(A499,'交易记录'!$A$5:$A$304,0)))&gt;0,INDEX('交易记录'!$G$5:$G$304,MATCH(A499,'交易记录'!$A$5:$A$304,0)),1),1))</f>
        <v/>
      </c>
      <c r="J499" s="41" t="str">
        <f>IF(ISNUMBER(H499),ROUND('参数'!$C$11+H499*I499*'参数'!$C$12+F499*'参数'!$C$13,2),"")</f>
        <v/>
      </c>
      <c r="K499" s="22" t="n"/>
      <c r="L499" s="20" t="str">
        <f>IF(ISNUMBER(K499),K499,IF(ISNUMBER(H499),J499,""))</f>
        <v/>
      </c>
      <c r="M499" s="46" t="str">
        <f>IF(AND(ISNUMBER(E499),ISNUMBER(G499),ISNUMBER(F499)),(E499-G499)*IF(D499="卖",-1,1)*F499*I499,"")</f>
        <v/>
      </c>
      <c r="N499" s="38" t="str">
        <f>IF(A499="","",IFERROR(T(INDEX('交易记录'!$C$5:$C$304,MATCH(A499,'交易记录'!$A$5:$A$304,0))),"编号没找到"))</f>
        <v/>
      </c>
      <c r="O499" s="31" t="n"/>
    </row>
    <row r="500">
      <c r="A500" s="29" t="n"/>
      <c r="B500" s="30" t="n"/>
      <c r="C500" s="27" t="n"/>
      <c r="D500" s="32" t="n"/>
      <c r="E500" s="33" t="n"/>
      <c r="F500" s="36" t="n"/>
      <c r="G500" s="33" t="n"/>
      <c r="H500" s="20" t="str">
        <f>IF(AND(ISNUMBER(E500),ISNUMBER(F500)),E500*F500,"")</f>
        <v/>
      </c>
      <c r="I500" s="38" t="str">
        <f>IF(A500="","",IFERROR(IF(N(INDEX('交易记录'!$G$5:$G$304,MATCH(A500,'交易记录'!$A$5:$A$304,0)))&gt;0,INDEX('交易记录'!$G$5:$G$304,MATCH(A500,'交易记录'!$A$5:$A$304,0)),1),1))</f>
        <v/>
      </c>
      <c r="J500" s="41" t="str">
        <f>IF(ISNUMBER(H500),ROUND('参数'!$C$11+H500*I500*'参数'!$C$12+F500*'参数'!$C$13,2),"")</f>
        <v/>
      </c>
      <c r="K500" s="22" t="n"/>
      <c r="L500" s="20" t="str">
        <f>IF(ISNUMBER(K500),K500,IF(ISNUMBER(H500),J500,""))</f>
        <v/>
      </c>
      <c r="M500" s="46" t="str">
        <f>IF(AND(ISNUMBER(E500),ISNUMBER(G500),ISNUMBER(F500)),(E500-G500)*IF(D500="卖",-1,1)*F500*I500,"")</f>
        <v/>
      </c>
      <c r="N500" s="38" t="str">
        <f>IF(A500="","",IFERROR(T(INDEX('交易记录'!$C$5:$C$304,MATCH(A500,'交易记录'!$A$5:$A$304,0))),"编号没找到"))</f>
        <v/>
      </c>
      <c r="O500" s="31" t="n"/>
    </row>
    <row r="501">
      <c r="A501" s="29" t="n"/>
      <c r="B501" s="30" t="n"/>
      <c r="C501" s="27" t="n"/>
      <c r="D501" s="32" t="n"/>
      <c r="E501" s="33" t="n"/>
      <c r="F501" s="36" t="n"/>
      <c r="G501" s="33" t="n"/>
      <c r="H501" s="20" t="str">
        <f>IF(AND(ISNUMBER(E501),ISNUMBER(F501)),E501*F501,"")</f>
        <v/>
      </c>
      <c r="I501" s="38" t="str">
        <f>IF(A501="","",IFERROR(IF(N(INDEX('交易记录'!$G$5:$G$304,MATCH(A501,'交易记录'!$A$5:$A$304,0)))&gt;0,INDEX('交易记录'!$G$5:$G$304,MATCH(A501,'交易记录'!$A$5:$A$304,0)),1),1))</f>
        <v/>
      </c>
      <c r="J501" s="41" t="str">
        <f>IF(ISNUMBER(H501),ROUND('参数'!$C$11+H501*I501*'参数'!$C$12+F501*'参数'!$C$13,2),"")</f>
        <v/>
      </c>
      <c r="K501" s="22" t="n"/>
      <c r="L501" s="20" t="str">
        <f>IF(ISNUMBER(K501),K501,IF(ISNUMBER(H501),J501,""))</f>
        <v/>
      </c>
      <c r="M501" s="46" t="str">
        <f>IF(AND(ISNUMBER(E501),ISNUMBER(G501),ISNUMBER(F501)),(E501-G501)*IF(D501="卖",-1,1)*F501*I501,"")</f>
        <v/>
      </c>
      <c r="N501" s="38" t="str">
        <f>IF(A501="","",IFERROR(T(INDEX('交易记录'!$C$5:$C$304,MATCH(A501,'交易记录'!$A$5:$A$304,0))),"编号没找到"))</f>
        <v/>
      </c>
      <c r="O501" s="31" t="n"/>
    </row>
    <row r="502">
      <c r="A502" s="29" t="n"/>
      <c r="B502" s="30" t="n"/>
      <c r="C502" s="27" t="n"/>
      <c r="D502" s="32" t="n"/>
      <c r="E502" s="33" t="n"/>
      <c r="F502" s="36" t="n"/>
      <c r="G502" s="33" t="n"/>
      <c r="H502" s="20" t="str">
        <f>IF(AND(ISNUMBER(E502),ISNUMBER(F502)),E502*F502,"")</f>
        <v/>
      </c>
      <c r="I502" s="38" t="str">
        <f>IF(A502="","",IFERROR(IF(N(INDEX('交易记录'!$G$5:$G$304,MATCH(A502,'交易记录'!$A$5:$A$304,0)))&gt;0,INDEX('交易记录'!$G$5:$G$304,MATCH(A502,'交易记录'!$A$5:$A$304,0)),1),1))</f>
        <v/>
      </c>
      <c r="J502" s="41" t="str">
        <f>IF(ISNUMBER(H502),ROUND('参数'!$C$11+H502*I502*'参数'!$C$12+F502*'参数'!$C$13,2),"")</f>
        <v/>
      </c>
      <c r="K502" s="22" t="n"/>
      <c r="L502" s="20" t="str">
        <f>IF(ISNUMBER(K502),K502,IF(ISNUMBER(H502),J502,""))</f>
        <v/>
      </c>
      <c r="M502" s="46" t="str">
        <f>IF(AND(ISNUMBER(E502),ISNUMBER(G502),ISNUMBER(F502)),(E502-G502)*IF(D502="卖",-1,1)*F502*I502,"")</f>
        <v/>
      </c>
      <c r="N502" s="38" t="str">
        <f>IF(A502="","",IFERROR(T(INDEX('交易记录'!$C$5:$C$304,MATCH(A502,'交易记录'!$A$5:$A$304,0))),"编号没找到"))</f>
        <v/>
      </c>
      <c r="O502" s="31" t="n"/>
    </row>
    <row r="503">
      <c r="A503" s="29" t="n"/>
      <c r="B503" s="30" t="n"/>
      <c r="C503" s="27" t="n"/>
      <c r="D503" s="32" t="n"/>
      <c r="E503" s="33" t="n"/>
      <c r="F503" s="36" t="n"/>
      <c r="G503" s="33" t="n"/>
      <c r="H503" s="20" t="str">
        <f>IF(AND(ISNUMBER(E503),ISNUMBER(F503)),E503*F503,"")</f>
        <v/>
      </c>
      <c r="I503" s="38" t="str">
        <f>IF(A503="","",IFERROR(IF(N(INDEX('交易记录'!$G$5:$G$304,MATCH(A503,'交易记录'!$A$5:$A$304,0)))&gt;0,INDEX('交易记录'!$G$5:$G$304,MATCH(A503,'交易记录'!$A$5:$A$304,0)),1),1))</f>
        <v/>
      </c>
      <c r="J503" s="41" t="str">
        <f>IF(ISNUMBER(H503),ROUND('参数'!$C$11+H503*I503*'参数'!$C$12+F503*'参数'!$C$13,2),"")</f>
        <v/>
      </c>
      <c r="K503" s="22" t="n"/>
      <c r="L503" s="20" t="str">
        <f>IF(ISNUMBER(K503),K503,IF(ISNUMBER(H503),J503,""))</f>
        <v/>
      </c>
      <c r="M503" s="46" t="str">
        <f>IF(AND(ISNUMBER(E503),ISNUMBER(G503),ISNUMBER(F503)),(E503-G503)*IF(D503="卖",-1,1)*F503*I503,"")</f>
        <v/>
      </c>
      <c r="N503" s="38" t="str">
        <f>IF(A503="","",IFERROR(T(INDEX('交易记录'!$C$5:$C$304,MATCH(A503,'交易记录'!$A$5:$A$304,0))),"编号没找到"))</f>
        <v/>
      </c>
      <c r="O503" s="31" t="n"/>
    </row>
    <row r="504">
      <c r="A504" s="29" t="n"/>
      <c r="B504" s="30" t="n"/>
      <c r="C504" s="27" t="n"/>
      <c r="D504" s="32" t="n"/>
      <c r="E504" s="33" t="n"/>
      <c r="F504" s="36" t="n"/>
      <c r="G504" s="33" t="n"/>
      <c r="H504" s="20" t="str">
        <f>IF(AND(ISNUMBER(E504),ISNUMBER(F504)),E504*F504,"")</f>
        <v/>
      </c>
      <c r="I504" s="38" t="str">
        <f>IF(A504="","",IFERROR(IF(N(INDEX('交易记录'!$G$5:$G$304,MATCH(A504,'交易记录'!$A$5:$A$304,0)))&gt;0,INDEX('交易记录'!$G$5:$G$304,MATCH(A504,'交易记录'!$A$5:$A$304,0)),1),1))</f>
        <v/>
      </c>
      <c r="J504" s="41" t="str">
        <f>IF(ISNUMBER(H504),ROUND('参数'!$C$11+H504*I504*'参数'!$C$12+F504*'参数'!$C$13,2),"")</f>
        <v/>
      </c>
      <c r="K504" s="22" t="n"/>
      <c r="L504" s="20" t="str">
        <f>IF(ISNUMBER(K504),K504,IF(ISNUMBER(H504),J504,""))</f>
        <v/>
      </c>
      <c r="M504" s="46" t="str">
        <f>IF(AND(ISNUMBER(E504),ISNUMBER(G504),ISNUMBER(F504)),(E504-G504)*IF(D504="卖",-1,1)*F504*I504,"")</f>
        <v/>
      </c>
      <c r="N504" s="38" t="str">
        <f>IF(A504="","",IFERROR(T(INDEX('交易记录'!$C$5:$C$304,MATCH(A504,'交易记录'!$A$5:$A$304,0))),"编号没找到"))</f>
        <v/>
      </c>
      <c r="O504" s="31" t="n"/>
    </row>
    <row r="505">
      <c r="A505" s="29" t="n"/>
      <c r="B505" s="30" t="n"/>
      <c r="C505" s="27" t="n"/>
      <c r="D505" s="32" t="n"/>
      <c r="E505" s="33" t="n"/>
      <c r="F505" s="36" t="n"/>
      <c r="G505" s="33" t="n"/>
      <c r="H505" s="20" t="str">
        <f>IF(AND(ISNUMBER(E505),ISNUMBER(F505)),E505*F505,"")</f>
        <v/>
      </c>
      <c r="I505" s="38" t="str">
        <f>IF(A505="","",IFERROR(IF(N(INDEX('交易记录'!$G$5:$G$304,MATCH(A505,'交易记录'!$A$5:$A$304,0)))&gt;0,INDEX('交易记录'!$G$5:$G$304,MATCH(A505,'交易记录'!$A$5:$A$304,0)),1),1))</f>
        <v/>
      </c>
      <c r="J505" s="41" t="str">
        <f>IF(ISNUMBER(H505),ROUND('参数'!$C$11+H505*I505*'参数'!$C$12+F505*'参数'!$C$13,2),"")</f>
        <v/>
      </c>
      <c r="K505" s="22" t="n"/>
      <c r="L505" s="20" t="str">
        <f>IF(ISNUMBER(K505),K505,IF(ISNUMBER(H505),J505,""))</f>
        <v/>
      </c>
      <c r="M505" s="46" t="str">
        <f>IF(AND(ISNUMBER(E505),ISNUMBER(G505),ISNUMBER(F505)),(E505-G505)*IF(D505="卖",-1,1)*F505*I505,"")</f>
        <v/>
      </c>
      <c r="N505" s="38" t="str">
        <f>IF(A505="","",IFERROR(T(INDEX('交易记录'!$C$5:$C$304,MATCH(A505,'交易记录'!$A$5:$A$304,0))),"编号没找到"))</f>
        <v/>
      </c>
      <c r="O505" s="31" t="n"/>
    </row>
    <row r="506">
      <c r="A506" s="29" t="n"/>
      <c r="B506" s="30" t="n"/>
      <c r="C506" s="27" t="n"/>
      <c r="D506" s="32" t="n"/>
      <c r="E506" s="33" t="n"/>
      <c r="F506" s="36" t="n"/>
      <c r="G506" s="33" t="n"/>
      <c r="H506" s="20" t="str">
        <f>IF(AND(ISNUMBER(E506),ISNUMBER(F506)),E506*F506,"")</f>
        <v/>
      </c>
      <c r="I506" s="38" t="str">
        <f>IF(A506="","",IFERROR(IF(N(INDEX('交易记录'!$G$5:$G$304,MATCH(A506,'交易记录'!$A$5:$A$304,0)))&gt;0,INDEX('交易记录'!$G$5:$G$304,MATCH(A506,'交易记录'!$A$5:$A$304,0)),1),1))</f>
        <v/>
      </c>
      <c r="J506" s="41" t="str">
        <f>IF(ISNUMBER(H506),ROUND('参数'!$C$11+H506*I506*'参数'!$C$12+F506*'参数'!$C$13,2),"")</f>
        <v/>
      </c>
      <c r="K506" s="22" t="n"/>
      <c r="L506" s="20" t="str">
        <f>IF(ISNUMBER(K506),K506,IF(ISNUMBER(H506),J506,""))</f>
        <v/>
      </c>
      <c r="M506" s="46" t="str">
        <f>IF(AND(ISNUMBER(E506),ISNUMBER(G506),ISNUMBER(F506)),(E506-G506)*IF(D506="卖",-1,1)*F506*I506,"")</f>
        <v/>
      </c>
      <c r="N506" s="38" t="str">
        <f>IF(A506="","",IFERROR(T(INDEX('交易记录'!$C$5:$C$304,MATCH(A506,'交易记录'!$A$5:$A$304,0))),"编号没找到"))</f>
        <v/>
      </c>
      <c r="O506" s="31" t="n"/>
    </row>
    <row r="507">
      <c r="A507" s="29" t="n"/>
      <c r="B507" s="30" t="n"/>
      <c r="C507" s="27" t="n"/>
      <c r="D507" s="32" t="n"/>
      <c r="E507" s="33" t="n"/>
      <c r="F507" s="36" t="n"/>
      <c r="G507" s="33" t="n"/>
      <c r="H507" s="20" t="str">
        <f>IF(AND(ISNUMBER(E507),ISNUMBER(F507)),E507*F507,"")</f>
        <v/>
      </c>
      <c r="I507" s="38" t="str">
        <f>IF(A507="","",IFERROR(IF(N(INDEX('交易记录'!$G$5:$G$304,MATCH(A507,'交易记录'!$A$5:$A$304,0)))&gt;0,INDEX('交易记录'!$G$5:$G$304,MATCH(A507,'交易记录'!$A$5:$A$304,0)),1),1))</f>
        <v/>
      </c>
      <c r="J507" s="41" t="str">
        <f>IF(ISNUMBER(H507),ROUND('参数'!$C$11+H507*I507*'参数'!$C$12+F507*'参数'!$C$13,2),"")</f>
        <v/>
      </c>
      <c r="K507" s="22" t="n"/>
      <c r="L507" s="20" t="str">
        <f>IF(ISNUMBER(K507),K507,IF(ISNUMBER(H507),J507,""))</f>
        <v/>
      </c>
      <c r="M507" s="46" t="str">
        <f>IF(AND(ISNUMBER(E507),ISNUMBER(G507),ISNUMBER(F507)),(E507-G507)*IF(D507="卖",-1,1)*F507*I507,"")</f>
        <v/>
      </c>
      <c r="N507" s="38" t="str">
        <f>IF(A507="","",IFERROR(T(INDEX('交易记录'!$C$5:$C$304,MATCH(A507,'交易记录'!$A$5:$A$304,0))),"编号没找到"))</f>
        <v/>
      </c>
      <c r="O507" s="31" t="n"/>
    </row>
    <row r="508">
      <c r="A508" s="29" t="n"/>
      <c r="B508" s="30" t="n"/>
      <c r="C508" s="27" t="n"/>
      <c r="D508" s="32" t="n"/>
      <c r="E508" s="33" t="n"/>
      <c r="F508" s="36" t="n"/>
      <c r="G508" s="33" t="n"/>
      <c r="H508" s="20" t="str">
        <f>IF(AND(ISNUMBER(E508),ISNUMBER(F508)),E508*F508,"")</f>
        <v/>
      </c>
      <c r="I508" s="38" t="str">
        <f>IF(A508="","",IFERROR(IF(N(INDEX('交易记录'!$G$5:$G$304,MATCH(A508,'交易记录'!$A$5:$A$304,0)))&gt;0,INDEX('交易记录'!$G$5:$G$304,MATCH(A508,'交易记录'!$A$5:$A$304,0)),1),1))</f>
        <v/>
      </c>
      <c r="J508" s="41" t="str">
        <f>IF(ISNUMBER(H508),ROUND('参数'!$C$11+H508*I508*'参数'!$C$12+F508*'参数'!$C$13,2),"")</f>
        <v/>
      </c>
      <c r="K508" s="22" t="n"/>
      <c r="L508" s="20" t="str">
        <f>IF(ISNUMBER(K508),K508,IF(ISNUMBER(H508),J508,""))</f>
        <v/>
      </c>
      <c r="M508" s="46" t="str">
        <f>IF(AND(ISNUMBER(E508),ISNUMBER(G508),ISNUMBER(F508)),(E508-G508)*IF(D508="卖",-1,1)*F508*I508,"")</f>
        <v/>
      </c>
      <c r="N508" s="38" t="str">
        <f>IF(A508="","",IFERROR(T(INDEX('交易记录'!$C$5:$C$304,MATCH(A508,'交易记录'!$A$5:$A$304,0))),"编号没找到"))</f>
        <v/>
      </c>
      <c r="O508" s="31" t="n"/>
    </row>
    <row r="509">
      <c r="A509" s="29" t="n"/>
      <c r="B509" s="30" t="n"/>
      <c r="C509" s="27" t="n"/>
      <c r="D509" s="32" t="n"/>
      <c r="E509" s="33" t="n"/>
      <c r="F509" s="36" t="n"/>
      <c r="G509" s="33" t="n"/>
      <c r="H509" s="20" t="str">
        <f>IF(AND(ISNUMBER(E509),ISNUMBER(F509)),E509*F509,"")</f>
        <v/>
      </c>
      <c r="I509" s="38" t="str">
        <f>IF(A509="","",IFERROR(IF(N(INDEX('交易记录'!$G$5:$G$304,MATCH(A509,'交易记录'!$A$5:$A$304,0)))&gt;0,INDEX('交易记录'!$G$5:$G$304,MATCH(A509,'交易记录'!$A$5:$A$304,0)),1),1))</f>
        <v/>
      </c>
      <c r="J509" s="41" t="str">
        <f>IF(ISNUMBER(H509),ROUND('参数'!$C$11+H509*I509*'参数'!$C$12+F509*'参数'!$C$13,2),"")</f>
        <v/>
      </c>
      <c r="K509" s="22" t="n"/>
      <c r="L509" s="20" t="str">
        <f>IF(ISNUMBER(K509),K509,IF(ISNUMBER(H509),J509,""))</f>
        <v/>
      </c>
      <c r="M509" s="46" t="str">
        <f>IF(AND(ISNUMBER(E509),ISNUMBER(G509),ISNUMBER(F509)),(E509-G509)*IF(D509="卖",-1,1)*F509*I509,"")</f>
        <v/>
      </c>
      <c r="N509" s="38" t="str">
        <f>IF(A509="","",IFERROR(T(INDEX('交易记录'!$C$5:$C$304,MATCH(A509,'交易记录'!$A$5:$A$304,0))),"编号没找到"))</f>
        <v/>
      </c>
      <c r="O509" s="31" t="n"/>
    </row>
    <row r="510">
      <c r="A510" s="29" t="n"/>
      <c r="B510" s="30" t="n"/>
      <c r="C510" s="27" t="n"/>
      <c r="D510" s="32" t="n"/>
      <c r="E510" s="33" t="n"/>
      <c r="F510" s="36" t="n"/>
      <c r="G510" s="33" t="n"/>
      <c r="H510" s="20" t="str">
        <f>IF(AND(ISNUMBER(E510),ISNUMBER(F510)),E510*F510,"")</f>
        <v/>
      </c>
      <c r="I510" s="38" t="str">
        <f>IF(A510="","",IFERROR(IF(N(INDEX('交易记录'!$G$5:$G$304,MATCH(A510,'交易记录'!$A$5:$A$304,0)))&gt;0,INDEX('交易记录'!$G$5:$G$304,MATCH(A510,'交易记录'!$A$5:$A$304,0)),1),1))</f>
        <v/>
      </c>
      <c r="J510" s="41" t="str">
        <f>IF(ISNUMBER(H510),ROUND('参数'!$C$11+H510*I510*'参数'!$C$12+F510*'参数'!$C$13,2),"")</f>
        <v/>
      </c>
      <c r="K510" s="22" t="n"/>
      <c r="L510" s="20" t="str">
        <f>IF(ISNUMBER(K510),K510,IF(ISNUMBER(H510),J510,""))</f>
        <v/>
      </c>
      <c r="M510" s="46" t="str">
        <f>IF(AND(ISNUMBER(E510),ISNUMBER(G510),ISNUMBER(F510)),(E510-G510)*IF(D510="卖",-1,1)*F510*I510,"")</f>
        <v/>
      </c>
      <c r="N510" s="38" t="str">
        <f>IF(A510="","",IFERROR(T(INDEX('交易记录'!$C$5:$C$304,MATCH(A510,'交易记录'!$A$5:$A$304,0))),"编号没找到"))</f>
        <v/>
      </c>
      <c r="O510" s="31" t="n"/>
    </row>
    <row r="511">
      <c r="A511" s="29" t="n"/>
      <c r="B511" s="30" t="n"/>
      <c r="C511" s="27" t="n"/>
      <c r="D511" s="32" t="n"/>
      <c r="E511" s="33" t="n"/>
      <c r="F511" s="36" t="n"/>
      <c r="G511" s="33" t="n"/>
      <c r="H511" s="20" t="str">
        <f>IF(AND(ISNUMBER(E511),ISNUMBER(F511)),E511*F511,"")</f>
        <v/>
      </c>
      <c r="I511" s="38" t="str">
        <f>IF(A511="","",IFERROR(IF(N(INDEX('交易记录'!$G$5:$G$304,MATCH(A511,'交易记录'!$A$5:$A$304,0)))&gt;0,INDEX('交易记录'!$G$5:$G$304,MATCH(A511,'交易记录'!$A$5:$A$304,0)),1),1))</f>
        <v/>
      </c>
      <c r="J511" s="41" t="str">
        <f>IF(ISNUMBER(H511),ROUND('参数'!$C$11+H511*I511*'参数'!$C$12+F511*'参数'!$C$13,2),"")</f>
        <v/>
      </c>
      <c r="K511" s="22" t="n"/>
      <c r="L511" s="20" t="str">
        <f>IF(ISNUMBER(K511),K511,IF(ISNUMBER(H511),J511,""))</f>
        <v/>
      </c>
      <c r="M511" s="46" t="str">
        <f>IF(AND(ISNUMBER(E511),ISNUMBER(G511),ISNUMBER(F511)),(E511-G511)*IF(D511="卖",-1,1)*F511*I511,"")</f>
        <v/>
      </c>
      <c r="N511" s="38" t="str">
        <f>IF(A511="","",IFERROR(T(INDEX('交易记录'!$C$5:$C$304,MATCH(A511,'交易记录'!$A$5:$A$304,0))),"编号没找到"))</f>
        <v/>
      </c>
      <c r="O511" s="31" t="n"/>
    </row>
    <row r="512">
      <c r="A512" s="29" t="n"/>
      <c r="B512" s="30" t="n"/>
      <c r="C512" s="27" t="n"/>
      <c r="D512" s="32" t="n"/>
      <c r="E512" s="33" t="n"/>
      <c r="F512" s="36" t="n"/>
      <c r="G512" s="33" t="n"/>
      <c r="H512" s="20" t="str">
        <f>IF(AND(ISNUMBER(E512),ISNUMBER(F512)),E512*F512,"")</f>
        <v/>
      </c>
      <c r="I512" s="38" t="str">
        <f>IF(A512="","",IFERROR(IF(N(INDEX('交易记录'!$G$5:$G$304,MATCH(A512,'交易记录'!$A$5:$A$304,0)))&gt;0,INDEX('交易记录'!$G$5:$G$304,MATCH(A512,'交易记录'!$A$5:$A$304,0)),1),1))</f>
        <v/>
      </c>
      <c r="J512" s="41" t="str">
        <f>IF(ISNUMBER(H512),ROUND('参数'!$C$11+H512*I512*'参数'!$C$12+F512*'参数'!$C$13,2),"")</f>
        <v/>
      </c>
      <c r="K512" s="22" t="n"/>
      <c r="L512" s="20" t="str">
        <f>IF(ISNUMBER(K512),K512,IF(ISNUMBER(H512),J512,""))</f>
        <v/>
      </c>
      <c r="M512" s="46" t="str">
        <f>IF(AND(ISNUMBER(E512),ISNUMBER(G512),ISNUMBER(F512)),(E512-G512)*IF(D512="卖",-1,1)*F512*I512,"")</f>
        <v/>
      </c>
      <c r="N512" s="38" t="str">
        <f>IF(A512="","",IFERROR(T(INDEX('交易记录'!$C$5:$C$304,MATCH(A512,'交易记录'!$A$5:$A$304,0))),"编号没找到"))</f>
        <v/>
      </c>
      <c r="O512" s="31" t="n"/>
    </row>
    <row r="513">
      <c r="A513" s="29" t="n"/>
      <c r="B513" s="30" t="n"/>
      <c r="C513" s="27" t="n"/>
      <c r="D513" s="32" t="n"/>
      <c r="E513" s="33" t="n"/>
      <c r="F513" s="36" t="n"/>
      <c r="G513" s="33" t="n"/>
      <c r="H513" s="20" t="str">
        <f>IF(AND(ISNUMBER(E513),ISNUMBER(F513)),E513*F513,"")</f>
        <v/>
      </c>
      <c r="I513" s="38" t="str">
        <f>IF(A513="","",IFERROR(IF(N(INDEX('交易记录'!$G$5:$G$304,MATCH(A513,'交易记录'!$A$5:$A$304,0)))&gt;0,INDEX('交易记录'!$G$5:$G$304,MATCH(A513,'交易记录'!$A$5:$A$304,0)),1),1))</f>
        <v/>
      </c>
      <c r="J513" s="41" t="str">
        <f>IF(ISNUMBER(H513),ROUND('参数'!$C$11+H513*I513*'参数'!$C$12+F513*'参数'!$C$13,2),"")</f>
        <v/>
      </c>
      <c r="K513" s="22" t="n"/>
      <c r="L513" s="20" t="str">
        <f>IF(ISNUMBER(K513),K513,IF(ISNUMBER(H513),J513,""))</f>
        <v/>
      </c>
      <c r="M513" s="46" t="str">
        <f>IF(AND(ISNUMBER(E513),ISNUMBER(G513),ISNUMBER(F513)),(E513-G513)*IF(D513="卖",-1,1)*F513*I513,"")</f>
        <v/>
      </c>
      <c r="N513" s="38" t="str">
        <f>IF(A513="","",IFERROR(T(INDEX('交易记录'!$C$5:$C$304,MATCH(A513,'交易记录'!$A$5:$A$304,0))),"编号没找到"))</f>
        <v/>
      </c>
      <c r="O513" s="31" t="n"/>
    </row>
    <row r="514">
      <c r="A514" s="29" t="n"/>
      <c r="B514" s="30" t="n"/>
      <c r="C514" s="27" t="n"/>
      <c r="D514" s="32" t="n"/>
      <c r="E514" s="33" t="n"/>
      <c r="F514" s="36" t="n"/>
      <c r="G514" s="33" t="n"/>
      <c r="H514" s="20" t="str">
        <f>IF(AND(ISNUMBER(E514),ISNUMBER(F514)),E514*F514,"")</f>
        <v/>
      </c>
      <c r="I514" s="38" t="str">
        <f>IF(A514="","",IFERROR(IF(N(INDEX('交易记录'!$G$5:$G$304,MATCH(A514,'交易记录'!$A$5:$A$304,0)))&gt;0,INDEX('交易记录'!$G$5:$G$304,MATCH(A514,'交易记录'!$A$5:$A$304,0)),1),1))</f>
        <v/>
      </c>
      <c r="J514" s="41" t="str">
        <f>IF(ISNUMBER(H514),ROUND('参数'!$C$11+H514*I514*'参数'!$C$12+F514*'参数'!$C$13,2),"")</f>
        <v/>
      </c>
      <c r="K514" s="22" t="n"/>
      <c r="L514" s="20" t="str">
        <f>IF(ISNUMBER(K514),K514,IF(ISNUMBER(H514),J514,""))</f>
        <v/>
      </c>
      <c r="M514" s="46" t="str">
        <f>IF(AND(ISNUMBER(E514),ISNUMBER(G514),ISNUMBER(F514)),(E514-G514)*IF(D514="卖",-1,1)*F514*I514,"")</f>
        <v/>
      </c>
      <c r="N514" s="38" t="str">
        <f>IF(A514="","",IFERROR(T(INDEX('交易记录'!$C$5:$C$304,MATCH(A514,'交易记录'!$A$5:$A$304,0))),"编号没找到"))</f>
        <v/>
      </c>
      <c r="O514" s="31" t="n"/>
    </row>
    <row r="515">
      <c r="A515" s="29" t="n"/>
      <c r="B515" s="30" t="n"/>
      <c r="C515" s="27" t="n"/>
      <c r="D515" s="32" t="n"/>
      <c r="E515" s="33" t="n"/>
      <c r="F515" s="36" t="n"/>
      <c r="G515" s="33" t="n"/>
      <c r="H515" s="20" t="str">
        <f>IF(AND(ISNUMBER(E515),ISNUMBER(F515)),E515*F515,"")</f>
        <v/>
      </c>
      <c r="I515" s="38" t="str">
        <f>IF(A515="","",IFERROR(IF(N(INDEX('交易记录'!$G$5:$G$304,MATCH(A515,'交易记录'!$A$5:$A$304,0)))&gt;0,INDEX('交易记录'!$G$5:$G$304,MATCH(A515,'交易记录'!$A$5:$A$304,0)),1),1))</f>
        <v/>
      </c>
      <c r="J515" s="41" t="str">
        <f>IF(ISNUMBER(H515),ROUND('参数'!$C$11+H515*I515*'参数'!$C$12+F515*'参数'!$C$13,2),"")</f>
        <v/>
      </c>
      <c r="K515" s="22" t="n"/>
      <c r="L515" s="20" t="str">
        <f>IF(ISNUMBER(K515),K515,IF(ISNUMBER(H515),J515,""))</f>
        <v/>
      </c>
      <c r="M515" s="46" t="str">
        <f>IF(AND(ISNUMBER(E515),ISNUMBER(G515),ISNUMBER(F515)),(E515-G515)*IF(D515="卖",-1,1)*F515*I515,"")</f>
        <v/>
      </c>
      <c r="N515" s="38" t="str">
        <f>IF(A515="","",IFERROR(T(INDEX('交易记录'!$C$5:$C$304,MATCH(A515,'交易记录'!$A$5:$A$304,0))),"编号没找到"))</f>
        <v/>
      </c>
      <c r="O515" s="31" t="n"/>
    </row>
    <row r="516">
      <c r="A516" s="29" t="n"/>
      <c r="B516" s="30" t="n"/>
      <c r="C516" s="27" t="n"/>
      <c r="D516" s="32" t="n"/>
      <c r="E516" s="33" t="n"/>
      <c r="F516" s="36" t="n"/>
      <c r="G516" s="33" t="n"/>
      <c r="H516" s="20" t="str">
        <f>IF(AND(ISNUMBER(E516),ISNUMBER(F516)),E516*F516,"")</f>
        <v/>
      </c>
      <c r="I516" s="38" t="str">
        <f>IF(A516="","",IFERROR(IF(N(INDEX('交易记录'!$G$5:$G$304,MATCH(A516,'交易记录'!$A$5:$A$304,0)))&gt;0,INDEX('交易记录'!$G$5:$G$304,MATCH(A516,'交易记录'!$A$5:$A$304,0)),1),1))</f>
        <v/>
      </c>
      <c r="J516" s="41" t="str">
        <f>IF(ISNUMBER(H516),ROUND('参数'!$C$11+H516*I516*'参数'!$C$12+F516*'参数'!$C$13,2),"")</f>
        <v/>
      </c>
      <c r="K516" s="22" t="n"/>
      <c r="L516" s="20" t="str">
        <f>IF(ISNUMBER(K516),K516,IF(ISNUMBER(H516),J516,""))</f>
        <v/>
      </c>
      <c r="M516" s="46" t="str">
        <f>IF(AND(ISNUMBER(E516),ISNUMBER(G516),ISNUMBER(F516)),(E516-G516)*IF(D516="卖",-1,1)*F516*I516,"")</f>
        <v/>
      </c>
      <c r="N516" s="38" t="str">
        <f>IF(A516="","",IFERROR(T(INDEX('交易记录'!$C$5:$C$304,MATCH(A516,'交易记录'!$A$5:$A$304,0))),"编号没找到"))</f>
        <v/>
      </c>
      <c r="O516" s="31" t="n"/>
    </row>
    <row r="517">
      <c r="A517" s="29" t="n"/>
      <c r="B517" s="30" t="n"/>
      <c r="C517" s="27" t="n"/>
      <c r="D517" s="32" t="n"/>
      <c r="E517" s="33" t="n"/>
      <c r="F517" s="36" t="n"/>
      <c r="G517" s="33" t="n"/>
      <c r="H517" s="20" t="str">
        <f>IF(AND(ISNUMBER(E517),ISNUMBER(F517)),E517*F517,"")</f>
        <v/>
      </c>
      <c r="I517" s="38" t="str">
        <f>IF(A517="","",IFERROR(IF(N(INDEX('交易记录'!$G$5:$G$304,MATCH(A517,'交易记录'!$A$5:$A$304,0)))&gt;0,INDEX('交易记录'!$G$5:$G$304,MATCH(A517,'交易记录'!$A$5:$A$304,0)),1),1))</f>
        <v/>
      </c>
      <c r="J517" s="41" t="str">
        <f>IF(ISNUMBER(H517),ROUND('参数'!$C$11+H517*I517*'参数'!$C$12+F517*'参数'!$C$13,2),"")</f>
        <v/>
      </c>
      <c r="K517" s="22" t="n"/>
      <c r="L517" s="20" t="str">
        <f>IF(ISNUMBER(K517),K517,IF(ISNUMBER(H517),J517,""))</f>
        <v/>
      </c>
      <c r="M517" s="46" t="str">
        <f>IF(AND(ISNUMBER(E517),ISNUMBER(G517),ISNUMBER(F517)),(E517-G517)*IF(D517="卖",-1,1)*F517*I517,"")</f>
        <v/>
      </c>
      <c r="N517" s="38" t="str">
        <f>IF(A517="","",IFERROR(T(INDEX('交易记录'!$C$5:$C$304,MATCH(A517,'交易记录'!$A$5:$A$304,0))),"编号没找到"))</f>
        <v/>
      </c>
      <c r="O517" s="31" t="n"/>
    </row>
    <row r="518">
      <c r="A518" s="29" t="n"/>
      <c r="B518" s="30" t="n"/>
      <c r="C518" s="27" t="n"/>
      <c r="D518" s="32" t="n"/>
      <c r="E518" s="33" t="n"/>
      <c r="F518" s="36" t="n"/>
      <c r="G518" s="33" t="n"/>
      <c r="H518" s="20" t="str">
        <f>IF(AND(ISNUMBER(E518),ISNUMBER(F518)),E518*F518,"")</f>
        <v/>
      </c>
      <c r="I518" s="38" t="str">
        <f>IF(A518="","",IFERROR(IF(N(INDEX('交易记录'!$G$5:$G$304,MATCH(A518,'交易记录'!$A$5:$A$304,0)))&gt;0,INDEX('交易记录'!$G$5:$G$304,MATCH(A518,'交易记录'!$A$5:$A$304,0)),1),1))</f>
        <v/>
      </c>
      <c r="J518" s="41" t="str">
        <f>IF(ISNUMBER(H518),ROUND('参数'!$C$11+H518*I518*'参数'!$C$12+F518*'参数'!$C$13,2),"")</f>
        <v/>
      </c>
      <c r="K518" s="22" t="n"/>
      <c r="L518" s="20" t="str">
        <f>IF(ISNUMBER(K518),K518,IF(ISNUMBER(H518),J518,""))</f>
        <v/>
      </c>
      <c r="M518" s="46" t="str">
        <f>IF(AND(ISNUMBER(E518),ISNUMBER(G518),ISNUMBER(F518)),(E518-G518)*IF(D518="卖",-1,1)*F518*I518,"")</f>
        <v/>
      </c>
      <c r="N518" s="38" t="str">
        <f>IF(A518="","",IFERROR(T(INDEX('交易记录'!$C$5:$C$304,MATCH(A518,'交易记录'!$A$5:$A$304,0))),"编号没找到"))</f>
        <v/>
      </c>
      <c r="O518" s="31" t="n"/>
    </row>
    <row r="519">
      <c r="A519" s="29" t="n"/>
      <c r="B519" s="30" t="n"/>
      <c r="C519" s="27" t="n"/>
      <c r="D519" s="32" t="n"/>
      <c r="E519" s="33" t="n"/>
      <c r="F519" s="36" t="n"/>
      <c r="G519" s="33" t="n"/>
      <c r="H519" s="20" t="str">
        <f>IF(AND(ISNUMBER(E519),ISNUMBER(F519)),E519*F519,"")</f>
        <v/>
      </c>
      <c r="I519" s="38" t="str">
        <f>IF(A519="","",IFERROR(IF(N(INDEX('交易记录'!$G$5:$G$304,MATCH(A519,'交易记录'!$A$5:$A$304,0)))&gt;0,INDEX('交易记录'!$G$5:$G$304,MATCH(A519,'交易记录'!$A$5:$A$304,0)),1),1))</f>
        <v/>
      </c>
      <c r="J519" s="41" t="str">
        <f>IF(ISNUMBER(H519),ROUND('参数'!$C$11+H519*I519*'参数'!$C$12+F519*'参数'!$C$13,2),"")</f>
        <v/>
      </c>
      <c r="K519" s="22" t="n"/>
      <c r="L519" s="20" t="str">
        <f>IF(ISNUMBER(K519),K519,IF(ISNUMBER(H519),J519,""))</f>
        <v/>
      </c>
      <c r="M519" s="46" t="str">
        <f>IF(AND(ISNUMBER(E519),ISNUMBER(G519),ISNUMBER(F519)),(E519-G519)*IF(D519="卖",-1,1)*F519*I519,"")</f>
        <v/>
      </c>
      <c r="N519" s="38" t="str">
        <f>IF(A519="","",IFERROR(T(INDEX('交易记录'!$C$5:$C$304,MATCH(A519,'交易记录'!$A$5:$A$304,0))),"编号没找到"))</f>
        <v/>
      </c>
      <c r="O519" s="31" t="n"/>
    </row>
    <row r="520">
      <c r="A520" s="29" t="n"/>
      <c r="B520" s="30" t="n"/>
      <c r="C520" s="27" t="n"/>
      <c r="D520" s="32" t="n"/>
      <c r="E520" s="33" t="n"/>
      <c r="F520" s="36" t="n"/>
      <c r="G520" s="33" t="n"/>
      <c r="H520" s="20" t="str">
        <f>IF(AND(ISNUMBER(E520),ISNUMBER(F520)),E520*F520,"")</f>
        <v/>
      </c>
      <c r="I520" s="38" t="str">
        <f>IF(A520="","",IFERROR(IF(N(INDEX('交易记录'!$G$5:$G$304,MATCH(A520,'交易记录'!$A$5:$A$304,0)))&gt;0,INDEX('交易记录'!$G$5:$G$304,MATCH(A520,'交易记录'!$A$5:$A$304,0)),1),1))</f>
        <v/>
      </c>
      <c r="J520" s="41" t="str">
        <f>IF(ISNUMBER(H520),ROUND('参数'!$C$11+H520*I520*'参数'!$C$12+F520*'参数'!$C$13,2),"")</f>
        <v/>
      </c>
      <c r="K520" s="22" t="n"/>
      <c r="L520" s="20" t="str">
        <f>IF(ISNUMBER(K520),K520,IF(ISNUMBER(H520),J520,""))</f>
        <v/>
      </c>
      <c r="M520" s="46" t="str">
        <f>IF(AND(ISNUMBER(E520),ISNUMBER(G520),ISNUMBER(F520)),(E520-G520)*IF(D520="卖",-1,1)*F520*I520,"")</f>
        <v/>
      </c>
      <c r="N520" s="38" t="str">
        <f>IF(A520="","",IFERROR(T(INDEX('交易记录'!$C$5:$C$304,MATCH(A520,'交易记录'!$A$5:$A$304,0))),"编号没找到"))</f>
        <v/>
      </c>
      <c r="O520" s="31" t="n"/>
    </row>
    <row r="521">
      <c r="A521" s="29" t="n"/>
      <c r="B521" s="30" t="n"/>
      <c r="C521" s="27" t="n"/>
      <c r="D521" s="32" t="n"/>
      <c r="E521" s="33" t="n"/>
      <c r="F521" s="36" t="n"/>
      <c r="G521" s="33" t="n"/>
      <c r="H521" s="20" t="str">
        <f>IF(AND(ISNUMBER(E521),ISNUMBER(F521)),E521*F521,"")</f>
        <v/>
      </c>
      <c r="I521" s="38" t="str">
        <f>IF(A521="","",IFERROR(IF(N(INDEX('交易记录'!$G$5:$G$304,MATCH(A521,'交易记录'!$A$5:$A$304,0)))&gt;0,INDEX('交易记录'!$G$5:$G$304,MATCH(A521,'交易记录'!$A$5:$A$304,0)),1),1))</f>
        <v/>
      </c>
      <c r="J521" s="41" t="str">
        <f>IF(ISNUMBER(H521),ROUND('参数'!$C$11+H521*I521*'参数'!$C$12+F521*'参数'!$C$13,2),"")</f>
        <v/>
      </c>
      <c r="K521" s="22" t="n"/>
      <c r="L521" s="20" t="str">
        <f>IF(ISNUMBER(K521),K521,IF(ISNUMBER(H521),J521,""))</f>
        <v/>
      </c>
      <c r="M521" s="46" t="str">
        <f>IF(AND(ISNUMBER(E521),ISNUMBER(G521),ISNUMBER(F521)),(E521-G521)*IF(D521="卖",-1,1)*F521*I521,"")</f>
        <v/>
      </c>
      <c r="N521" s="38" t="str">
        <f>IF(A521="","",IFERROR(T(INDEX('交易记录'!$C$5:$C$304,MATCH(A521,'交易记录'!$A$5:$A$304,0))),"编号没找到"))</f>
        <v/>
      </c>
      <c r="O521" s="31" t="n"/>
    </row>
    <row r="522">
      <c r="A522" s="29" t="n"/>
      <c r="B522" s="30" t="n"/>
      <c r="C522" s="27" t="n"/>
      <c r="D522" s="32" t="n"/>
      <c r="E522" s="33" t="n"/>
      <c r="F522" s="36" t="n"/>
      <c r="G522" s="33" t="n"/>
      <c r="H522" s="20" t="str">
        <f>IF(AND(ISNUMBER(E522),ISNUMBER(F522)),E522*F522,"")</f>
        <v/>
      </c>
      <c r="I522" s="38" t="str">
        <f>IF(A522="","",IFERROR(IF(N(INDEX('交易记录'!$G$5:$G$304,MATCH(A522,'交易记录'!$A$5:$A$304,0)))&gt;0,INDEX('交易记录'!$G$5:$G$304,MATCH(A522,'交易记录'!$A$5:$A$304,0)),1),1))</f>
        <v/>
      </c>
      <c r="J522" s="41" t="str">
        <f>IF(ISNUMBER(H522),ROUND('参数'!$C$11+H522*I522*'参数'!$C$12+F522*'参数'!$C$13,2),"")</f>
        <v/>
      </c>
      <c r="K522" s="22" t="n"/>
      <c r="L522" s="20" t="str">
        <f>IF(ISNUMBER(K522),K522,IF(ISNUMBER(H522),J522,""))</f>
        <v/>
      </c>
      <c r="M522" s="46" t="str">
        <f>IF(AND(ISNUMBER(E522),ISNUMBER(G522),ISNUMBER(F522)),(E522-G522)*IF(D522="卖",-1,1)*F522*I522,"")</f>
        <v/>
      </c>
      <c r="N522" s="38" t="str">
        <f>IF(A522="","",IFERROR(T(INDEX('交易记录'!$C$5:$C$304,MATCH(A522,'交易记录'!$A$5:$A$304,0))),"编号没找到"))</f>
        <v/>
      </c>
      <c r="O522" s="31" t="n"/>
    </row>
    <row r="523">
      <c r="A523" s="29" t="n"/>
      <c r="B523" s="30" t="n"/>
      <c r="C523" s="27" t="n"/>
      <c r="D523" s="32" t="n"/>
      <c r="E523" s="33" t="n"/>
      <c r="F523" s="36" t="n"/>
      <c r="G523" s="33" t="n"/>
      <c r="H523" s="20" t="str">
        <f>IF(AND(ISNUMBER(E523),ISNUMBER(F523)),E523*F523,"")</f>
        <v/>
      </c>
      <c r="I523" s="38" t="str">
        <f>IF(A523="","",IFERROR(IF(N(INDEX('交易记录'!$G$5:$G$304,MATCH(A523,'交易记录'!$A$5:$A$304,0)))&gt;0,INDEX('交易记录'!$G$5:$G$304,MATCH(A523,'交易记录'!$A$5:$A$304,0)),1),1))</f>
        <v/>
      </c>
      <c r="J523" s="41" t="str">
        <f>IF(ISNUMBER(H523),ROUND('参数'!$C$11+H523*I523*'参数'!$C$12+F523*'参数'!$C$13,2),"")</f>
        <v/>
      </c>
      <c r="K523" s="22" t="n"/>
      <c r="L523" s="20" t="str">
        <f>IF(ISNUMBER(K523),K523,IF(ISNUMBER(H523),J523,""))</f>
        <v/>
      </c>
      <c r="M523" s="46" t="str">
        <f>IF(AND(ISNUMBER(E523),ISNUMBER(G523),ISNUMBER(F523)),(E523-G523)*IF(D523="卖",-1,1)*F523*I523,"")</f>
        <v/>
      </c>
      <c r="N523" s="38" t="str">
        <f>IF(A523="","",IFERROR(T(INDEX('交易记录'!$C$5:$C$304,MATCH(A523,'交易记录'!$A$5:$A$304,0))),"编号没找到"))</f>
        <v/>
      </c>
      <c r="O523" s="31" t="n"/>
    </row>
    <row r="524">
      <c r="A524" s="29" t="n"/>
      <c r="B524" s="30" t="n"/>
      <c r="C524" s="27" t="n"/>
      <c r="D524" s="32" t="n"/>
      <c r="E524" s="33" t="n"/>
      <c r="F524" s="36" t="n"/>
      <c r="G524" s="33" t="n"/>
      <c r="H524" s="20" t="str">
        <f>IF(AND(ISNUMBER(E524),ISNUMBER(F524)),E524*F524,"")</f>
        <v/>
      </c>
      <c r="I524" s="38" t="str">
        <f>IF(A524="","",IFERROR(IF(N(INDEX('交易记录'!$G$5:$G$304,MATCH(A524,'交易记录'!$A$5:$A$304,0)))&gt;0,INDEX('交易记录'!$G$5:$G$304,MATCH(A524,'交易记录'!$A$5:$A$304,0)),1),1))</f>
        <v/>
      </c>
      <c r="J524" s="41" t="str">
        <f>IF(ISNUMBER(H524),ROUND('参数'!$C$11+H524*I524*'参数'!$C$12+F524*'参数'!$C$13,2),"")</f>
        <v/>
      </c>
      <c r="K524" s="22" t="n"/>
      <c r="L524" s="20" t="str">
        <f>IF(ISNUMBER(K524),K524,IF(ISNUMBER(H524),J524,""))</f>
        <v/>
      </c>
      <c r="M524" s="46" t="str">
        <f>IF(AND(ISNUMBER(E524),ISNUMBER(G524),ISNUMBER(F524)),(E524-G524)*IF(D524="卖",-1,1)*F524*I524,"")</f>
        <v/>
      </c>
      <c r="N524" s="38" t="str">
        <f>IF(A524="","",IFERROR(T(INDEX('交易记录'!$C$5:$C$304,MATCH(A524,'交易记录'!$A$5:$A$304,0))),"编号没找到"))</f>
        <v/>
      </c>
      <c r="O524" s="31" t="n"/>
    </row>
    <row r="525">
      <c r="A525" s="29" t="n"/>
      <c r="B525" s="30" t="n"/>
      <c r="C525" s="27" t="n"/>
      <c r="D525" s="32" t="n"/>
      <c r="E525" s="33" t="n"/>
      <c r="F525" s="36" t="n"/>
      <c r="G525" s="33" t="n"/>
      <c r="H525" s="20" t="str">
        <f>IF(AND(ISNUMBER(E525),ISNUMBER(F525)),E525*F525,"")</f>
        <v/>
      </c>
      <c r="I525" s="38" t="str">
        <f>IF(A525="","",IFERROR(IF(N(INDEX('交易记录'!$G$5:$G$304,MATCH(A525,'交易记录'!$A$5:$A$304,0)))&gt;0,INDEX('交易记录'!$G$5:$G$304,MATCH(A525,'交易记录'!$A$5:$A$304,0)),1),1))</f>
        <v/>
      </c>
      <c r="J525" s="41" t="str">
        <f>IF(ISNUMBER(H525),ROUND('参数'!$C$11+H525*I525*'参数'!$C$12+F525*'参数'!$C$13,2),"")</f>
        <v/>
      </c>
      <c r="K525" s="22" t="n"/>
      <c r="L525" s="20" t="str">
        <f>IF(ISNUMBER(K525),K525,IF(ISNUMBER(H525),J525,""))</f>
        <v/>
      </c>
      <c r="M525" s="46" t="str">
        <f>IF(AND(ISNUMBER(E525),ISNUMBER(G525),ISNUMBER(F525)),(E525-G525)*IF(D525="卖",-1,1)*F525*I525,"")</f>
        <v/>
      </c>
      <c r="N525" s="38" t="str">
        <f>IF(A525="","",IFERROR(T(INDEX('交易记录'!$C$5:$C$304,MATCH(A525,'交易记录'!$A$5:$A$304,0))),"编号没找到"))</f>
        <v/>
      </c>
      <c r="O525" s="31" t="n"/>
    </row>
    <row r="526">
      <c r="A526" s="29" t="n"/>
      <c r="B526" s="30" t="n"/>
      <c r="C526" s="27" t="n"/>
      <c r="D526" s="32" t="n"/>
      <c r="E526" s="33" t="n"/>
      <c r="F526" s="36" t="n"/>
      <c r="G526" s="33" t="n"/>
      <c r="H526" s="20" t="str">
        <f>IF(AND(ISNUMBER(E526),ISNUMBER(F526)),E526*F526,"")</f>
        <v/>
      </c>
      <c r="I526" s="38" t="str">
        <f>IF(A526="","",IFERROR(IF(N(INDEX('交易记录'!$G$5:$G$304,MATCH(A526,'交易记录'!$A$5:$A$304,0)))&gt;0,INDEX('交易记录'!$G$5:$G$304,MATCH(A526,'交易记录'!$A$5:$A$304,0)),1),1))</f>
        <v/>
      </c>
      <c r="J526" s="41" t="str">
        <f>IF(ISNUMBER(H526),ROUND('参数'!$C$11+H526*I526*'参数'!$C$12+F526*'参数'!$C$13,2),"")</f>
        <v/>
      </c>
      <c r="K526" s="22" t="n"/>
      <c r="L526" s="20" t="str">
        <f>IF(ISNUMBER(K526),K526,IF(ISNUMBER(H526),J526,""))</f>
        <v/>
      </c>
      <c r="M526" s="46" t="str">
        <f>IF(AND(ISNUMBER(E526),ISNUMBER(G526),ISNUMBER(F526)),(E526-G526)*IF(D526="卖",-1,1)*F526*I526,"")</f>
        <v/>
      </c>
      <c r="N526" s="38" t="str">
        <f>IF(A526="","",IFERROR(T(INDEX('交易记录'!$C$5:$C$304,MATCH(A526,'交易记录'!$A$5:$A$304,0))),"编号没找到"))</f>
        <v/>
      </c>
      <c r="O526" s="31" t="n"/>
    </row>
    <row r="527">
      <c r="A527" s="29" t="n"/>
      <c r="B527" s="30" t="n"/>
      <c r="C527" s="27" t="n"/>
      <c r="D527" s="32" t="n"/>
      <c r="E527" s="33" t="n"/>
      <c r="F527" s="36" t="n"/>
      <c r="G527" s="33" t="n"/>
      <c r="H527" s="20" t="str">
        <f>IF(AND(ISNUMBER(E527),ISNUMBER(F527)),E527*F527,"")</f>
        <v/>
      </c>
      <c r="I527" s="38" t="str">
        <f>IF(A527="","",IFERROR(IF(N(INDEX('交易记录'!$G$5:$G$304,MATCH(A527,'交易记录'!$A$5:$A$304,0)))&gt;0,INDEX('交易记录'!$G$5:$G$304,MATCH(A527,'交易记录'!$A$5:$A$304,0)),1),1))</f>
        <v/>
      </c>
      <c r="J527" s="41" t="str">
        <f>IF(ISNUMBER(H527),ROUND('参数'!$C$11+H527*I527*'参数'!$C$12+F527*'参数'!$C$13,2),"")</f>
        <v/>
      </c>
      <c r="K527" s="22" t="n"/>
      <c r="L527" s="20" t="str">
        <f>IF(ISNUMBER(K527),K527,IF(ISNUMBER(H527),J527,""))</f>
        <v/>
      </c>
      <c r="M527" s="46" t="str">
        <f>IF(AND(ISNUMBER(E527),ISNUMBER(G527),ISNUMBER(F527)),(E527-G527)*IF(D527="卖",-1,1)*F527*I527,"")</f>
        <v/>
      </c>
      <c r="N527" s="38" t="str">
        <f>IF(A527="","",IFERROR(T(INDEX('交易记录'!$C$5:$C$304,MATCH(A527,'交易记录'!$A$5:$A$304,0))),"编号没找到"))</f>
        <v/>
      </c>
      <c r="O527" s="31" t="n"/>
    </row>
    <row r="528">
      <c r="A528" s="29" t="n"/>
      <c r="B528" s="30" t="n"/>
      <c r="C528" s="27" t="n"/>
      <c r="D528" s="32" t="n"/>
      <c r="E528" s="33" t="n"/>
      <c r="F528" s="36" t="n"/>
      <c r="G528" s="33" t="n"/>
      <c r="H528" s="20" t="str">
        <f>IF(AND(ISNUMBER(E528),ISNUMBER(F528)),E528*F528,"")</f>
        <v/>
      </c>
      <c r="I528" s="38" t="str">
        <f>IF(A528="","",IFERROR(IF(N(INDEX('交易记录'!$G$5:$G$304,MATCH(A528,'交易记录'!$A$5:$A$304,0)))&gt;0,INDEX('交易记录'!$G$5:$G$304,MATCH(A528,'交易记录'!$A$5:$A$304,0)),1),1))</f>
        <v/>
      </c>
      <c r="J528" s="41" t="str">
        <f>IF(ISNUMBER(H528),ROUND('参数'!$C$11+H528*I528*'参数'!$C$12+F528*'参数'!$C$13,2),"")</f>
        <v/>
      </c>
      <c r="K528" s="22" t="n"/>
      <c r="L528" s="20" t="str">
        <f>IF(ISNUMBER(K528),K528,IF(ISNUMBER(H528),J528,""))</f>
        <v/>
      </c>
      <c r="M528" s="46" t="str">
        <f>IF(AND(ISNUMBER(E528),ISNUMBER(G528),ISNUMBER(F528)),(E528-G528)*IF(D528="卖",-1,1)*F528*I528,"")</f>
        <v/>
      </c>
      <c r="N528" s="38" t="str">
        <f>IF(A528="","",IFERROR(T(INDEX('交易记录'!$C$5:$C$304,MATCH(A528,'交易记录'!$A$5:$A$304,0))),"编号没找到"))</f>
        <v/>
      </c>
      <c r="O528" s="31" t="n"/>
    </row>
    <row r="529">
      <c r="A529" s="29" t="n"/>
      <c r="B529" s="30" t="n"/>
      <c r="C529" s="27" t="n"/>
      <c r="D529" s="32" t="n"/>
      <c r="E529" s="33" t="n"/>
      <c r="F529" s="36" t="n"/>
      <c r="G529" s="33" t="n"/>
      <c r="H529" s="20" t="str">
        <f>IF(AND(ISNUMBER(E529),ISNUMBER(F529)),E529*F529,"")</f>
        <v/>
      </c>
      <c r="I529" s="38" t="str">
        <f>IF(A529="","",IFERROR(IF(N(INDEX('交易记录'!$G$5:$G$304,MATCH(A529,'交易记录'!$A$5:$A$304,0)))&gt;0,INDEX('交易记录'!$G$5:$G$304,MATCH(A529,'交易记录'!$A$5:$A$304,0)),1),1))</f>
        <v/>
      </c>
      <c r="J529" s="41" t="str">
        <f>IF(ISNUMBER(H529),ROUND('参数'!$C$11+H529*I529*'参数'!$C$12+F529*'参数'!$C$13,2),"")</f>
        <v/>
      </c>
      <c r="K529" s="22" t="n"/>
      <c r="L529" s="20" t="str">
        <f>IF(ISNUMBER(K529),K529,IF(ISNUMBER(H529),J529,""))</f>
        <v/>
      </c>
      <c r="M529" s="46" t="str">
        <f>IF(AND(ISNUMBER(E529),ISNUMBER(G529),ISNUMBER(F529)),(E529-G529)*IF(D529="卖",-1,1)*F529*I529,"")</f>
        <v/>
      </c>
      <c r="N529" s="38" t="str">
        <f>IF(A529="","",IFERROR(T(INDEX('交易记录'!$C$5:$C$304,MATCH(A529,'交易记录'!$A$5:$A$304,0))),"编号没找到"))</f>
        <v/>
      </c>
      <c r="O529" s="31" t="n"/>
    </row>
    <row r="530">
      <c r="A530" s="29" t="n"/>
      <c r="B530" s="30" t="n"/>
      <c r="C530" s="27" t="n"/>
      <c r="D530" s="32" t="n"/>
      <c r="E530" s="33" t="n"/>
      <c r="F530" s="36" t="n"/>
      <c r="G530" s="33" t="n"/>
      <c r="H530" s="20" t="str">
        <f>IF(AND(ISNUMBER(E530),ISNUMBER(F530)),E530*F530,"")</f>
        <v/>
      </c>
      <c r="I530" s="38" t="str">
        <f>IF(A530="","",IFERROR(IF(N(INDEX('交易记录'!$G$5:$G$304,MATCH(A530,'交易记录'!$A$5:$A$304,0)))&gt;0,INDEX('交易记录'!$G$5:$G$304,MATCH(A530,'交易记录'!$A$5:$A$304,0)),1),1))</f>
        <v/>
      </c>
      <c r="J530" s="41" t="str">
        <f>IF(ISNUMBER(H530),ROUND('参数'!$C$11+H530*I530*'参数'!$C$12+F530*'参数'!$C$13,2),"")</f>
        <v/>
      </c>
      <c r="K530" s="22" t="n"/>
      <c r="L530" s="20" t="str">
        <f>IF(ISNUMBER(K530),K530,IF(ISNUMBER(H530),J530,""))</f>
        <v/>
      </c>
      <c r="M530" s="46" t="str">
        <f>IF(AND(ISNUMBER(E530),ISNUMBER(G530),ISNUMBER(F530)),(E530-G530)*IF(D530="卖",-1,1)*F530*I530,"")</f>
        <v/>
      </c>
      <c r="N530" s="38" t="str">
        <f>IF(A530="","",IFERROR(T(INDEX('交易记录'!$C$5:$C$304,MATCH(A530,'交易记录'!$A$5:$A$304,0))),"编号没找到"))</f>
        <v/>
      </c>
      <c r="O530" s="31" t="n"/>
    </row>
    <row r="531">
      <c r="A531" s="29" t="n"/>
      <c r="B531" s="30" t="n"/>
      <c r="C531" s="27" t="n"/>
      <c r="D531" s="32" t="n"/>
      <c r="E531" s="33" t="n"/>
      <c r="F531" s="36" t="n"/>
      <c r="G531" s="33" t="n"/>
      <c r="H531" s="20" t="str">
        <f>IF(AND(ISNUMBER(E531),ISNUMBER(F531)),E531*F531,"")</f>
        <v/>
      </c>
      <c r="I531" s="38" t="str">
        <f>IF(A531="","",IFERROR(IF(N(INDEX('交易记录'!$G$5:$G$304,MATCH(A531,'交易记录'!$A$5:$A$304,0)))&gt;0,INDEX('交易记录'!$G$5:$G$304,MATCH(A531,'交易记录'!$A$5:$A$304,0)),1),1))</f>
        <v/>
      </c>
      <c r="J531" s="41" t="str">
        <f>IF(ISNUMBER(H531),ROUND('参数'!$C$11+H531*I531*'参数'!$C$12+F531*'参数'!$C$13,2),"")</f>
        <v/>
      </c>
      <c r="K531" s="22" t="n"/>
      <c r="L531" s="20" t="str">
        <f>IF(ISNUMBER(K531),K531,IF(ISNUMBER(H531),J531,""))</f>
        <v/>
      </c>
      <c r="M531" s="46" t="str">
        <f>IF(AND(ISNUMBER(E531),ISNUMBER(G531),ISNUMBER(F531)),(E531-G531)*IF(D531="卖",-1,1)*F531*I531,"")</f>
        <v/>
      </c>
      <c r="N531" s="38" t="str">
        <f>IF(A531="","",IFERROR(T(INDEX('交易记录'!$C$5:$C$304,MATCH(A531,'交易记录'!$A$5:$A$304,0))),"编号没找到"))</f>
        <v/>
      </c>
      <c r="O531" s="31" t="n"/>
    </row>
    <row r="532">
      <c r="A532" s="29" t="n"/>
      <c r="B532" s="30" t="n"/>
      <c r="C532" s="27" t="n"/>
      <c r="D532" s="32" t="n"/>
      <c r="E532" s="33" t="n"/>
      <c r="F532" s="36" t="n"/>
      <c r="G532" s="33" t="n"/>
      <c r="H532" s="20" t="str">
        <f>IF(AND(ISNUMBER(E532),ISNUMBER(F532)),E532*F532,"")</f>
        <v/>
      </c>
      <c r="I532" s="38" t="str">
        <f>IF(A532="","",IFERROR(IF(N(INDEX('交易记录'!$G$5:$G$304,MATCH(A532,'交易记录'!$A$5:$A$304,0)))&gt;0,INDEX('交易记录'!$G$5:$G$304,MATCH(A532,'交易记录'!$A$5:$A$304,0)),1),1))</f>
        <v/>
      </c>
      <c r="J532" s="41" t="str">
        <f>IF(ISNUMBER(H532),ROUND('参数'!$C$11+H532*I532*'参数'!$C$12+F532*'参数'!$C$13,2),"")</f>
        <v/>
      </c>
      <c r="K532" s="22" t="n"/>
      <c r="L532" s="20" t="str">
        <f>IF(ISNUMBER(K532),K532,IF(ISNUMBER(H532),J532,""))</f>
        <v/>
      </c>
      <c r="M532" s="46" t="str">
        <f>IF(AND(ISNUMBER(E532),ISNUMBER(G532),ISNUMBER(F532)),(E532-G532)*IF(D532="卖",-1,1)*F532*I532,"")</f>
        <v/>
      </c>
      <c r="N532" s="38" t="str">
        <f>IF(A532="","",IFERROR(T(INDEX('交易记录'!$C$5:$C$304,MATCH(A532,'交易记录'!$A$5:$A$304,0))),"编号没找到"))</f>
        <v/>
      </c>
      <c r="O532" s="31" t="n"/>
    </row>
    <row r="533">
      <c r="A533" s="29" t="n"/>
      <c r="B533" s="30" t="n"/>
      <c r="C533" s="27" t="n"/>
      <c r="D533" s="32" t="n"/>
      <c r="E533" s="33" t="n"/>
      <c r="F533" s="36" t="n"/>
      <c r="G533" s="33" t="n"/>
      <c r="H533" s="20" t="str">
        <f>IF(AND(ISNUMBER(E533),ISNUMBER(F533)),E533*F533,"")</f>
        <v/>
      </c>
      <c r="I533" s="38" t="str">
        <f>IF(A533="","",IFERROR(IF(N(INDEX('交易记录'!$G$5:$G$304,MATCH(A533,'交易记录'!$A$5:$A$304,0)))&gt;0,INDEX('交易记录'!$G$5:$G$304,MATCH(A533,'交易记录'!$A$5:$A$304,0)),1),1))</f>
        <v/>
      </c>
      <c r="J533" s="41" t="str">
        <f>IF(ISNUMBER(H533),ROUND('参数'!$C$11+H533*I533*'参数'!$C$12+F533*'参数'!$C$13,2),"")</f>
        <v/>
      </c>
      <c r="K533" s="22" t="n"/>
      <c r="L533" s="20" t="str">
        <f>IF(ISNUMBER(K533),K533,IF(ISNUMBER(H533),J533,""))</f>
        <v/>
      </c>
      <c r="M533" s="46" t="str">
        <f>IF(AND(ISNUMBER(E533),ISNUMBER(G533),ISNUMBER(F533)),(E533-G533)*IF(D533="卖",-1,1)*F533*I533,"")</f>
        <v/>
      </c>
      <c r="N533" s="38" t="str">
        <f>IF(A533="","",IFERROR(T(INDEX('交易记录'!$C$5:$C$304,MATCH(A533,'交易记录'!$A$5:$A$304,0))),"编号没找到"))</f>
        <v/>
      </c>
      <c r="O533" s="31" t="n"/>
    </row>
    <row r="534">
      <c r="A534" s="29" t="n"/>
      <c r="B534" s="30" t="n"/>
      <c r="C534" s="27" t="n"/>
      <c r="D534" s="32" t="n"/>
      <c r="E534" s="33" t="n"/>
      <c r="F534" s="36" t="n"/>
      <c r="G534" s="33" t="n"/>
      <c r="H534" s="20" t="str">
        <f>IF(AND(ISNUMBER(E534),ISNUMBER(F534)),E534*F534,"")</f>
        <v/>
      </c>
      <c r="I534" s="38" t="str">
        <f>IF(A534="","",IFERROR(IF(N(INDEX('交易记录'!$G$5:$G$304,MATCH(A534,'交易记录'!$A$5:$A$304,0)))&gt;0,INDEX('交易记录'!$G$5:$G$304,MATCH(A534,'交易记录'!$A$5:$A$304,0)),1),1))</f>
        <v/>
      </c>
      <c r="J534" s="41" t="str">
        <f>IF(ISNUMBER(H534),ROUND('参数'!$C$11+H534*I534*'参数'!$C$12+F534*'参数'!$C$13,2),"")</f>
        <v/>
      </c>
      <c r="K534" s="22" t="n"/>
      <c r="L534" s="20" t="str">
        <f>IF(ISNUMBER(K534),K534,IF(ISNUMBER(H534),J534,""))</f>
        <v/>
      </c>
      <c r="M534" s="46" t="str">
        <f>IF(AND(ISNUMBER(E534),ISNUMBER(G534),ISNUMBER(F534)),(E534-G534)*IF(D534="卖",-1,1)*F534*I534,"")</f>
        <v/>
      </c>
      <c r="N534" s="38" t="str">
        <f>IF(A534="","",IFERROR(T(INDEX('交易记录'!$C$5:$C$304,MATCH(A534,'交易记录'!$A$5:$A$304,0))),"编号没找到"))</f>
        <v/>
      </c>
      <c r="O534" s="31" t="n"/>
    </row>
    <row r="535">
      <c r="A535" s="29" t="n"/>
      <c r="B535" s="30" t="n"/>
      <c r="C535" s="27" t="n"/>
      <c r="D535" s="32" t="n"/>
      <c r="E535" s="33" t="n"/>
      <c r="F535" s="36" t="n"/>
      <c r="G535" s="33" t="n"/>
      <c r="H535" s="20" t="str">
        <f>IF(AND(ISNUMBER(E535),ISNUMBER(F535)),E535*F535,"")</f>
        <v/>
      </c>
      <c r="I535" s="38" t="str">
        <f>IF(A535="","",IFERROR(IF(N(INDEX('交易记录'!$G$5:$G$304,MATCH(A535,'交易记录'!$A$5:$A$304,0)))&gt;0,INDEX('交易记录'!$G$5:$G$304,MATCH(A535,'交易记录'!$A$5:$A$304,0)),1),1))</f>
        <v/>
      </c>
      <c r="J535" s="41" t="str">
        <f>IF(ISNUMBER(H535),ROUND('参数'!$C$11+H535*I535*'参数'!$C$12+F535*'参数'!$C$13,2),"")</f>
        <v/>
      </c>
      <c r="K535" s="22" t="n"/>
      <c r="L535" s="20" t="str">
        <f>IF(ISNUMBER(K535),K535,IF(ISNUMBER(H535),J535,""))</f>
        <v/>
      </c>
      <c r="M535" s="46" t="str">
        <f>IF(AND(ISNUMBER(E535),ISNUMBER(G535),ISNUMBER(F535)),(E535-G535)*IF(D535="卖",-1,1)*F535*I535,"")</f>
        <v/>
      </c>
      <c r="N535" s="38" t="str">
        <f>IF(A535="","",IFERROR(T(INDEX('交易记录'!$C$5:$C$304,MATCH(A535,'交易记录'!$A$5:$A$304,0))),"编号没找到"))</f>
        <v/>
      </c>
      <c r="O535" s="31" t="n"/>
    </row>
    <row r="536">
      <c r="A536" s="29" t="n"/>
      <c r="B536" s="30" t="n"/>
      <c r="C536" s="27" t="n"/>
      <c r="D536" s="32" t="n"/>
      <c r="E536" s="33" t="n"/>
      <c r="F536" s="36" t="n"/>
      <c r="G536" s="33" t="n"/>
      <c r="H536" s="20" t="str">
        <f>IF(AND(ISNUMBER(E536),ISNUMBER(F536)),E536*F536,"")</f>
        <v/>
      </c>
      <c r="I536" s="38" t="str">
        <f>IF(A536="","",IFERROR(IF(N(INDEX('交易记录'!$G$5:$G$304,MATCH(A536,'交易记录'!$A$5:$A$304,0)))&gt;0,INDEX('交易记录'!$G$5:$G$304,MATCH(A536,'交易记录'!$A$5:$A$304,0)),1),1))</f>
        <v/>
      </c>
      <c r="J536" s="41" t="str">
        <f>IF(ISNUMBER(H536),ROUND('参数'!$C$11+H536*I536*'参数'!$C$12+F536*'参数'!$C$13,2),"")</f>
        <v/>
      </c>
      <c r="K536" s="22" t="n"/>
      <c r="L536" s="20" t="str">
        <f>IF(ISNUMBER(K536),K536,IF(ISNUMBER(H536),J536,""))</f>
        <v/>
      </c>
      <c r="M536" s="46" t="str">
        <f>IF(AND(ISNUMBER(E536),ISNUMBER(G536),ISNUMBER(F536)),(E536-G536)*IF(D536="卖",-1,1)*F536*I536,"")</f>
        <v/>
      </c>
      <c r="N536" s="38" t="str">
        <f>IF(A536="","",IFERROR(T(INDEX('交易记录'!$C$5:$C$304,MATCH(A536,'交易记录'!$A$5:$A$304,0))),"编号没找到"))</f>
        <v/>
      </c>
      <c r="O536" s="31" t="n"/>
    </row>
    <row r="537">
      <c r="A537" s="29" t="n"/>
      <c r="B537" s="30" t="n"/>
      <c r="C537" s="27" t="n"/>
      <c r="D537" s="32" t="n"/>
      <c r="E537" s="33" t="n"/>
      <c r="F537" s="36" t="n"/>
      <c r="G537" s="33" t="n"/>
      <c r="H537" s="20" t="str">
        <f>IF(AND(ISNUMBER(E537),ISNUMBER(F537)),E537*F537,"")</f>
        <v/>
      </c>
      <c r="I537" s="38" t="str">
        <f>IF(A537="","",IFERROR(IF(N(INDEX('交易记录'!$G$5:$G$304,MATCH(A537,'交易记录'!$A$5:$A$304,0)))&gt;0,INDEX('交易记录'!$G$5:$G$304,MATCH(A537,'交易记录'!$A$5:$A$304,0)),1),1))</f>
        <v/>
      </c>
      <c r="J537" s="41" t="str">
        <f>IF(ISNUMBER(H537),ROUND('参数'!$C$11+H537*I537*'参数'!$C$12+F537*'参数'!$C$13,2),"")</f>
        <v/>
      </c>
      <c r="K537" s="22" t="n"/>
      <c r="L537" s="20" t="str">
        <f>IF(ISNUMBER(K537),K537,IF(ISNUMBER(H537),J537,""))</f>
        <v/>
      </c>
      <c r="M537" s="46" t="str">
        <f>IF(AND(ISNUMBER(E537),ISNUMBER(G537),ISNUMBER(F537)),(E537-G537)*IF(D537="卖",-1,1)*F537*I537,"")</f>
        <v/>
      </c>
      <c r="N537" s="38" t="str">
        <f>IF(A537="","",IFERROR(T(INDEX('交易记录'!$C$5:$C$304,MATCH(A537,'交易记录'!$A$5:$A$304,0))),"编号没找到"))</f>
        <v/>
      </c>
      <c r="O537" s="31" t="n"/>
    </row>
    <row r="538">
      <c r="A538" s="29" t="n"/>
      <c r="B538" s="30" t="n"/>
      <c r="C538" s="27" t="n"/>
      <c r="D538" s="32" t="n"/>
      <c r="E538" s="33" t="n"/>
      <c r="F538" s="36" t="n"/>
      <c r="G538" s="33" t="n"/>
      <c r="H538" s="20" t="str">
        <f>IF(AND(ISNUMBER(E538),ISNUMBER(F538)),E538*F538,"")</f>
        <v/>
      </c>
      <c r="I538" s="38" t="str">
        <f>IF(A538="","",IFERROR(IF(N(INDEX('交易记录'!$G$5:$G$304,MATCH(A538,'交易记录'!$A$5:$A$304,0)))&gt;0,INDEX('交易记录'!$G$5:$G$304,MATCH(A538,'交易记录'!$A$5:$A$304,0)),1),1))</f>
        <v/>
      </c>
      <c r="J538" s="41" t="str">
        <f>IF(ISNUMBER(H538),ROUND('参数'!$C$11+H538*I538*'参数'!$C$12+F538*'参数'!$C$13,2),"")</f>
        <v/>
      </c>
      <c r="K538" s="22" t="n"/>
      <c r="L538" s="20" t="str">
        <f>IF(ISNUMBER(K538),K538,IF(ISNUMBER(H538),J538,""))</f>
        <v/>
      </c>
      <c r="M538" s="46" t="str">
        <f>IF(AND(ISNUMBER(E538),ISNUMBER(G538),ISNUMBER(F538)),(E538-G538)*IF(D538="卖",-1,1)*F538*I538,"")</f>
        <v/>
      </c>
      <c r="N538" s="38" t="str">
        <f>IF(A538="","",IFERROR(T(INDEX('交易记录'!$C$5:$C$304,MATCH(A538,'交易记录'!$A$5:$A$304,0))),"编号没找到"))</f>
        <v/>
      </c>
      <c r="O538" s="31" t="n"/>
    </row>
    <row r="539">
      <c r="A539" s="29" t="n"/>
      <c r="B539" s="30" t="n"/>
      <c r="C539" s="27" t="n"/>
      <c r="D539" s="32" t="n"/>
      <c r="E539" s="33" t="n"/>
      <c r="F539" s="36" t="n"/>
      <c r="G539" s="33" t="n"/>
      <c r="H539" s="20" t="str">
        <f>IF(AND(ISNUMBER(E539),ISNUMBER(F539)),E539*F539,"")</f>
        <v/>
      </c>
      <c r="I539" s="38" t="str">
        <f>IF(A539="","",IFERROR(IF(N(INDEX('交易记录'!$G$5:$G$304,MATCH(A539,'交易记录'!$A$5:$A$304,0)))&gt;0,INDEX('交易记录'!$G$5:$G$304,MATCH(A539,'交易记录'!$A$5:$A$304,0)),1),1))</f>
        <v/>
      </c>
      <c r="J539" s="41" t="str">
        <f>IF(ISNUMBER(H539),ROUND('参数'!$C$11+H539*I539*'参数'!$C$12+F539*'参数'!$C$13,2),"")</f>
        <v/>
      </c>
      <c r="K539" s="22" t="n"/>
      <c r="L539" s="20" t="str">
        <f>IF(ISNUMBER(K539),K539,IF(ISNUMBER(H539),J539,""))</f>
        <v/>
      </c>
      <c r="M539" s="46" t="str">
        <f>IF(AND(ISNUMBER(E539),ISNUMBER(G539),ISNUMBER(F539)),(E539-G539)*IF(D539="卖",-1,1)*F539*I539,"")</f>
        <v/>
      </c>
      <c r="N539" s="38" t="str">
        <f>IF(A539="","",IFERROR(T(INDEX('交易记录'!$C$5:$C$304,MATCH(A539,'交易记录'!$A$5:$A$304,0))),"编号没找到"))</f>
        <v/>
      </c>
      <c r="O539" s="31" t="n"/>
    </row>
    <row r="540">
      <c r="A540" s="29" t="n"/>
      <c r="B540" s="30" t="n"/>
      <c r="C540" s="27" t="n"/>
      <c r="D540" s="32" t="n"/>
      <c r="E540" s="33" t="n"/>
      <c r="F540" s="36" t="n"/>
      <c r="G540" s="33" t="n"/>
      <c r="H540" s="20" t="str">
        <f>IF(AND(ISNUMBER(E540),ISNUMBER(F540)),E540*F540,"")</f>
        <v/>
      </c>
      <c r="I540" s="38" t="str">
        <f>IF(A540="","",IFERROR(IF(N(INDEX('交易记录'!$G$5:$G$304,MATCH(A540,'交易记录'!$A$5:$A$304,0)))&gt;0,INDEX('交易记录'!$G$5:$G$304,MATCH(A540,'交易记录'!$A$5:$A$304,0)),1),1))</f>
        <v/>
      </c>
      <c r="J540" s="41" t="str">
        <f>IF(ISNUMBER(H540),ROUND('参数'!$C$11+H540*I540*'参数'!$C$12+F540*'参数'!$C$13,2),"")</f>
        <v/>
      </c>
      <c r="K540" s="22" t="n"/>
      <c r="L540" s="20" t="str">
        <f>IF(ISNUMBER(K540),K540,IF(ISNUMBER(H540),J540,""))</f>
        <v/>
      </c>
      <c r="M540" s="46" t="str">
        <f>IF(AND(ISNUMBER(E540),ISNUMBER(G540),ISNUMBER(F540)),(E540-G540)*IF(D540="卖",-1,1)*F540*I540,"")</f>
        <v/>
      </c>
      <c r="N540" s="38" t="str">
        <f>IF(A540="","",IFERROR(T(INDEX('交易记录'!$C$5:$C$304,MATCH(A540,'交易记录'!$A$5:$A$304,0))),"编号没找到"))</f>
        <v/>
      </c>
      <c r="O540" s="31" t="n"/>
    </row>
    <row r="541">
      <c r="A541" s="29" t="n"/>
      <c r="B541" s="30" t="n"/>
      <c r="C541" s="27" t="n"/>
      <c r="D541" s="32" t="n"/>
      <c r="E541" s="33" t="n"/>
      <c r="F541" s="36" t="n"/>
      <c r="G541" s="33" t="n"/>
      <c r="H541" s="20" t="str">
        <f>IF(AND(ISNUMBER(E541),ISNUMBER(F541)),E541*F541,"")</f>
        <v/>
      </c>
      <c r="I541" s="38" t="str">
        <f>IF(A541="","",IFERROR(IF(N(INDEX('交易记录'!$G$5:$G$304,MATCH(A541,'交易记录'!$A$5:$A$304,0)))&gt;0,INDEX('交易记录'!$G$5:$G$304,MATCH(A541,'交易记录'!$A$5:$A$304,0)),1),1))</f>
        <v/>
      </c>
      <c r="J541" s="41" t="str">
        <f>IF(ISNUMBER(H541),ROUND('参数'!$C$11+H541*I541*'参数'!$C$12+F541*'参数'!$C$13,2),"")</f>
        <v/>
      </c>
      <c r="K541" s="22" t="n"/>
      <c r="L541" s="20" t="str">
        <f>IF(ISNUMBER(K541),K541,IF(ISNUMBER(H541),J541,""))</f>
        <v/>
      </c>
      <c r="M541" s="46" t="str">
        <f>IF(AND(ISNUMBER(E541),ISNUMBER(G541),ISNUMBER(F541)),(E541-G541)*IF(D541="卖",-1,1)*F541*I541,"")</f>
        <v/>
      </c>
      <c r="N541" s="38" t="str">
        <f>IF(A541="","",IFERROR(T(INDEX('交易记录'!$C$5:$C$304,MATCH(A541,'交易记录'!$A$5:$A$304,0))),"编号没找到"))</f>
        <v/>
      </c>
      <c r="O541" s="31" t="n"/>
    </row>
    <row r="542">
      <c r="A542" s="29" t="n"/>
      <c r="B542" s="30" t="n"/>
      <c r="C542" s="27" t="n"/>
      <c r="D542" s="32" t="n"/>
      <c r="E542" s="33" t="n"/>
      <c r="F542" s="36" t="n"/>
      <c r="G542" s="33" t="n"/>
      <c r="H542" s="20" t="str">
        <f>IF(AND(ISNUMBER(E542),ISNUMBER(F542)),E542*F542,"")</f>
        <v/>
      </c>
      <c r="I542" s="38" t="str">
        <f>IF(A542="","",IFERROR(IF(N(INDEX('交易记录'!$G$5:$G$304,MATCH(A542,'交易记录'!$A$5:$A$304,0)))&gt;0,INDEX('交易记录'!$G$5:$G$304,MATCH(A542,'交易记录'!$A$5:$A$304,0)),1),1))</f>
        <v/>
      </c>
      <c r="J542" s="41" t="str">
        <f>IF(ISNUMBER(H542),ROUND('参数'!$C$11+H542*I542*'参数'!$C$12+F542*'参数'!$C$13,2),"")</f>
        <v/>
      </c>
      <c r="K542" s="22" t="n"/>
      <c r="L542" s="20" t="str">
        <f>IF(ISNUMBER(K542),K542,IF(ISNUMBER(H542),J542,""))</f>
        <v/>
      </c>
      <c r="M542" s="46" t="str">
        <f>IF(AND(ISNUMBER(E542),ISNUMBER(G542),ISNUMBER(F542)),(E542-G542)*IF(D542="卖",-1,1)*F542*I542,"")</f>
        <v/>
      </c>
      <c r="N542" s="38" t="str">
        <f>IF(A542="","",IFERROR(T(INDEX('交易记录'!$C$5:$C$304,MATCH(A542,'交易记录'!$A$5:$A$304,0))),"编号没找到"))</f>
        <v/>
      </c>
      <c r="O542" s="31" t="n"/>
    </row>
    <row r="543">
      <c r="A543" s="29" t="n"/>
      <c r="B543" s="30" t="n"/>
      <c r="C543" s="27" t="n"/>
      <c r="D543" s="32" t="n"/>
      <c r="E543" s="33" t="n"/>
      <c r="F543" s="36" t="n"/>
      <c r="G543" s="33" t="n"/>
      <c r="H543" s="20" t="str">
        <f>IF(AND(ISNUMBER(E543),ISNUMBER(F543)),E543*F543,"")</f>
        <v/>
      </c>
      <c r="I543" s="38" t="str">
        <f>IF(A543="","",IFERROR(IF(N(INDEX('交易记录'!$G$5:$G$304,MATCH(A543,'交易记录'!$A$5:$A$304,0)))&gt;0,INDEX('交易记录'!$G$5:$G$304,MATCH(A543,'交易记录'!$A$5:$A$304,0)),1),1))</f>
        <v/>
      </c>
      <c r="J543" s="41" t="str">
        <f>IF(ISNUMBER(H543),ROUND('参数'!$C$11+H543*I543*'参数'!$C$12+F543*'参数'!$C$13,2),"")</f>
        <v/>
      </c>
      <c r="K543" s="22" t="n"/>
      <c r="L543" s="20" t="str">
        <f>IF(ISNUMBER(K543),K543,IF(ISNUMBER(H543),J543,""))</f>
        <v/>
      </c>
      <c r="M543" s="46" t="str">
        <f>IF(AND(ISNUMBER(E543),ISNUMBER(G543),ISNUMBER(F543)),(E543-G543)*IF(D543="卖",-1,1)*F543*I543,"")</f>
        <v/>
      </c>
      <c r="N543" s="38" t="str">
        <f>IF(A543="","",IFERROR(T(INDEX('交易记录'!$C$5:$C$304,MATCH(A543,'交易记录'!$A$5:$A$304,0))),"编号没找到"))</f>
        <v/>
      </c>
      <c r="O543" s="31" t="n"/>
    </row>
    <row r="544">
      <c r="A544" s="29" t="n"/>
      <c r="B544" s="30" t="n"/>
      <c r="C544" s="27" t="n"/>
      <c r="D544" s="32" t="n"/>
      <c r="E544" s="33" t="n"/>
      <c r="F544" s="36" t="n"/>
      <c r="G544" s="33" t="n"/>
      <c r="H544" s="20" t="str">
        <f>IF(AND(ISNUMBER(E544),ISNUMBER(F544)),E544*F544,"")</f>
        <v/>
      </c>
      <c r="I544" s="38" t="str">
        <f>IF(A544="","",IFERROR(IF(N(INDEX('交易记录'!$G$5:$G$304,MATCH(A544,'交易记录'!$A$5:$A$304,0)))&gt;0,INDEX('交易记录'!$G$5:$G$304,MATCH(A544,'交易记录'!$A$5:$A$304,0)),1),1))</f>
        <v/>
      </c>
      <c r="J544" s="41" t="str">
        <f>IF(ISNUMBER(H544),ROUND('参数'!$C$11+H544*I544*'参数'!$C$12+F544*'参数'!$C$13,2),"")</f>
        <v/>
      </c>
      <c r="K544" s="22" t="n"/>
      <c r="L544" s="20" t="str">
        <f>IF(ISNUMBER(K544),K544,IF(ISNUMBER(H544),J544,""))</f>
        <v/>
      </c>
      <c r="M544" s="46" t="str">
        <f>IF(AND(ISNUMBER(E544),ISNUMBER(G544),ISNUMBER(F544)),(E544-G544)*IF(D544="卖",-1,1)*F544*I544,"")</f>
        <v/>
      </c>
      <c r="N544" s="38" t="str">
        <f>IF(A544="","",IFERROR(T(INDEX('交易记录'!$C$5:$C$304,MATCH(A544,'交易记录'!$A$5:$A$304,0))),"编号没找到"))</f>
        <v/>
      </c>
      <c r="O544" s="31" t="n"/>
    </row>
    <row r="545">
      <c r="A545" s="29" t="n"/>
      <c r="B545" s="30" t="n"/>
      <c r="C545" s="27" t="n"/>
      <c r="D545" s="32" t="n"/>
      <c r="E545" s="33" t="n"/>
      <c r="F545" s="36" t="n"/>
      <c r="G545" s="33" t="n"/>
      <c r="H545" s="20" t="str">
        <f>IF(AND(ISNUMBER(E545),ISNUMBER(F545)),E545*F545,"")</f>
        <v/>
      </c>
      <c r="I545" s="38" t="str">
        <f>IF(A545="","",IFERROR(IF(N(INDEX('交易记录'!$G$5:$G$304,MATCH(A545,'交易记录'!$A$5:$A$304,0)))&gt;0,INDEX('交易记录'!$G$5:$G$304,MATCH(A545,'交易记录'!$A$5:$A$304,0)),1),1))</f>
        <v/>
      </c>
      <c r="J545" s="41" t="str">
        <f>IF(ISNUMBER(H545),ROUND('参数'!$C$11+H545*I545*'参数'!$C$12+F545*'参数'!$C$13,2),"")</f>
        <v/>
      </c>
      <c r="K545" s="22" t="n"/>
      <c r="L545" s="20" t="str">
        <f>IF(ISNUMBER(K545),K545,IF(ISNUMBER(H545),J545,""))</f>
        <v/>
      </c>
      <c r="M545" s="46" t="str">
        <f>IF(AND(ISNUMBER(E545),ISNUMBER(G545),ISNUMBER(F545)),(E545-G545)*IF(D545="卖",-1,1)*F545*I545,"")</f>
        <v/>
      </c>
      <c r="N545" s="38" t="str">
        <f>IF(A545="","",IFERROR(T(INDEX('交易记录'!$C$5:$C$304,MATCH(A545,'交易记录'!$A$5:$A$304,0))),"编号没找到"))</f>
        <v/>
      </c>
      <c r="O545" s="31" t="n"/>
    </row>
    <row r="546">
      <c r="A546" s="29" t="n"/>
      <c r="B546" s="30" t="n"/>
      <c r="C546" s="27" t="n"/>
      <c r="D546" s="32" t="n"/>
      <c r="E546" s="33" t="n"/>
      <c r="F546" s="36" t="n"/>
      <c r="G546" s="33" t="n"/>
      <c r="H546" s="20" t="str">
        <f>IF(AND(ISNUMBER(E546),ISNUMBER(F546)),E546*F546,"")</f>
        <v/>
      </c>
      <c r="I546" s="38" t="str">
        <f>IF(A546="","",IFERROR(IF(N(INDEX('交易记录'!$G$5:$G$304,MATCH(A546,'交易记录'!$A$5:$A$304,0)))&gt;0,INDEX('交易记录'!$G$5:$G$304,MATCH(A546,'交易记录'!$A$5:$A$304,0)),1),1))</f>
        <v/>
      </c>
      <c r="J546" s="41" t="str">
        <f>IF(ISNUMBER(H546),ROUND('参数'!$C$11+H546*I546*'参数'!$C$12+F546*'参数'!$C$13,2),"")</f>
        <v/>
      </c>
      <c r="K546" s="22" t="n"/>
      <c r="L546" s="20" t="str">
        <f>IF(ISNUMBER(K546),K546,IF(ISNUMBER(H546),J546,""))</f>
        <v/>
      </c>
      <c r="M546" s="46" t="str">
        <f>IF(AND(ISNUMBER(E546),ISNUMBER(G546),ISNUMBER(F546)),(E546-G546)*IF(D546="卖",-1,1)*F546*I546,"")</f>
        <v/>
      </c>
      <c r="N546" s="38" t="str">
        <f>IF(A546="","",IFERROR(T(INDEX('交易记录'!$C$5:$C$304,MATCH(A546,'交易记录'!$A$5:$A$304,0))),"编号没找到"))</f>
        <v/>
      </c>
      <c r="O546" s="31" t="n"/>
    </row>
    <row r="547">
      <c r="A547" s="29" t="n"/>
      <c r="B547" s="30" t="n"/>
      <c r="C547" s="27" t="n"/>
      <c r="D547" s="32" t="n"/>
      <c r="E547" s="33" t="n"/>
      <c r="F547" s="36" t="n"/>
      <c r="G547" s="33" t="n"/>
      <c r="H547" s="20" t="str">
        <f>IF(AND(ISNUMBER(E547),ISNUMBER(F547)),E547*F547,"")</f>
        <v/>
      </c>
      <c r="I547" s="38" t="str">
        <f>IF(A547="","",IFERROR(IF(N(INDEX('交易记录'!$G$5:$G$304,MATCH(A547,'交易记录'!$A$5:$A$304,0)))&gt;0,INDEX('交易记录'!$G$5:$G$304,MATCH(A547,'交易记录'!$A$5:$A$304,0)),1),1))</f>
        <v/>
      </c>
      <c r="J547" s="41" t="str">
        <f>IF(ISNUMBER(H547),ROUND('参数'!$C$11+H547*I547*'参数'!$C$12+F547*'参数'!$C$13,2),"")</f>
        <v/>
      </c>
      <c r="K547" s="22" t="n"/>
      <c r="L547" s="20" t="str">
        <f>IF(ISNUMBER(K547),K547,IF(ISNUMBER(H547),J547,""))</f>
        <v/>
      </c>
      <c r="M547" s="46" t="str">
        <f>IF(AND(ISNUMBER(E547),ISNUMBER(G547),ISNUMBER(F547)),(E547-G547)*IF(D547="卖",-1,1)*F547*I547,"")</f>
        <v/>
      </c>
      <c r="N547" s="38" t="str">
        <f>IF(A547="","",IFERROR(T(INDEX('交易记录'!$C$5:$C$304,MATCH(A547,'交易记录'!$A$5:$A$304,0))),"编号没找到"))</f>
        <v/>
      </c>
      <c r="O547" s="31" t="n"/>
    </row>
    <row r="548">
      <c r="A548" s="29" t="n"/>
      <c r="B548" s="30" t="n"/>
      <c r="C548" s="27" t="n"/>
      <c r="D548" s="32" t="n"/>
      <c r="E548" s="33" t="n"/>
      <c r="F548" s="36" t="n"/>
      <c r="G548" s="33" t="n"/>
      <c r="H548" s="20" t="str">
        <f>IF(AND(ISNUMBER(E548),ISNUMBER(F548)),E548*F548,"")</f>
        <v/>
      </c>
      <c r="I548" s="38" t="str">
        <f>IF(A548="","",IFERROR(IF(N(INDEX('交易记录'!$G$5:$G$304,MATCH(A548,'交易记录'!$A$5:$A$304,0)))&gt;0,INDEX('交易记录'!$G$5:$G$304,MATCH(A548,'交易记录'!$A$5:$A$304,0)),1),1))</f>
        <v/>
      </c>
      <c r="J548" s="41" t="str">
        <f>IF(ISNUMBER(H548),ROUND('参数'!$C$11+H548*I548*'参数'!$C$12+F548*'参数'!$C$13,2),"")</f>
        <v/>
      </c>
      <c r="K548" s="22" t="n"/>
      <c r="L548" s="20" t="str">
        <f>IF(ISNUMBER(K548),K548,IF(ISNUMBER(H548),J548,""))</f>
        <v/>
      </c>
      <c r="M548" s="46" t="str">
        <f>IF(AND(ISNUMBER(E548),ISNUMBER(G548),ISNUMBER(F548)),(E548-G548)*IF(D548="卖",-1,1)*F548*I548,"")</f>
        <v/>
      </c>
      <c r="N548" s="38" t="str">
        <f>IF(A548="","",IFERROR(T(INDEX('交易记录'!$C$5:$C$304,MATCH(A548,'交易记录'!$A$5:$A$304,0))),"编号没找到"))</f>
        <v/>
      </c>
      <c r="O548" s="31" t="n"/>
    </row>
    <row r="549">
      <c r="A549" s="29" t="n"/>
      <c r="B549" s="30" t="n"/>
      <c r="C549" s="27" t="n"/>
      <c r="D549" s="32" t="n"/>
      <c r="E549" s="33" t="n"/>
      <c r="F549" s="36" t="n"/>
      <c r="G549" s="33" t="n"/>
      <c r="H549" s="20" t="str">
        <f>IF(AND(ISNUMBER(E549),ISNUMBER(F549)),E549*F549,"")</f>
        <v/>
      </c>
      <c r="I549" s="38" t="str">
        <f>IF(A549="","",IFERROR(IF(N(INDEX('交易记录'!$G$5:$G$304,MATCH(A549,'交易记录'!$A$5:$A$304,0)))&gt;0,INDEX('交易记录'!$G$5:$G$304,MATCH(A549,'交易记录'!$A$5:$A$304,0)),1),1))</f>
        <v/>
      </c>
      <c r="J549" s="41" t="str">
        <f>IF(ISNUMBER(H549),ROUND('参数'!$C$11+H549*I549*'参数'!$C$12+F549*'参数'!$C$13,2),"")</f>
        <v/>
      </c>
      <c r="K549" s="22" t="n"/>
      <c r="L549" s="20" t="str">
        <f>IF(ISNUMBER(K549),K549,IF(ISNUMBER(H549),J549,""))</f>
        <v/>
      </c>
      <c r="M549" s="46" t="str">
        <f>IF(AND(ISNUMBER(E549),ISNUMBER(G549),ISNUMBER(F549)),(E549-G549)*IF(D549="卖",-1,1)*F549*I549,"")</f>
        <v/>
      </c>
      <c r="N549" s="38" t="str">
        <f>IF(A549="","",IFERROR(T(INDEX('交易记录'!$C$5:$C$304,MATCH(A549,'交易记录'!$A$5:$A$304,0))),"编号没找到"))</f>
        <v/>
      </c>
      <c r="O549" s="31" t="n"/>
    </row>
    <row r="550">
      <c r="A550" s="29" t="n"/>
      <c r="B550" s="30" t="n"/>
      <c r="C550" s="27" t="n"/>
      <c r="D550" s="32" t="n"/>
      <c r="E550" s="33" t="n"/>
      <c r="F550" s="36" t="n"/>
      <c r="G550" s="33" t="n"/>
      <c r="H550" s="20" t="str">
        <f>IF(AND(ISNUMBER(E550),ISNUMBER(F550)),E550*F550,"")</f>
        <v/>
      </c>
      <c r="I550" s="38" t="str">
        <f>IF(A550="","",IFERROR(IF(N(INDEX('交易记录'!$G$5:$G$304,MATCH(A550,'交易记录'!$A$5:$A$304,0)))&gt;0,INDEX('交易记录'!$G$5:$G$304,MATCH(A550,'交易记录'!$A$5:$A$304,0)),1),1))</f>
        <v/>
      </c>
      <c r="J550" s="41" t="str">
        <f>IF(ISNUMBER(H550),ROUND('参数'!$C$11+H550*I550*'参数'!$C$12+F550*'参数'!$C$13,2),"")</f>
        <v/>
      </c>
      <c r="K550" s="22" t="n"/>
      <c r="L550" s="20" t="str">
        <f>IF(ISNUMBER(K550),K550,IF(ISNUMBER(H550),J550,""))</f>
        <v/>
      </c>
      <c r="M550" s="46" t="str">
        <f>IF(AND(ISNUMBER(E550),ISNUMBER(G550),ISNUMBER(F550)),(E550-G550)*IF(D550="卖",-1,1)*F550*I550,"")</f>
        <v/>
      </c>
      <c r="N550" s="38" t="str">
        <f>IF(A550="","",IFERROR(T(INDEX('交易记录'!$C$5:$C$304,MATCH(A550,'交易记录'!$A$5:$A$304,0))),"编号没找到"))</f>
        <v/>
      </c>
      <c r="O550" s="31" t="n"/>
    </row>
    <row r="551">
      <c r="A551" s="29" t="n"/>
      <c r="B551" s="30" t="n"/>
      <c r="C551" s="27" t="n"/>
      <c r="D551" s="32" t="n"/>
      <c r="E551" s="33" t="n"/>
      <c r="F551" s="36" t="n"/>
      <c r="G551" s="33" t="n"/>
      <c r="H551" s="20" t="str">
        <f>IF(AND(ISNUMBER(E551),ISNUMBER(F551)),E551*F551,"")</f>
        <v/>
      </c>
      <c r="I551" s="38" t="str">
        <f>IF(A551="","",IFERROR(IF(N(INDEX('交易记录'!$G$5:$G$304,MATCH(A551,'交易记录'!$A$5:$A$304,0)))&gt;0,INDEX('交易记录'!$G$5:$G$304,MATCH(A551,'交易记录'!$A$5:$A$304,0)),1),1))</f>
        <v/>
      </c>
      <c r="J551" s="41" t="str">
        <f>IF(ISNUMBER(H551),ROUND('参数'!$C$11+H551*I551*'参数'!$C$12+F551*'参数'!$C$13,2),"")</f>
        <v/>
      </c>
      <c r="K551" s="22" t="n"/>
      <c r="L551" s="20" t="str">
        <f>IF(ISNUMBER(K551),K551,IF(ISNUMBER(H551),J551,""))</f>
        <v/>
      </c>
      <c r="M551" s="46" t="str">
        <f>IF(AND(ISNUMBER(E551),ISNUMBER(G551),ISNUMBER(F551)),(E551-G551)*IF(D551="卖",-1,1)*F551*I551,"")</f>
        <v/>
      </c>
      <c r="N551" s="38" t="str">
        <f>IF(A551="","",IFERROR(T(INDEX('交易记录'!$C$5:$C$304,MATCH(A551,'交易记录'!$A$5:$A$304,0))),"编号没找到"))</f>
        <v/>
      </c>
      <c r="O551" s="31" t="n"/>
    </row>
    <row r="552">
      <c r="A552" s="29" t="n"/>
      <c r="B552" s="30" t="n"/>
      <c r="C552" s="27" t="n"/>
      <c r="D552" s="32" t="n"/>
      <c r="E552" s="33" t="n"/>
      <c r="F552" s="36" t="n"/>
      <c r="G552" s="33" t="n"/>
      <c r="H552" s="20" t="str">
        <f>IF(AND(ISNUMBER(E552),ISNUMBER(F552)),E552*F552,"")</f>
        <v/>
      </c>
      <c r="I552" s="38" t="str">
        <f>IF(A552="","",IFERROR(IF(N(INDEX('交易记录'!$G$5:$G$304,MATCH(A552,'交易记录'!$A$5:$A$304,0)))&gt;0,INDEX('交易记录'!$G$5:$G$304,MATCH(A552,'交易记录'!$A$5:$A$304,0)),1),1))</f>
        <v/>
      </c>
      <c r="J552" s="41" t="str">
        <f>IF(ISNUMBER(H552),ROUND('参数'!$C$11+H552*I552*'参数'!$C$12+F552*'参数'!$C$13,2),"")</f>
        <v/>
      </c>
      <c r="K552" s="22" t="n"/>
      <c r="L552" s="20" t="str">
        <f>IF(ISNUMBER(K552),K552,IF(ISNUMBER(H552),J552,""))</f>
        <v/>
      </c>
      <c r="M552" s="46" t="str">
        <f>IF(AND(ISNUMBER(E552),ISNUMBER(G552),ISNUMBER(F552)),(E552-G552)*IF(D552="卖",-1,1)*F552*I552,"")</f>
        <v/>
      </c>
      <c r="N552" s="38" t="str">
        <f>IF(A552="","",IFERROR(T(INDEX('交易记录'!$C$5:$C$304,MATCH(A552,'交易记录'!$A$5:$A$304,0))),"编号没找到"))</f>
        <v/>
      </c>
      <c r="O552" s="31" t="n"/>
    </row>
    <row r="553">
      <c r="A553" s="29" t="n"/>
      <c r="B553" s="30" t="n"/>
      <c r="C553" s="27" t="n"/>
      <c r="D553" s="32" t="n"/>
      <c r="E553" s="33" t="n"/>
      <c r="F553" s="36" t="n"/>
      <c r="G553" s="33" t="n"/>
      <c r="H553" s="20" t="str">
        <f>IF(AND(ISNUMBER(E553),ISNUMBER(F553)),E553*F553,"")</f>
        <v/>
      </c>
      <c r="I553" s="38" t="str">
        <f>IF(A553="","",IFERROR(IF(N(INDEX('交易记录'!$G$5:$G$304,MATCH(A553,'交易记录'!$A$5:$A$304,0)))&gt;0,INDEX('交易记录'!$G$5:$G$304,MATCH(A553,'交易记录'!$A$5:$A$304,0)),1),1))</f>
        <v/>
      </c>
      <c r="J553" s="41" t="str">
        <f>IF(ISNUMBER(H553),ROUND('参数'!$C$11+H553*I553*'参数'!$C$12+F553*'参数'!$C$13,2),"")</f>
        <v/>
      </c>
      <c r="K553" s="22" t="n"/>
      <c r="L553" s="20" t="str">
        <f>IF(ISNUMBER(K553),K553,IF(ISNUMBER(H553),J553,""))</f>
        <v/>
      </c>
      <c r="M553" s="46" t="str">
        <f>IF(AND(ISNUMBER(E553),ISNUMBER(G553),ISNUMBER(F553)),(E553-G553)*IF(D553="卖",-1,1)*F553*I553,"")</f>
        <v/>
      </c>
      <c r="N553" s="38" t="str">
        <f>IF(A553="","",IFERROR(T(INDEX('交易记录'!$C$5:$C$304,MATCH(A553,'交易记录'!$A$5:$A$304,0))),"编号没找到"))</f>
        <v/>
      </c>
      <c r="O553" s="31" t="n"/>
    </row>
    <row r="554">
      <c r="A554" s="29" t="n"/>
      <c r="B554" s="30" t="n"/>
      <c r="C554" s="27" t="n"/>
      <c r="D554" s="32" t="n"/>
      <c r="E554" s="33" t="n"/>
      <c r="F554" s="36" t="n"/>
      <c r="G554" s="33" t="n"/>
      <c r="H554" s="20" t="str">
        <f>IF(AND(ISNUMBER(E554),ISNUMBER(F554)),E554*F554,"")</f>
        <v/>
      </c>
      <c r="I554" s="38" t="str">
        <f>IF(A554="","",IFERROR(IF(N(INDEX('交易记录'!$G$5:$G$304,MATCH(A554,'交易记录'!$A$5:$A$304,0)))&gt;0,INDEX('交易记录'!$G$5:$G$304,MATCH(A554,'交易记录'!$A$5:$A$304,0)),1),1))</f>
        <v/>
      </c>
      <c r="J554" s="41" t="str">
        <f>IF(ISNUMBER(H554),ROUND('参数'!$C$11+H554*I554*'参数'!$C$12+F554*'参数'!$C$13,2),"")</f>
        <v/>
      </c>
      <c r="K554" s="22" t="n"/>
      <c r="L554" s="20" t="str">
        <f>IF(ISNUMBER(K554),K554,IF(ISNUMBER(H554),J554,""))</f>
        <v/>
      </c>
      <c r="M554" s="46" t="str">
        <f>IF(AND(ISNUMBER(E554),ISNUMBER(G554),ISNUMBER(F554)),(E554-G554)*IF(D554="卖",-1,1)*F554*I554,"")</f>
        <v/>
      </c>
      <c r="N554" s="38" t="str">
        <f>IF(A554="","",IFERROR(T(INDEX('交易记录'!$C$5:$C$304,MATCH(A554,'交易记录'!$A$5:$A$304,0))),"编号没找到"))</f>
        <v/>
      </c>
      <c r="O554" s="31" t="n"/>
    </row>
    <row r="555">
      <c r="A555" s="29" t="n"/>
      <c r="B555" s="30" t="n"/>
      <c r="C555" s="27" t="n"/>
      <c r="D555" s="32" t="n"/>
      <c r="E555" s="33" t="n"/>
      <c r="F555" s="36" t="n"/>
      <c r="G555" s="33" t="n"/>
      <c r="H555" s="20" t="str">
        <f>IF(AND(ISNUMBER(E555),ISNUMBER(F555)),E555*F555,"")</f>
        <v/>
      </c>
      <c r="I555" s="38" t="str">
        <f>IF(A555="","",IFERROR(IF(N(INDEX('交易记录'!$G$5:$G$304,MATCH(A555,'交易记录'!$A$5:$A$304,0)))&gt;0,INDEX('交易记录'!$G$5:$G$304,MATCH(A555,'交易记录'!$A$5:$A$304,0)),1),1))</f>
        <v/>
      </c>
      <c r="J555" s="41" t="str">
        <f>IF(ISNUMBER(H555),ROUND('参数'!$C$11+H555*I555*'参数'!$C$12+F555*'参数'!$C$13,2),"")</f>
        <v/>
      </c>
      <c r="K555" s="22" t="n"/>
      <c r="L555" s="20" t="str">
        <f>IF(ISNUMBER(K555),K555,IF(ISNUMBER(H555),J555,""))</f>
        <v/>
      </c>
      <c r="M555" s="46" t="str">
        <f>IF(AND(ISNUMBER(E555),ISNUMBER(G555),ISNUMBER(F555)),(E555-G555)*IF(D555="卖",-1,1)*F555*I555,"")</f>
        <v/>
      </c>
      <c r="N555" s="38" t="str">
        <f>IF(A555="","",IFERROR(T(INDEX('交易记录'!$C$5:$C$304,MATCH(A555,'交易记录'!$A$5:$A$304,0))),"编号没找到"))</f>
        <v/>
      </c>
      <c r="O555" s="31" t="n"/>
    </row>
    <row r="556">
      <c r="A556" s="29" t="n"/>
      <c r="B556" s="30" t="n"/>
      <c r="C556" s="27" t="n"/>
      <c r="D556" s="32" t="n"/>
      <c r="E556" s="33" t="n"/>
      <c r="F556" s="36" t="n"/>
      <c r="G556" s="33" t="n"/>
      <c r="H556" s="20" t="str">
        <f>IF(AND(ISNUMBER(E556),ISNUMBER(F556)),E556*F556,"")</f>
        <v/>
      </c>
      <c r="I556" s="38" t="str">
        <f>IF(A556="","",IFERROR(IF(N(INDEX('交易记录'!$G$5:$G$304,MATCH(A556,'交易记录'!$A$5:$A$304,0)))&gt;0,INDEX('交易记录'!$G$5:$G$304,MATCH(A556,'交易记录'!$A$5:$A$304,0)),1),1))</f>
        <v/>
      </c>
      <c r="J556" s="41" t="str">
        <f>IF(ISNUMBER(H556),ROUND('参数'!$C$11+H556*I556*'参数'!$C$12+F556*'参数'!$C$13,2),"")</f>
        <v/>
      </c>
      <c r="K556" s="22" t="n"/>
      <c r="L556" s="20" t="str">
        <f>IF(ISNUMBER(K556),K556,IF(ISNUMBER(H556),J556,""))</f>
        <v/>
      </c>
      <c r="M556" s="46" t="str">
        <f>IF(AND(ISNUMBER(E556),ISNUMBER(G556),ISNUMBER(F556)),(E556-G556)*IF(D556="卖",-1,1)*F556*I556,"")</f>
        <v/>
      </c>
      <c r="N556" s="38" t="str">
        <f>IF(A556="","",IFERROR(T(INDEX('交易记录'!$C$5:$C$304,MATCH(A556,'交易记录'!$A$5:$A$304,0))),"编号没找到"))</f>
        <v/>
      </c>
      <c r="O556" s="31" t="n"/>
    </row>
    <row r="557">
      <c r="A557" s="29" t="n"/>
      <c r="B557" s="30" t="n"/>
      <c r="C557" s="27" t="n"/>
      <c r="D557" s="32" t="n"/>
      <c r="E557" s="33" t="n"/>
      <c r="F557" s="36" t="n"/>
      <c r="G557" s="33" t="n"/>
      <c r="H557" s="20" t="str">
        <f>IF(AND(ISNUMBER(E557),ISNUMBER(F557)),E557*F557,"")</f>
        <v/>
      </c>
      <c r="I557" s="38" t="str">
        <f>IF(A557="","",IFERROR(IF(N(INDEX('交易记录'!$G$5:$G$304,MATCH(A557,'交易记录'!$A$5:$A$304,0)))&gt;0,INDEX('交易记录'!$G$5:$G$304,MATCH(A557,'交易记录'!$A$5:$A$304,0)),1),1))</f>
        <v/>
      </c>
      <c r="J557" s="41" t="str">
        <f>IF(ISNUMBER(H557),ROUND('参数'!$C$11+H557*I557*'参数'!$C$12+F557*'参数'!$C$13,2),"")</f>
        <v/>
      </c>
      <c r="K557" s="22" t="n"/>
      <c r="L557" s="20" t="str">
        <f>IF(ISNUMBER(K557),K557,IF(ISNUMBER(H557),J557,""))</f>
        <v/>
      </c>
      <c r="M557" s="46" t="str">
        <f>IF(AND(ISNUMBER(E557),ISNUMBER(G557),ISNUMBER(F557)),(E557-G557)*IF(D557="卖",-1,1)*F557*I557,"")</f>
        <v/>
      </c>
      <c r="N557" s="38" t="str">
        <f>IF(A557="","",IFERROR(T(INDEX('交易记录'!$C$5:$C$304,MATCH(A557,'交易记录'!$A$5:$A$304,0))),"编号没找到"))</f>
        <v/>
      </c>
      <c r="O557" s="31" t="n"/>
    </row>
    <row r="558">
      <c r="A558" s="29" t="n"/>
      <c r="B558" s="30" t="n"/>
      <c r="C558" s="27" t="n"/>
      <c r="D558" s="32" t="n"/>
      <c r="E558" s="33" t="n"/>
      <c r="F558" s="36" t="n"/>
      <c r="G558" s="33" t="n"/>
      <c r="H558" s="20" t="str">
        <f>IF(AND(ISNUMBER(E558),ISNUMBER(F558)),E558*F558,"")</f>
        <v/>
      </c>
      <c r="I558" s="38" t="str">
        <f>IF(A558="","",IFERROR(IF(N(INDEX('交易记录'!$G$5:$G$304,MATCH(A558,'交易记录'!$A$5:$A$304,0)))&gt;0,INDEX('交易记录'!$G$5:$G$304,MATCH(A558,'交易记录'!$A$5:$A$304,0)),1),1))</f>
        <v/>
      </c>
      <c r="J558" s="41" t="str">
        <f>IF(ISNUMBER(H558),ROUND('参数'!$C$11+H558*I558*'参数'!$C$12+F558*'参数'!$C$13,2),"")</f>
        <v/>
      </c>
      <c r="K558" s="22" t="n"/>
      <c r="L558" s="20" t="str">
        <f>IF(ISNUMBER(K558),K558,IF(ISNUMBER(H558),J558,""))</f>
        <v/>
      </c>
      <c r="M558" s="46" t="str">
        <f>IF(AND(ISNUMBER(E558),ISNUMBER(G558),ISNUMBER(F558)),(E558-G558)*IF(D558="卖",-1,1)*F558*I558,"")</f>
        <v/>
      </c>
      <c r="N558" s="38" t="str">
        <f>IF(A558="","",IFERROR(T(INDEX('交易记录'!$C$5:$C$304,MATCH(A558,'交易记录'!$A$5:$A$304,0))),"编号没找到"))</f>
        <v/>
      </c>
      <c r="O558" s="31" t="n"/>
    </row>
    <row r="559">
      <c r="A559" s="29" t="n"/>
      <c r="B559" s="30" t="n"/>
      <c r="C559" s="27" t="n"/>
      <c r="D559" s="32" t="n"/>
      <c r="E559" s="33" t="n"/>
      <c r="F559" s="36" t="n"/>
      <c r="G559" s="33" t="n"/>
      <c r="H559" s="20" t="str">
        <f>IF(AND(ISNUMBER(E559),ISNUMBER(F559)),E559*F559,"")</f>
        <v/>
      </c>
      <c r="I559" s="38" t="str">
        <f>IF(A559="","",IFERROR(IF(N(INDEX('交易记录'!$G$5:$G$304,MATCH(A559,'交易记录'!$A$5:$A$304,0)))&gt;0,INDEX('交易记录'!$G$5:$G$304,MATCH(A559,'交易记录'!$A$5:$A$304,0)),1),1))</f>
        <v/>
      </c>
      <c r="J559" s="41" t="str">
        <f>IF(ISNUMBER(H559),ROUND('参数'!$C$11+H559*I559*'参数'!$C$12+F559*'参数'!$C$13,2),"")</f>
        <v/>
      </c>
      <c r="K559" s="22" t="n"/>
      <c r="L559" s="20" t="str">
        <f>IF(ISNUMBER(K559),K559,IF(ISNUMBER(H559),J559,""))</f>
        <v/>
      </c>
      <c r="M559" s="46" t="str">
        <f>IF(AND(ISNUMBER(E559),ISNUMBER(G559),ISNUMBER(F559)),(E559-G559)*IF(D559="卖",-1,1)*F559*I559,"")</f>
        <v/>
      </c>
      <c r="N559" s="38" t="str">
        <f>IF(A559="","",IFERROR(T(INDEX('交易记录'!$C$5:$C$304,MATCH(A559,'交易记录'!$A$5:$A$304,0))),"编号没找到"))</f>
        <v/>
      </c>
      <c r="O559" s="31" t="n"/>
    </row>
    <row r="560">
      <c r="A560" s="29" t="n"/>
      <c r="B560" s="30" t="n"/>
      <c r="C560" s="27" t="n"/>
      <c r="D560" s="32" t="n"/>
      <c r="E560" s="33" t="n"/>
      <c r="F560" s="36" t="n"/>
      <c r="G560" s="33" t="n"/>
      <c r="H560" s="20" t="str">
        <f>IF(AND(ISNUMBER(E560),ISNUMBER(F560)),E560*F560,"")</f>
        <v/>
      </c>
      <c r="I560" s="38" t="str">
        <f>IF(A560="","",IFERROR(IF(N(INDEX('交易记录'!$G$5:$G$304,MATCH(A560,'交易记录'!$A$5:$A$304,0)))&gt;0,INDEX('交易记录'!$G$5:$G$304,MATCH(A560,'交易记录'!$A$5:$A$304,0)),1),1))</f>
        <v/>
      </c>
      <c r="J560" s="41" t="str">
        <f>IF(ISNUMBER(H560),ROUND('参数'!$C$11+H560*I560*'参数'!$C$12+F560*'参数'!$C$13,2),"")</f>
        <v/>
      </c>
      <c r="K560" s="22" t="n"/>
      <c r="L560" s="20" t="str">
        <f>IF(ISNUMBER(K560),K560,IF(ISNUMBER(H560),J560,""))</f>
        <v/>
      </c>
      <c r="M560" s="46" t="str">
        <f>IF(AND(ISNUMBER(E560),ISNUMBER(G560),ISNUMBER(F560)),(E560-G560)*IF(D560="卖",-1,1)*F560*I560,"")</f>
        <v/>
      </c>
      <c r="N560" s="38" t="str">
        <f>IF(A560="","",IFERROR(T(INDEX('交易记录'!$C$5:$C$304,MATCH(A560,'交易记录'!$A$5:$A$304,0))),"编号没找到"))</f>
        <v/>
      </c>
      <c r="O560" s="31" t="n"/>
    </row>
    <row r="561">
      <c r="A561" s="29" t="n"/>
      <c r="B561" s="30" t="n"/>
      <c r="C561" s="27" t="n"/>
      <c r="D561" s="32" t="n"/>
      <c r="E561" s="33" t="n"/>
      <c r="F561" s="36" t="n"/>
      <c r="G561" s="33" t="n"/>
      <c r="H561" s="20" t="str">
        <f>IF(AND(ISNUMBER(E561),ISNUMBER(F561)),E561*F561,"")</f>
        <v/>
      </c>
      <c r="I561" s="38" t="str">
        <f>IF(A561="","",IFERROR(IF(N(INDEX('交易记录'!$G$5:$G$304,MATCH(A561,'交易记录'!$A$5:$A$304,0)))&gt;0,INDEX('交易记录'!$G$5:$G$304,MATCH(A561,'交易记录'!$A$5:$A$304,0)),1),1))</f>
        <v/>
      </c>
      <c r="J561" s="41" t="str">
        <f>IF(ISNUMBER(H561),ROUND('参数'!$C$11+H561*I561*'参数'!$C$12+F561*'参数'!$C$13,2),"")</f>
        <v/>
      </c>
      <c r="K561" s="22" t="n"/>
      <c r="L561" s="20" t="str">
        <f>IF(ISNUMBER(K561),K561,IF(ISNUMBER(H561),J561,""))</f>
        <v/>
      </c>
      <c r="M561" s="46" t="str">
        <f>IF(AND(ISNUMBER(E561),ISNUMBER(G561),ISNUMBER(F561)),(E561-G561)*IF(D561="卖",-1,1)*F561*I561,"")</f>
        <v/>
      </c>
      <c r="N561" s="38" t="str">
        <f>IF(A561="","",IFERROR(T(INDEX('交易记录'!$C$5:$C$304,MATCH(A561,'交易记录'!$A$5:$A$304,0))),"编号没找到"))</f>
        <v/>
      </c>
      <c r="O561" s="31" t="n"/>
    </row>
    <row r="562">
      <c r="A562" s="29" t="n"/>
      <c r="B562" s="30" t="n"/>
      <c r="C562" s="27" t="n"/>
      <c r="D562" s="32" t="n"/>
      <c r="E562" s="33" t="n"/>
      <c r="F562" s="36" t="n"/>
      <c r="G562" s="33" t="n"/>
      <c r="H562" s="20" t="str">
        <f>IF(AND(ISNUMBER(E562),ISNUMBER(F562)),E562*F562,"")</f>
        <v/>
      </c>
      <c r="I562" s="38" t="str">
        <f>IF(A562="","",IFERROR(IF(N(INDEX('交易记录'!$G$5:$G$304,MATCH(A562,'交易记录'!$A$5:$A$304,0)))&gt;0,INDEX('交易记录'!$G$5:$G$304,MATCH(A562,'交易记录'!$A$5:$A$304,0)),1),1))</f>
        <v/>
      </c>
      <c r="J562" s="41" t="str">
        <f>IF(ISNUMBER(H562),ROUND('参数'!$C$11+H562*I562*'参数'!$C$12+F562*'参数'!$C$13,2),"")</f>
        <v/>
      </c>
      <c r="K562" s="22" t="n"/>
      <c r="L562" s="20" t="str">
        <f>IF(ISNUMBER(K562),K562,IF(ISNUMBER(H562),J562,""))</f>
        <v/>
      </c>
      <c r="M562" s="46" t="str">
        <f>IF(AND(ISNUMBER(E562),ISNUMBER(G562),ISNUMBER(F562)),(E562-G562)*IF(D562="卖",-1,1)*F562*I562,"")</f>
        <v/>
      </c>
      <c r="N562" s="38" t="str">
        <f>IF(A562="","",IFERROR(T(INDEX('交易记录'!$C$5:$C$304,MATCH(A562,'交易记录'!$A$5:$A$304,0))),"编号没找到"))</f>
        <v/>
      </c>
      <c r="O562" s="31" t="n"/>
    </row>
    <row r="563">
      <c r="A563" s="29" t="n"/>
      <c r="B563" s="30" t="n"/>
      <c r="C563" s="27" t="n"/>
      <c r="D563" s="32" t="n"/>
      <c r="E563" s="33" t="n"/>
      <c r="F563" s="36" t="n"/>
      <c r="G563" s="33" t="n"/>
      <c r="H563" s="20" t="str">
        <f>IF(AND(ISNUMBER(E563),ISNUMBER(F563)),E563*F563,"")</f>
        <v/>
      </c>
      <c r="I563" s="38" t="str">
        <f>IF(A563="","",IFERROR(IF(N(INDEX('交易记录'!$G$5:$G$304,MATCH(A563,'交易记录'!$A$5:$A$304,0)))&gt;0,INDEX('交易记录'!$G$5:$G$304,MATCH(A563,'交易记录'!$A$5:$A$304,0)),1),1))</f>
        <v/>
      </c>
      <c r="J563" s="41" t="str">
        <f>IF(ISNUMBER(H563),ROUND('参数'!$C$11+H563*I563*'参数'!$C$12+F563*'参数'!$C$13,2),"")</f>
        <v/>
      </c>
      <c r="K563" s="22" t="n"/>
      <c r="L563" s="20" t="str">
        <f>IF(ISNUMBER(K563),K563,IF(ISNUMBER(H563),J563,""))</f>
        <v/>
      </c>
      <c r="M563" s="46" t="str">
        <f>IF(AND(ISNUMBER(E563),ISNUMBER(G563),ISNUMBER(F563)),(E563-G563)*IF(D563="卖",-1,1)*F563*I563,"")</f>
        <v/>
      </c>
      <c r="N563" s="38" t="str">
        <f>IF(A563="","",IFERROR(T(INDEX('交易记录'!$C$5:$C$304,MATCH(A563,'交易记录'!$A$5:$A$304,0))),"编号没找到"))</f>
        <v/>
      </c>
      <c r="O563" s="31" t="n"/>
    </row>
    <row r="564">
      <c r="A564" s="29" t="n"/>
      <c r="B564" s="30" t="n"/>
      <c r="C564" s="27" t="n"/>
      <c r="D564" s="32" t="n"/>
      <c r="E564" s="33" t="n"/>
      <c r="F564" s="36" t="n"/>
      <c r="G564" s="33" t="n"/>
      <c r="H564" s="20" t="str">
        <f>IF(AND(ISNUMBER(E564),ISNUMBER(F564)),E564*F564,"")</f>
        <v/>
      </c>
      <c r="I564" s="38" t="str">
        <f>IF(A564="","",IFERROR(IF(N(INDEX('交易记录'!$G$5:$G$304,MATCH(A564,'交易记录'!$A$5:$A$304,0)))&gt;0,INDEX('交易记录'!$G$5:$G$304,MATCH(A564,'交易记录'!$A$5:$A$304,0)),1),1))</f>
        <v/>
      </c>
      <c r="J564" s="41" t="str">
        <f>IF(ISNUMBER(H564),ROUND('参数'!$C$11+H564*I564*'参数'!$C$12+F564*'参数'!$C$13,2),"")</f>
        <v/>
      </c>
      <c r="K564" s="22" t="n"/>
      <c r="L564" s="20" t="str">
        <f>IF(ISNUMBER(K564),K564,IF(ISNUMBER(H564),J564,""))</f>
        <v/>
      </c>
      <c r="M564" s="46" t="str">
        <f>IF(AND(ISNUMBER(E564),ISNUMBER(G564),ISNUMBER(F564)),(E564-G564)*IF(D564="卖",-1,1)*F564*I564,"")</f>
        <v/>
      </c>
      <c r="N564" s="38" t="str">
        <f>IF(A564="","",IFERROR(T(INDEX('交易记录'!$C$5:$C$304,MATCH(A564,'交易记录'!$A$5:$A$304,0))),"编号没找到"))</f>
        <v/>
      </c>
      <c r="O564" s="31" t="n"/>
    </row>
    <row r="565">
      <c r="A565" s="29" t="n"/>
      <c r="B565" s="30" t="n"/>
      <c r="C565" s="27" t="n"/>
      <c r="D565" s="32" t="n"/>
      <c r="E565" s="33" t="n"/>
      <c r="F565" s="36" t="n"/>
      <c r="G565" s="33" t="n"/>
      <c r="H565" s="20" t="str">
        <f>IF(AND(ISNUMBER(E565),ISNUMBER(F565)),E565*F565,"")</f>
        <v/>
      </c>
      <c r="I565" s="38" t="str">
        <f>IF(A565="","",IFERROR(IF(N(INDEX('交易记录'!$G$5:$G$304,MATCH(A565,'交易记录'!$A$5:$A$304,0)))&gt;0,INDEX('交易记录'!$G$5:$G$304,MATCH(A565,'交易记录'!$A$5:$A$304,0)),1),1))</f>
        <v/>
      </c>
      <c r="J565" s="41" t="str">
        <f>IF(ISNUMBER(H565),ROUND('参数'!$C$11+H565*I565*'参数'!$C$12+F565*'参数'!$C$13,2),"")</f>
        <v/>
      </c>
      <c r="K565" s="22" t="n"/>
      <c r="L565" s="20" t="str">
        <f>IF(ISNUMBER(K565),K565,IF(ISNUMBER(H565),J565,""))</f>
        <v/>
      </c>
      <c r="M565" s="46" t="str">
        <f>IF(AND(ISNUMBER(E565),ISNUMBER(G565),ISNUMBER(F565)),(E565-G565)*IF(D565="卖",-1,1)*F565*I565,"")</f>
        <v/>
      </c>
      <c r="N565" s="38" t="str">
        <f>IF(A565="","",IFERROR(T(INDEX('交易记录'!$C$5:$C$304,MATCH(A565,'交易记录'!$A$5:$A$304,0))),"编号没找到"))</f>
        <v/>
      </c>
      <c r="O565" s="31" t="n"/>
    </row>
    <row r="566">
      <c r="A566" s="29" t="n"/>
      <c r="B566" s="30" t="n"/>
      <c r="C566" s="27" t="n"/>
      <c r="D566" s="32" t="n"/>
      <c r="E566" s="33" t="n"/>
      <c r="F566" s="36" t="n"/>
      <c r="G566" s="33" t="n"/>
      <c r="H566" s="20" t="str">
        <f>IF(AND(ISNUMBER(E566),ISNUMBER(F566)),E566*F566,"")</f>
        <v/>
      </c>
      <c r="I566" s="38" t="str">
        <f>IF(A566="","",IFERROR(IF(N(INDEX('交易记录'!$G$5:$G$304,MATCH(A566,'交易记录'!$A$5:$A$304,0)))&gt;0,INDEX('交易记录'!$G$5:$G$304,MATCH(A566,'交易记录'!$A$5:$A$304,0)),1),1))</f>
        <v/>
      </c>
      <c r="J566" s="41" t="str">
        <f>IF(ISNUMBER(H566),ROUND('参数'!$C$11+H566*I566*'参数'!$C$12+F566*'参数'!$C$13,2),"")</f>
        <v/>
      </c>
      <c r="K566" s="22" t="n"/>
      <c r="L566" s="20" t="str">
        <f>IF(ISNUMBER(K566),K566,IF(ISNUMBER(H566),J566,""))</f>
        <v/>
      </c>
      <c r="M566" s="46" t="str">
        <f>IF(AND(ISNUMBER(E566),ISNUMBER(G566),ISNUMBER(F566)),(E566-G566)*IF(D566="卖",-1,1)*F566*I566,"")</f>
        <v/>
      </c>
      <c r="N566" s="38" t="str">
        <f>IF(A566="","",IFERROR(T(INDEX('交易记录'!$C$5:$C$304,MATCH(A566,'交易记录'!$A$5:$A$304,0))),"编号没找到"))</f>
        <v/>
      </c>
      <c r="O566" s="31" t="n"/>
    </row>
    <row r="567">
      <c r="A567" s="29" t="n"/>
      <c r="B567" s="30" t="n"/>
      <c r="C567" s="27" t="n"/>
      <c r="D567" s="32" t="n"/>
      <c r="E567" s="33" t="n"/>
      <c r="F567" s="36" t="n"/>
      <c r="G567" s="33" t="n"/>
      <c r="H567" s="20" t="str">
        <f>IF(AND(ISNUMBER(E567),ISNUMBER(F567)),E567*F567,"")</f>
        <v/>
      </c>
      <c r="I567" s="38" t="str">
        <f>IF(A567="","",IFERROR(IF(N(INDEX('交易记录'!$G$5:$G$304,MATCH(A567,'交易记录'!$A$5:$A$304,0)))&gt;0,INDEX('交易记录'!$G$5:$G$304,MATCH(A567,'交易记录'!$A$5:$A$304,0)),1),1))</f>
        <v/>
      </c>
      <c r="J567" s="41" t="str">
        <f>IF(ISNUMBER(H567),ROUND('参数'!$C$11+H567*I567*'参数'!$C$12+F567*'参数'!$C$13,2),"")</f>
        <v/>
      </c>
      <c r="K567" s="22" t="n"/>
      <c r="L567" s="20" t="str">
        <f>IF(ISNUMBER(K567),K567,IF(ISNUMBER(H567),J567,""))</f>
        <v/>
      </c>
      <c r="M567" s="46" t="str">
        <f>IF(AND(ISNUMBER(E567),ISNUMBER(G567),ISNUMBER(F567)),(E567-G567)*IF(D567="卖",-1,1)*F567*I567,"")</f>
        <v/>
      </c>
      <c r="N567" s="38" t="str">
        <f>IF(A567="","",IFERROR(T(INDEX('交易记录'!$C$5:$C$304,MATCH(A567,'交易记录'!$A$5:$A$304,0))),"编号没找到"))</f>
        <v/>
      </c>
      <c r="O567" s="31" t="n"/>
    </row>
    <row r="568">
      <c r="A568" s="29" t="n"/>
      <c r="B568" s="30" t="n"/>
      <c r="C568" s="27" t="n"/>
      <c r="D568" s="32" t="n"/>
      <c r="E568" s="33" t="n"/>
      <c r="F568" s="36" t="n"/>
      <c r="G568" s="33" t="n"/>
      <c r="H568" s="20" t="str">
        <f>IF(AND(ISNUMBER(E568),ISNUMBER(F568)),E568*F568,"")</f>
        <v/>
      </c>
      <c r="I568" s="38" t="str">
        <f>IF(A568="","",IFERROR(IF(N(INDEX('交易记录'!$G$5:$G$304,MATCH(A568,'交易记录'!$A$5:$A$304,0)))&gt;0,INDEX('交易记录'!$G$5:$G$304,MATCH(A568,'交易记录'!$A$5:$A$304,0)),1),1))</f>
        <v/>
      </c>
      <c r="J568" s="41" t="str">
        <f>IF(ISNUMBER(H568),ROUND('参数'!$C$11+H568*I568*'参数'!$C$12+F568*'参数'!$C$13,2),"")</f>
        <v/>
      </c>
      <c r="K568" s="22" t="n"/>
      <c r="L568" s="20" t="str">
        <f>IF(ISNUMBER(K568),K568,IF(ISNUMBER(H568),J568,""))</f>
        <v/>
      </c>
      <c r="M568" s="46" t="str">
        <f>IF(AND(ISNUMBER(E568),ISNUMBER(G568),ISNUMBER(F568)),(E568-G568)*IF(D568="卖",-1,1)*F568*I568,"")</f>
        <v/>
      </c>
      <c r="N568" s="38" t="str">
        <f>IF(A568="","",IFERROR(T(INDEX('交易记录'!$C$5:$C$304,MATCH(A568,'交易记录'!$A$5:$A$304,0))),"编号没找到"))</f>
        <v/>
      </c>
      <c r="O568" s="31" t="n"/>
    </row>
    <row r="569">
      <c r="A569" s="29" t="n"/>
      <c r="B569" s="30" t="n"/>
      <c r="C569" s="27" t="n"/>
      <c r="D569" s="32" t="n"/>
      <c r="E569" s="33" t="n"/>
      <c r="F569" s="36" t="n"/>
      <c r="G569" s="33" t="n"/>
      <c r="H569" s="20" t="str">
        <f>IF(AND(ISNUMBER(E569),ISNUMBER(F569)),E569*F569,"")</f>
        <v/>
      </c>
      <c r="I569" s="38" t="str">
        <f>IF(A569="","",IFERROR(IF(N(INDEX('交易记录'!$G$5:$G$304,MATCH(A569,'交易记录'!$A$5:$A$304,0)))&gt;0,INDEX('交易记录'!$G$5:$G$304,MATCH(A569,'交易记录'!$A$5:$A$304,0)),1),1))</f>
        <v/>
      </c>
      <c r="J569" s="41" t="str">
        <f>IF(ISNUMBER(H569),ROUND('参数'!$C$11+H569*I569*'参数'!$C$12+F569*'参数'!$C$13,2),"")</f>
        <v/>
      </c>
      <c r="K569" s="22" t="n"/>
      <c r="L569" s="20" t="str">
        <f>IF(ISNUMBER(K569),K569,IF(ISNUMBER(H569),J569,""))</f>
        <v/>
      </c>
      <c r="M569" s="46" t="str">
        <f>IF(AND(ISNUMBER(E569),ISNUMBER(G569),ISNUMBER(F569)),(E569-G569)*IF(D569="卖",-1,1)*F569*I569,"")</f>
        <v/>
      </c>
      <c r="N569" s="38" t="str">
        <f>IF(A569="","",IFERROR(T(INDEX('交易记录'!$C$5:$C$304,MATCH(A569,'交易记录'!$A$5:$A$304,0))),"编号没找到"))</f>
        <v/>
      </c>
      <c r="O569" s="31" t="n"/>
    </row>
    <row r="570">
      <c r="A570" s="29" t="n"/>
      <c r="B570" s="30" t="n"/>
      <c r="C570" s="27" t="n"/>
      <c r="D570" s="32" t="n"/>
      <c r="E570" s="33" t="n"/>
      <c r="F570" s="36" t="n"/>
      <c r="G570" s="33" t="n"/>
      <c r="H570" s="20" t="str">
        <f>IF(AND(ISNUMBER(E570),ISNUMBER(F570)),E570*F570,"")</f>
        <v/>
      </c>
      <c r="I570" s="38" t="str">
        <f>IF(A570="","",IFERROR(IF(N(INDEX('交易记录'!$G$5:$G$304,MATCH(A570,'交易记录'!$A$5:$A$304,0)))&gt;0,INDEX('交易记录'!$G$5:$G$304,MATCH(A570,'交易记录'!$A$5:$A$304,0)),1),1))</f>
        <v/>
      </c>
      <c r="J570" s="41" t="str">
        <f>IF(ISNUMBER(H570),ROUND('参数'!$C$11+H570*I570*'参数'!$C$12+F570*'参数'!$C$13,2),"")</f>
        <v/>
      </c>
      <c r="K570" s="22" t="n"/>
      <c r="L570" s="20" t="str">
        <f>IF(ISNUMBER(K570),K570,IF(ISNUMBER(H570),J570,""))</f>
        <v/>
      </c>
      <c r="M570" s="46" t="str">
        <f>IF(AND(ISNUMBER(E570),ISNUMBER(G570),ISNUMBER(F570)),(E570-G570)*IF(D570="卖",-1,1)*F570*I570,"")</f>
        <v/>
      </c>
      <c r="N570" s="38" t="str">
        <f>IF(A570="","",IFERROR(T(INDEX('交易记录'!$C$5:$C$304,MATCH(A570,'交易记录'!$A$5:$A$304,0))),"编号没找到"))</f>
        <v/>
      </c>
      <c r="O570" s="31" t="n"/>
    </row>
    <row r="571">
      <c r="A571" s="29" t="n"/>
      <c r="B571" s="30" t="n"/>
      <c r="C571" s="27" t="n"/>
      <c r="D571" s="32" t="n"/>
      <c r="E571" s="33" t="n"/>
      <c r="F571" s="36" t="n"/>
      <c r="G571" s="33" t="n"/>
      <c r="H571" s="20" t="str">
        <f>IF(AND(ISNUMBER(E571),ISNUMBER(F571)),E571*F571,"")</f>
        <v/>
      </c>
      <c r="I571" s="38" t="str">
        <f>IF(A571="","",IFERROR(IF(N(INDEX('交易记录'!$G$5:$G$304,MATCH(A571,'交易记录'!$A$5:$A$304,0)))&gt;0,INDEX('交易记录'!$G$5:$G$304,MATCH(A571,'交易记录'!$A$5:$A$304,0)),1),1))</f>
        <v/>
      </c>
      <c r="J571" s="41" t="str">
        <f>IF(ISNUMBER(H571),ROUND('参数'!$C$11+H571*I571*'参数'!$C$12+F571*'参数'!$C$13,2),"")</f>
        <v/>
      </c>
      <c r="K571" s="22" t="n"/>
      <c r="L571" s="20" t="str">
        <f>IF(ISNUMBER(K571),K571,IF(ISNUMBER(H571),J571,""))</f>
        <v/>
      </c>
      <c r="M571" s="46" t="str">
        <f>IF(AND(ISNUMBER(E571),ISNUMBER(G571),ISNUMBER(F571)),(E571-G571)*IF(D571="卖",-1,1)*F571*I571,"")</f>
        <v/>
      </c>
      <c r="N571" s="38" t="str">
        <f>IF(A571="","",IFERROR(T(INDEX('交易记录'!$C$5:$C$304,MATCH(A571,'交易记录'!$A$5:$A$304,0))),"编号没找到"))</f>
        <v/>
      </c>
      <c r="O571" s="31" t="n"/>
    </row>
    <row r="572">
      <c r="A572" s="29" t="n"/>
      <c r="B572" s="30" t="n"/>
      <c r="C572" s="27" t="n"/>
      <c r="D572" s="32" t="n"/>
      <c r="E572" s="33" t="n"/>
      <c r="F572" s="36" t="n"/>
      <c r="G572" s="33" t="n"/>
      <c r="H572" s="20" t="str">
        <f>IF(AND(ISNUMBER(E572),ISNUMBER(F572)),E572*F572,"")</f>
        <v/>
      </c>
      <c r="I572" s="38" t="str">
        <f>IF(A572="","",IFERROR(IF(N(INDEX('交易记录'!$G$5:$G$304,MATCH(A572,'交易记录'!$A$5:$A$304,0)))&gt;0,INDEX('交易记录'!$G$5:$G$304,MATCH(A572,'交易记录'!$A$5:$A$304,0)),1),1))</f>
        <v/>
      </c>
      <c r="J572" s="41" t="str">
        <f>IF(ISNUMBER(H572),ROUND('参数'!$C$11+H572*I572*'参数'!$C$12+F572*'参数'!$C$13,2),"")</f>
        <v/>
      </c>
      <c r="K572" s="22" t="n"/>
      <c r="L572" s="20" t="str">
        <f>IF(ISNUMBER(K572),K572,IF(ISNUMBER(H572),J572,""))</f>
        <v/>
      </c>
      <c r="M572" s="46" t="str">
        <f>IF(AND(ISNUMBER(E572),ISNUMBER(G572),ISNUMBER(F572)),(E572-G572)*IF(D572="卖",-1,1)*F572*I572,"")</f>
        <v/>
      </c>
      <c r="N572" s="38" t="str">
        <f>IF(A572="","",IFERROR(T(INDEX('交易记录'!$C$5:$C$304,MATCH(A572,'交易记录'!$A$5:$A$304,0))),"编号没找到"))</f>
        <v/>
      </c>
      <c r="O572" s="31" t="n"/>
    </row>
    <row r="573">
      <c r="A573" s="29" t="n"/>
      <c r="B573" s="30" t="n"/>
      <c r="C573" s="27" t="n"/>
      <c r="D573" s="32" t="n"/>
      <c r="E573" s="33" t="n"/>
      <c r="F573" s="36" t="n"/>
      <c r="G573" s="33" t="n"/>
      <c r="H573" s="20" t="str">
        <f>IF(AND(ISNUMBER(E573),ISNUMBER(F573)),E573*F573,"")</f>
        <v/>
      </c>
      <c r="I573" s="38" t="str">
        <f>IF(A573="","",IFERROR(IF(N(INDEX('交易记录'!$G$5:$G$304,MATCH(A573,'交易记录'!$A$5:$A$304,0)))&gt;0,INDEX('交易记录'!$G$5:$G$304,MATCH(A573,'交易记录'!$A$5:$A$304,0)),1),1))</f>
        <v/>
      </c>
      <c r="J573" s="41" t="str">
        <f>IF(ISNUMBER(H573),ROUND('参数'!$C$11+H573*I573*'参数'!$C$12+F573*'参数'!$C$13,2),"")</f>
        <v/>
      </c>
      <c r="K573" s="22" t="n"/>
      <c r="L573" s="20" t="str">
        <f>IF(ISNUMBER(K573),K573,IF(ISNUMBER(H573),J573,""))</f>
        <v/>
      </c>
      <c r="M573" s="46" t="str">
        <f>IF(AND(ISNUMBER(E573),ISNUMBER(G573),ISNUMBER(F573)),(E573-G573)*IF(D573="卖",-1,1)*F573*I573,"")</f>
        <v/>
      </c>
      <c r="N573" s="38" t="str">
        <f>IF(A573="","",IFERROR(T(INDEX('交易记录'!$C$5:$C$304,MATCH(A573,'交易记录'!$A$5:$A$304,0))),"编号没找到"))</f>
        <v/>
      </c>
      <c r="O573" s="31" t="n"/>
    </row>
    <row r="574">
      <c r="A574" s="29" t="n"/>
      <c r="B574" s="30" t="n"/>
      <c r="C574" s="27" t="n"/>
      <c r="D574" s="32" t="n"/>
      <c r="E574" s="33" t="n"/>
      <c r="F574" s="36" t="n"/>
      <c r="G574" s="33" t="n"/>
      <c r="H574" s="20" t="str">
        <f>IF(AND(ISNUMBER(E574),ISNUMBER(F574)),E574*F574,"")</f>
        <v/>
      </c>
      <c r="I574" s="38" t="str">
        <f>IF(A574="","",IFERROR(IF(N(INDEX('交易记录'!$G$5:$G$304,MATCH(A574,'交易记录'!$A$5:$A$304,0)))&gt;0,INDEX('交易记录'!$G$5:$G$304,MATCH(A574,'交易记录'!$A$5:$A$304,0)),1),1))</f>
        <v/>
      </c>
      <c r="J574" s="41" t="str">
        <f>IF(ISNUMBER(H574),ROUND('参数'!$C$11+H574*I574*'参数'!$C$12+F574*'参数'!$C$13,2),"")</f>
        <v/>
      </c>
      <c r="K574" s="22" t="n"/>
      <c r="L574" s="20" t="str">
        <f>IF(ISNUMBER(K574),K574,IF(ISNUMBER(H574),J574,""))</f>
        <v/>
      </c>
      <c r="M574" s="46" t="str">
        <f>IF(AND(ISNUMBER(E574),ISNUMBER(G574),ISNUMBER(F574)),(E574-G574)*IF(D574="卖",-1,1)*F574*I574,"")</f>
        <v/>
      </c>
      <c r="N574" s="38" t="str">
        <f>IF(A574="","",IFERROR(T(INDEX('交易记录'!$C$5:$C$304,MATCH(A574,'交易记录'!$A$5:$A$304,0))),"编号没找到"))</f>
        <v/>
      </c>
      <c r="O574" s="31" t="n"/>
    </row>
    <row r="575">
      <c r="A575" s="29" t="n"/>
      <c r="B575" s="30" t="n"/>
      <c r="C575" s="27" t="n"/>
      <c r="D575" s="32" t="n"/>
      <c r="E575" s="33" t="n"/>
      <c r="F575" s="36" t="n"/>
      <c r="G575" s="33" t="n"/>
      <c r="H575" s="20" t="str">
        <f>IF(AND(ISNUMBER(E575),ISNUMBER(F575)),E575*F575,"")</f>
        <v/>
      </c>
      <c r="I575" s="38" t="str">
        <f>IF(A575="","",IFERROR(IF(N(INDEX('交易记录'!$G$5:$G$304,MATCH(A575,'交易记录'!$A$5:$A$304,0)))&gt;0,INDEX('交易记录'!$G$5:$G$304,MATCH(A575,'交易记录'!$A$5:$A$304,0)),1),1))</f>
        <v/>
      </c>
      <c r="J575" s="41" t="str">
        <f>IF(ISNUMBER(H575),ROUND('参数'!$C$11+H575*I575*'参数'!$C$12+F575*'参数'!$C$13,2),"")</f>
        <v/>
      </c>
      <c r="K575" s="22" t="n"/>
      <c r="L575" s="20" t="str">
        <f>IF(ISNUMBER(K575),K575,IF(ISNUMBER(H575),J575,""))</f>
        <v/>
      </c>
      <c r="M575" s="46" t="str">
        <f>IF(AND(ISNUMBER(E575),ISNUMBER(G575),ISNUMBER(F575)),(E575-G575)*IF(D575="卖",-1,1)*F575*I575,"")</f>
        <v/>
      </c>
      <c r="N575" s="38" t="str">
        <f>IF(A575="","",IFERROR(T(INDEX('交易记录'!$C$5:$C$304,MATCH(A575,'交易记录'!$A$5:$A$304,0))),"编号没找到"))</f>
        <v/>
      </c>
      <c r="O575" s="31" t="n"/>
    </row>
    <row r="576">
      <c r="A576" s="29" t="n"/>
      <c r="B576" s="30" t="n"/>
      <c r="C576" s="27" t="n"/>
      <c r="D576" s="32" t="n"/>
      <c r="E576" s="33" t="n"/>
      <c r="F576" s="36" t="n"/>
      <c r="G576" s="33" t="n"/>
      <c r="H576" s="20" t="str">
        <f>IF(AND(ISNUMBER(E576),ISNUMBER(F576)),E576*F576,"")</f>
        <v/>
      </c>
      <c r="I576" s="38" t="str">
        <f>IF(A576="","",IFERROR(IF(N(INDEX('交易记录'!$G$5:$G$304,MATCH(A576,'交易记录'!$A$5:$A$304,0)))&gt;0,INDEX('交易记录'!$G$5:$G$304,MATCH(A576,'交易记录'!$A$5:$A$304,0)),1),1))</f>
        <v/>
      </c>
      <c r="J576" s="41" t="str">
        <f>IF(ISNUMBER(H576),ROUND('参数'!$C$11+H576*I576*'参数'!$C$12+F576*'参数'!$C$13,2),"")</f>
        <v/>
      </c>
      <c r="K576" s="22" t="n"/>
      <c r="L576" s="20" t="str">
        <f>IF(ISNUMBER(K576),K576,IF(ISNUMBER(H576),J576,""))</f>
        <v/>
      </c>
      <c r="M576" s="46" t="str">
        <f>IF(AND(ISNUMBER(E576),ISNUMBER(G576),ISNUMBER(F576)),(E576-G576)*IF(D576="卖",-1,1)*F576*I576,"")</f>
        <v/>
      </c>
      <c r="N576" s="38" t="str">
        <f>IF(A576="","",IFERROR(T(INDEX('交易记录'!$C$5:$C$304,MATCH(A576,'交易记录'!$A$5:$A$304,0))),"编号没找到"))</f>
        <v/>
      </c>
      <c r="O576" s="31" t="n"/>
    </row>
    <row r="577">
      <c r="A577" s="29" t="n"/>
      <c r="B577" s="30" t="n"/>
      <c r="C577" s="27" t="n"/>
      <c r="D577" s="32" t="n"/>
      <c r="E577" s="33" t="n"/>
      <c r="F577" s="36" t="n"/>
      <c r="G577" s="33" t="n"/>
      <c r="H577" s="20" t="str">
        <f>IF(AND(ISNUMBER(E577),ISNUMBER(F577)),E577*F577,"")</f>
        <v/>
      </c>
      <c r="I577" s="38" t="str">
        <f>IF(A577="","",IFERROR(IF(N(INDEX('交易记录'!$G$5:$G$304,MATCH(A577,'交易记录'!$A$5:$A$304,0)))&gt;0,INDEX('交易记录'!$G$5:$G$304,MATCH(A577,'交易记录'!$A$5:$A$304,0)),1),1))</f>
        <v/>
      </c>
      <c r="J577" s="41" t="str">
        <f>IF(ISNUMBER(H577),ROUND('参数'!$C$11+H577*I577*'参数'!$C$12+F577*'参数'!$C$13,2),"")</f>
        <v/>
      </c>
      <c r="K577" s="22" t="n"/>
      <c r="L577" s="20" t="str">
        <f>IF(ISNUMBER(K577),K577,IF(ISNUMBER(H577),J577,""))</f>
        <v/>
      </c>
      <c r="M577" s="46" t="str">
        <f>IF(AND(ISNUMBER(E577),ISNUMBER(G577),ISNUMBER(F577)),(E577-G577)*IF(D577="卖",-1,1)*F577*I577,"")</f>
        <v/>
      </c>
      <c r="N577" s="38" t="str">
        <f>IF(A577="","",IFERROR(T(INDEX('交易记录'!$C$5:$C$304,MATCH(A577,'交易记录'!$A$5:$A$304,0))),"编号没找到"))</f>
        <v/>
      </c>
      <c r="O577" s="31" t="n"/>
    </row>
    <row r="578">
      <c r="A578" s="29" t="n"/>
      <c r="B578" s="30" t="n"/>
      <c r="C578" s="27" t="n"/>
      <c r="D578" s="32" t="n"/>
      <c r="E578" s="33" t="n"/>
      <c r="F578" s="36" t="n"/>
      <c r="G578" s="33" t="n"/>
      <c r="H578" s="20" t="str">
        <f>IF(AND(ISNUMBER(E578),ISNUMBER(F578)),E578*F578,"")</f>
        <v/>
      </c>
      <c r="I578" s="38" t="str">
        <f>IF(A578="","",IFERROR(IF(N(INDEX('交易记录'!$G$5:$G$304,MATCH(A578,'交易记录'!$A$5:$A$304,0)))&gt;0,INDEX('交易记录'!$G$5:$G$304,MATCH(A578,'交易记录'!$A$5:$A$304,0)),1),1))</f>
        <v/>
      </c>
      <c r="J578" s="41" t="str">
        <f>IF(ISNUMBER(H578),ROUND('参数'!$C$11+H578*I578*'参数'!$C$12+F578*'参数'!$C$13,2),"")</f>
        <v/>
      </c>
      <c r="K578" s="22" t="n"/>
      <c r="L578" s="20" t="str">
        <f>IF(ISNUMBER(K578),K578,IF(ISNUMBER(H578),J578,""))</f>
        <v/>
      </c>
      <c r="M578" s="46" t="str">
        <f>IF(AND(ISNUMBER(E578),ISNUMBER(G578),ISNUMBER(F578)),(E578-G578)*IF(D578="卖",-1,1)*F578*I578,"")</f>
        <v/>
      </c>
      <c r="N578" s="38" t="str">
        <f>IF(A578="","",IFERROR(T(INDEX('交易记录'!$C$5:$C$304,MATCH(A578,'交易记录'!$A$5:$A$304,0))),"编号没找到"))</f>
        <v/>
      </c>
      <c r="O578" s="31" t="n"/>
    </row>
    <row r="579">
      <c r="A579" s="29" t="n"/>
      <c r="B579" s="30" t="n"/>
      <c r="C579" s="27" t="n"/>
      <c r="D579" s="32" t="n"/>
      <c r="E579" s="33" t="n"/>
      <c r="F579" s="36" t="n"/>
      <c r="G579" s="33" t="n"/>
      <c r="H579" s="20" t="str">
        <f>IF(AND(ISNUMBER(E579),ISNUMBER(F579)),E579*F579,"")</f>
        <v/>
      </c>
      <c r="I579" s="38" t="str">
        <f>IF(A579="","",IFERROR(IF(N(INDEX('交易记录'!$G$5:$G$304,MATCH(A579,'交易记录'!$A$5:$A$304,0)))&gt;0,INDEX('交易记录'!$G$5:$G$304,MATCH(A579,'交易记录'!$A$5:$A$304,0)),1),1))</f>
        <v/>
      </c>
      <c r="J579" s="41" t="str">
        <f>IF(ISNUMBER(H579),ROUND('参数'!$C$11+H579*I579*'参数'!$C$12+F579*'参数'!$C$13,2),"")</f>
        <v/>
      </c>
      <c r="K579" s="22" t="n"/>
      <c r="L579" s="20" t="str">
        <f>IF(ISNUMBER(K579),K579,IF(ISNUMBER(H579),J579,""))</f>
        <v/>
      </c>
      <c r="M579" s="46" t="str">
        <f>IF(AND(ISNUMBER(E579),ISNUMBER(G579),ISNUMBER(F579)),(E579-G579)*IF(D579="卖",-1,1)*F579*I579,"")</f>
        <v/>
      </c>
      <c r="N579" s="38" t="str">
        <f>IF(A579="","",IFERROR(T(INDEX('交易记录'!$C$5:$C$304,MATCH(A579,'交易记录'!$A$5:$A$304,0))),"编号没找到"))</f>
        <v/>
      </c>
      <c r="O579" s="31" t="n"/>
    </row>
    <row r="580">
      <c r="A580" s="29" t="n"/>
      <c r="B580" s="30" t="n"/>
      <c r="C580" s="27" t="n"/>
      <c r="D580" s="32" t="n"/>
      <c r="E580" s="33" t="n"/>
      <c r="F580" s="36" t="n"/>
      <c r="G580" s="33" t="n"/>
      <c r="H580" s="20" t="str">
        <f>IF(AND(ISNUMBER(E580),ISNUMBER(F580)),E580*F580,"")</f>
        <v/>
      </c>
      <c r="I580" s="38" t="str">
        <f>IF(A580="","",IFERROR(IF(N(INDEX('交易记录'!$G$5:$G$304,MATCH(A580,'交易记录'!$A$5:$A$304,0)))&gt;0,INDEX('交易记录'!$G$5:$G$304,MATCH(A580,'交易记录'!$A$5:$A$304,0)),1),1))</f>
        <v/>
      </c>
      <c r="J580" s="41" t="str">
        <f>IF(ISNUMBER(H580),ROUND('参数'!$C$11+H580*I580*'参数'!$C$12+F580*'参数'!$C$13,2),"")</f>
        <v/>
      </c>
      <c r="K580" s="22" t="n"/>
      <c r="L580" s="20" t="str">
        <f>IF(ISNUMBER(K580),K580,IF(ISNUMBER(H580),J580,""))</f>
        <v/>
      </c>
      <c r="M580" s="46" t="str">
        <f>IF(AND(ISNUMBER(E580),ISNUMBER(G580),ISNUMBER(F580)),(E580-G580)*IF(D580="卖",-1,1)*F580*I580,"")</f>
        <v/>
      </c>
      <c r="N580" s="38" t="str">
        <f>IF(A580="","",IFERROR(T(INDEX('交易记录'!$C$5:$C$304,MATCH(A580,'交易记录'!$A$5:$A$304,0))),"编号没找到"))</f>
        <v/>
      </c>
      <c r="O580" s="31" t="n"/>
    </row>
    <row r="581">
      <c r="A581" s="29" t="n"/>
      <c r="B581" s="30" t="n"/>
      <c r="C581" s="27" t="n"/>
      <c r="D581" s="32" t="n"/>
      <c r="E581" s="33" t="n"/>
      <c r="F581" s="36" t="n"/>
      <c r="G581" s="33" t="n"/>
      <c r="H581" s="20" t="str">
        <f>IF(AND(ISNUMBER(E581),ISNUMBER(F581)),E581*F581,"")</f>
        <v/>
      </c>
      <c r="I581" s="38" t="str">
        <f>IF(A581="","",IFERROR(IF(N(INDEX('交易记录'!$G$5:$G$304,MATCH(A581,'交易记录'!$A$5:$A$304,0)))&gt;0,INDEX('交易记录'!$G$5:$G$304,MATCH(A581,'交易记录'!$A$5:$A$304,0)),1),1))</f>
        <v/>
      </c>
      <c r="J581" s="41" t="str">
        <f>IF(ISNUMBER(H581),ROUND('参数'!$C$11+H581*I581*'参数'!$C$12+F581*'参数'!$C$13,2),"")</f>
        <v/>
      </c>
      <c r="K581" s="22" t="n"/>
      <c r="L581" s="20" t="str">
        <f>IF(ISNUMBER(K581),K581,IF(ISNUMBER(H581),J581,""))</f>
        <v/>
      </c>
      <c r="M581" s="46" t="str">
        <f>IF(AND(ISNUMBER(E581),ISNUMBER(G581),ISNUMBER(F581)),(E581-G581)*IF(D581="卖",-1,1)*F581*I581,"")</f>
        <v/>
      </c>
      <c r="N581" s="38" t="str">
        <f>IF(A581="","",IFERROR(T(INDEX('交易记录'!$C$5:$C$304,MATCH(A581,'交易记录'!$A$5:$A$304,0))),"编号没找到"))</f>
        <v/>
      </c>
      <c r="O581" s="31" t="n"/>
    </row>
    <row r="582">
      <c r="A582" s="29" t="n"/>
      <c r="B582" s="30" t="n"/>
      <c r="C582" s="27" t="n"/>
      <c r="D582" s="32" t="n"/>
      <c r="E582" s="33" t="n"/>
      <c r="F582" s="36" t="n"/>
      <c r="G582" s="33" t="n"/>
      <c r="H582" s="20" t="str">
        <f>IF(AND(ISNUMBER(E582),ISNUMBER(F582)),E582*F582,"")</f>
        <v/>
      </c>
      <c r="I582" s="38" t="str">
        <f>IF(A582="","",IFERROR(IF(N(INDEX('交易记录'!$G$5:$G$304,MATCH(A582,'交易记录'!$A$5:$A$304,0)))&gt;0,INDEX('交易记录'!$G$5:$G$304,MATCH(A582,'交易记录'!$A$5:$A$304,0)),1),1))</f>
        <v/>
      </c>
      <c r="J582" s="41" t="str">
        <f>IF(ISNUMBER(H582),ROUND('参数'!$C$11+H582*I582*'参数'!$C$12+F582*'参数'!$C$13,2),"")</f>
        <v/>
      </c>
      <c r="K582" s="22" t="n"/>
      <c r="L582" s="20" t="str">
        <f>IF(ISNUMBER(K582),K582,IF(ISNUMBER(H582),J582,""))</f>
        <v/>
      </c>
      <c r="M582" s="46" t="str">
        <f>IF(AND(ISNUMBER(E582),ISNUMBER(G582),ISNUMBER(F582)),(E582-G582)*IF(D582="卖",-1,1)*F582*I582,"")</f>
        <v/>
      </c>
      <c r="N582" s="38" t="str">
        <f>IF(A582="","",IFERROR(T(INDEX('交易记录'!$C$5:$C$304,MATCH(A582,'交易记录'!$A$5:$A$304,0))),"编号没找到"))</f>
        <v/>
      </c>
      <c r="O582" s="31" t="n"/>
    </row>
    <row r="583">
      <c r="A583" s="29" t="n"/>
      <c r="B583" s="30" t="n"/>
      <c r="C583" s="27" t="n"/>
      <c r="D583" s="32" t="n"/>
      <c r="E583" s="33" t="n"/>
      <c r="F583" s="36" t="n"/>
      <c r="G583" s="33" t="n"/>
      <c r="H583" s="20" t="str">
        <f>IF(AND(ISNUMBER(E583),ISNUMBER(F583)),E583*F583,"")</f>
        <v/>
      </c>
      <c r="I583" s="38" t="str">
        <f>IF(A583="","",IFERROR(IF(N(INDEX('交易记录'!$G$5:$G$304,MATCH(A583,'交易记录'!$A$5:$A$304,0)))&gt;0,INDEX('交易记录'!$G$5:$G$304,MATCH(A583,'交易记录'!$A$5:$A$304,0)),1),1))</f>
        <v/>
      </c>
      <c r="J583" s="41" t="str">
        <f>IF(ISNUMBER(H583),ROUND('参数'!$C$11+H583*I583*'参数'!$C$12+F583*'参数'!$C$13,2),"")</f>
        <v/>
      </c>
      <c r="K583" s="22" t="n"/>
      <c r="L583" s="20" t="str">
        <f>IF(ISNUMBER(K583),K583,IF(ISNUMBER(H583),J583,""))</f>
        <v/>
      </c>
      <c r="M583" s="46" t="str">
        <f>IF(AND(ISNUMBER(E583),ISNUMBER(G583),ISNUMBER(F583)),(E583-G583)*IF(D583="卖",-1,1)*F583*I583,"")</f>
        <v/>
      </c>
      <c r="N583" s="38" t="str">
        <f>IF(A583="","",IFERROR(T(INDEX('交易记录'!$C$5:$C$304,MATCH(A583,'交易记录'!$A$5:$A$304,0))),"编号没找到"))</f>
        <v/>
      </c>
      <c r="O583" s="31" t="n"/>
    </row>
    <row r="584">
      <c r="A584" s="29" t="n"/>
      <c r="B584" s="30" t="n"/>
      <c r="C584" s="27" t="n"/>
      <c r="D584" s="32" t="n"/>
      <c r="E584" s="33" t="n"/>
      <c r="F584" s="36" t="n"/>
      <c r="G584" s="33" t="n"/>
      <c r="H584" s="20" t="str">
        <f>IF(AND(ISNUMBER(E584),ISNUMBER(F584)),E584*F584,"")</f>
        <v/>
      </c>
      <c r="I584" s="38" t="str">
        <f>IF(A584="","",IFERROR(IF(N(INDEX('交易记录'!$G$5:$G$304,MATCH(A584,'交易记录'!$A$5:$A$304,0)))&gt;0,INDEX('交易记录'!$G$5:$G$304,MATCH(A584,'交易记录'!$A$5:$A$304,0)),1),1))</f>
        <v/>
      </c>
      <c r="J584" s="41" t="str">
        <f>IF(ISNUMBER(H584),ROUND('参数'!$C$11+H584*I584*'参数'!$C$12+F584*'参数'!$C$13,2),"")</f>
        <v/>
      </c>
      <c r="K584" s="22" t="n"/>
      <c r="L584" s="20" t="str">
        <f>IF(ISNUMBER(K584),K584,IF(ISNUMBER(H584),J584,""))</f>
        <v/>
      </c>
      <c r="M584" s="46" t="str">
        <f>IF(AND(ISNUMBER(E584),ISNUMBER(G584),ISNUMBER(F584)),(E584-G584)*IF(D584="卖",-1,1)*F584*I584,"")</f>
        <v/>
      </c>
      <c r="N584" s="38" t="str">
        <f>IF(A584="","",IFERROR(T(INDEX('交易记录'!$C$5:$C$304,MATCH(A584,'交易记录'!$A$5:$A$304,0))),"编号没找到"))</f>
        <v/>
      </c>
      <c r="O584" s="31" t="n"/>
    </row>
    <row r="585">
      <c r="A585" s="29" t="n"/>
      <c r="B585" s="30" t="n"/>
      <c r="C585" s="27" t="n"/>
      <c r="D585" s="32" t="n"/>
      <c r="E585" s="33" t="n"/>
      <c r="F585" s="36" t="n"/>
      <c r="G585" s="33" t="n"/>
      <c r="H585" s="20" t="str">
        <f>IF(AND(ISNUMBER(E585),ISNUMBER(F585)),E585*F585,"")</f>
        <v/>
      </c>
      <c r="I585" s="38" t="str">
        <f>IF(A585="","",IFERROR(IF(N(INDEX('交易记录'!$G$5:$G$304,MATCH(A585,'交易记录'!$A$5:$A$304,0)))&gt;0,INDEX('交易记录'!$G$5:$G$304,MATCH(A585,'交易记录'!$A$5:$A$304,0)),1),1))</f>
        <v/>
      </c>
      <c r="J585" s="41" t="str">
        <f>IF(ISNUMBER(H585),ROUND('参数'!$C$11+H585*I585*'参数'!$C$12+F585*'参数'!$C$13,2),"")</f>
        <v/>
      </c>
      <c r="K585" s="22" t="n"/>
      <c r="L585" s="20" t="str">
        <f>IF(ISNUMBER(K585),K585,IF(ISNUMBER(H585),J585,""))</f>
        <v/>
      </c>
      <c r="M585" s="46" t="str">
        <f>IF(AND(ISNUMBER(E585),ISNUMBER(G585),ISNUMBER(F585)),(E585-G585)*IF(D585="卖",-1,1)*F585*I585,"")</f>
        <v/>
      </c>
      <c r="N585" s="38" t="str">
        <f>IF(A585="","",IFERROR(T(INDEX('交易记录'!$C$5:$C$304,MATCH(A585,'交易记录'!$A$5:$A$304,0))),"编号没找到"))</f>
        <v/>
      </c>
      <c r="O585" s="31" t="n"/>
    </row>
    <row r="586">
      <c r="A586" s="29" t="n"/>
      <c r="B586" s="30" t="n"/>
      <c r="C586" s="27" t="n"/>
      <c r="D586" s="32" t="n"/>
      <c r="E586" s="33" t="n"/>
      <c r="F586" s="36" t="n"/>
      <c r="G586" s="33" t="n"/>
      <c r="H586" s="20" t="str">
        <f>IF(AND(ISNUMBER(E586),ISNUMBER(F586)),E586*F586,"")</f>
        <v/>
      </c>
      <c r="I586" s="38" t="str">
        <f>IF(A586="","",IFERROR(IF(N(INDEX('交易记录'!$G$5:$G$304,MATCH(A586,'交易记录'!$A$5:$A$304,0)))&gt;0,INDEX('交易记录'!$G$5:$G$304,MATCH(A586,'交易记录'!$A$5:$A$304,0)),1),1))</f>
        <v/>
      </c>
      <c r="J586" s="41" t="str">
        <f>IF(ISNUMBER(H586),ROUND('参数'!$C$11+H586*I586*'参数'!$C$12+F586*'参数'!$C$13,2),"")</f>
        <v/>
      </c>
      <c r="K586" s="22" t="n"/>
      <c r="L586" s="20" t="str">
        <f>IF(ISNUMBER(K586),K586,IF(ISNUMBER(H586),J586,""))</f>
        <v/>
      </c>
      <c r="M586" s="46" t="str">
        <f>IF(AND(ISNUMBER(E586),ISNUMBER(G586),ISNUMBER(F586)),(E586-G586)*IF(D586="卖",-1,1)*F586*I586,"")</f>
        <v/>
      </c>
      <c r="N586" s="38" t="str">
        <f>IF(A586="","",IFERROR(T(INDEX('交易记录'!$C$5:$C$304,MATCH(A586,'交易记录'!$A$5:$A$304,0))),"编号没找到"))</f>
        <v/>
      </c>
      <c r="O586" s="31" t="n"/>
    </row>
    <row r="587">
      <c r="A587" s="29" t="n"/>
      <c r="B587" s="30" t="n"/>
      <c r="C587" s="27" t="n"/>
      <c r="D587" s="32" t="n"/>
      <c r="E587" s="33" t="n"/>
      <c r="F587" s="36" t="n"/>
      <c r="G587" s="33" t="n"/>
      <c r="H587" s="20" t="str">
        <f>IF(AND(ISNUMBER(E587),ISNUMBER(F587)),E587*F587,"")</f>
        <v/>
      </c>
      <c r="I587" s="38" t="str">
        <f>IF(A587="","",IFERROR(IF(N(INDEX('交易记录'!$G$5:$G$304,MATCH(A587,'交易记录'!$A$5:$A$304,0)))&gt;0,INDEX('交易记录'!$G$5:$G$304,MATCH(A587,'交易记录'!$A$5:$A$304,0)),1),1))</f>
        <v/>
      </c>
      <c r="J587" s="41" t="str">
        <f>IF(ISNUMBER(H587),ROUND('参数'!$C$11+H587*I587*'参数'!$C$12+F587*'参数'!$C$13,2),"")</f>
        <v/>
      </c>
      <c r="K587" s="22" t="n"/>
      <c r="L587" s="20" t="str">
        <f>IF(ISNUMBER(K587),K587,IF(ISNUMBER(H587),J587,""))</f>
        <v/>
      </c>
      <c r="M587" s="46" t="str">
        <f>IF(AND(ISNUMBER(E587),ISNUMBER(G587),ISNUMBER(F587)),(E587-G587)*IF(D587="卖",-1,1)*F587*I587,"")</f>
        <v/>
      </c>
      <c r="N587" s="38" t="str">
        <f>IF(A587="","",IFERROR(T(INDEX('交易记录'!$C$5:$C$304,MATCH(A587,'交易记录'!$A$5:$A$304,0))),"编号没找到"))</f>
        <v/>
      </c>
      <c r="O587" s="31" t="n"/>
    </row>
    <row r="588">
      <c r="A588" s="29" t="n"/>
      <c r="B588" s="30" t="n"/>
      <c r="C588" s="27" t="n"/>
      <c r="D588" s="32" t="n"/>
      <c r="E588" s="33" t="n"/>
      <c r="F588" s="36" t="n"/>
      <c r="G588" s="33" t="n"/>
      <c r="H588" s="20" t="str">
        <f>IF(AND(ISNUMBER(E588),ISNUMBER(F588)),E588*F588,"")</f>
        <v/>
      </c>
      <c r="I588" s="38" t="str">
        <f>IF(A588="","",IFERROR(IF(N(INDEX('交易记录'!$G$5:$G$304,MATCH(A588,'交易记录'!$A$5:$A$304,0)))&gt;0,INDEX('交易记录'!$G$5:$G$304,MATCH(A588,'交易记录'!$A$5:$A$304,0)),1),1))</f>
        <v/>
      </c>
      <c r="J588" s="41" t="str">
        <f>IF(ISNUMBER(H588),ROUND('参数'!$C$11+H588*I588*'参数'!$C$12+F588*'参数'!$C$13,2),"")</f>
        <v/>
      </c>
      <c r="K588" s="22" t="n"/>
      <c r="L588" s="20" t="str">
        <f>IF(ISNUMBER(K588),K588,IF(ISNUMBER(H588),J588,""))</f>
        <v/>
      </c>
      <c r="M588" s="46" t="str">
        <f>IF(AND(ISNUMBER(E588),ISNUMBER(G588),ISNUMBER(F588)),(E588-G588)*IF(D588="卖",-1,1)*F588*I588,"")</f>
        <v/>
      </c>
      <c r="N588" s="38" t="str">
        <f>IF(A588="","",IFERROR(T(INDEX('交易记录'!$C$5:$C$304,MATCH(A588,'交易记录'!$A$5:$A$304,0))),"编号没找到"))</f>
        <v/>
      </c>
      <c r="O588" s="31" t="n"/>
    </row>
    <row r="589">
      <c r="A589" s="29" t="n"/>
      <c r="B589" s="30" t="n"/>
      <c r="C589" s="27" t="n"/>
      <c r="D589" s="32" t="n"/>
      <c r="E589" s="33" t="n"/>
      <c r="F589" s="36" t="n"/>
      <c r="G589" s="33" t="n"/>
      <c r="H589" s="20" t="str">
        <f>IF(AND(ISNUMBER(E589),ISNUMBER(F589)),E589*F589,"")</f>
        <v/>
      </c>
      <c r="I589" s="38" t="str">
        <f>IF(A589="","",IFERROR(IF(N(INDEX('交易记录'!$G$5:$G$304,MATCH(A589,'交易记录'!$A$5:$A$304,0)))&gt;0,INDEX('交易记录'!$G$5:$G$304,MATCH(A589,'交易记录'!$A$5:$A$304,0)),1),1))</f>
        <v/>
      </c>
      <c r="J589" s="41" t="str">
        <f>IF(ISNUMBER(H589),ROUND('参数'!$C$11+H589*I589*'参数'!$C$12+F589*'参数'!$C$13,2),"")</f>
        <v/>
      </c>
      <c r="K589" s="22" t="n"/>
      <c r="L589" s="20" t="str">
        <f>IF(ISNUMBER(K589),K589,IF(ISNUMBER(H589),J589,""))</f>
        <v/>
      </c>
      <c r="M589" s="46" t="str">
        <f>IF(AND(ISNUMBER(E589),ISNUMBER(G589),ISNUMBER(F589)),(E589-G589)*IF(D589="卖",-1,1)*F589*I589,"")</f>
        <v/>
      </c>
      <c r="N589" s="38" t="str">
        <f>IF(A589="","",IFERROR(T(INDEX('交易记录'!$C$5:$C$304,MATCH(A589,'交易记录'!$A$5:$A$304,0))),"编号没找到"))</f>
        <v/>
      </c>
      <c r="O589" s="31" t="n"/>
    </row>
    <row r="590">
      <c r="A590" s="29" t="n"/>
      <c r="B590" s="30" t="n"/>
      <c r="C590" s="27" t="n"/>
      <c r="D590" s="32" t="n"/>
      <c r="E590" s="33" t="n"/>
      <c r="F590" s="36" t="n"/>
      <c r="G590" s="33" t="n"/>
      <c r="H590" s="20" t="str">
        <f>IF(AND(ISNUMBER(E590),ISNUMBER(F590)),E590*F590,"")</f>
        <v/>
      </c>
      <c r="I590" s="38" t="str">
        <f>IF(A590="","",IFERROR(IF(N(INDEX('交易记录'!$G$5:$G$304,MATCH(A590,'交易记录'!$A$5:$A$304,0)))&gt;0,INDEX('交易记录'!$G$5:$G$304,MATCH(A590,'交易记录'!$A$5:$A$304,0)),1),1))</f>
        <v/>
      </c>
      <c r="J590" s="41" t="str">
        <f>IF(ISNUMBER(H590),ROUND('参数'!$C$11+H590*I590*'参数'!$C$12+F590*'参数'!$C$13,2),"")</f>
        <v/>
      </c>
      <c r="K590" s="22" t="n"/>
      <c r="L590" s="20" t="str">
        <f>IF(ISNUMBER(K590),K590,IF(ISNUMBER(H590),J590,""))</f>
        <v/>
      </c>
      <c r="M590" s="46" t="str">
        <f>IF(AND(ISNUMBER(E590),ISNUMBER(G590),ISNUMBER(F590)),(E590-G590)*IF(D590="卖",-1,1)*F590*I590,"")</f>
        <v/>
      </c>
      <c r="N590" s="38" t="str">
        <f>IF(A590="","",IFERROR(T(INDEX('交易记录'!$C$5:$C$304,MATCH(A590,'交易记录'!$A$5:$A$304,0))),"编号没找到"))</f>
        <v/>
      </c>
      <c r="O590" s="31" t="n"/>
    </row>
    <row r="591">
      <c r="A591" s="29" t="n"/>
      <c r="B591" s="30" t="n"/>
      <c r="C591" s="27" t="n"/>
      <c r="D591" s="32" t="n"/>
      <c r="E591" s="33" t="n"/>
      <c r="F591" s="36" t="n"/>
      <c r="G591" s="33" t="n"/>
      <c r="H591" s="20" t="str">
        <f>IF(AND(ISNUMBER(E591),ISNUMBER(F591)),E591*F591,"")</f>
        <v/>
      </c>
      <c r="I591" s="38" t="str">
        <f>IF(A591="","",IFERROR(IF(N(INDEX('交易记录'!$G$5:$G$304,MATCH(A591,'交易记录'!$A$5:$A$304,0)))&gt;0,INDEX('交易记录'!$G$5:$G$304,MATCH(A591,'交易记录'!$A$5:$A$304,0)),1),1))</f>
        <v/>
      </c>
      <c r="J591" s="41" t="str">
        <f>IF(ISNUMBER(H591),ROUND('参数'!$C$11+H591*I591*'参数'!$C$12+F591*'参数'!$C$13,2),"")</f>
        <v/>
      </c>
      <c r="K591" s="22" t="n"/>
      <c r="L591" s="20" t="str">
        <f>IF(ISNUMBER(K591),K591,IF(ISNUMBER(H591),J591,""))</f>
        <v/>
      </c>
      <c r="M591" s="46" t="str">
        <f>IF(AND(ISNUMBER(E591),ISNUMBER(G591),ISNUMBER(F591)),(E591-G591)*IF(D591="卖",-1,1)*F591*I591,"")</f>
        <v/>
      </c>
      <c r="N591" s="38" t="str">
        <f>IF(A591="","",IFERROR(T(INDEX('交易记录'!$C$5:$C$304,MATCH(A591,'交易记录'!$A$5:$A$304,0))),"编号没找到"))</f>
        <v/>
      </c>
      <c r="O591" s="31" t="n"/>
    </row>
    <row r="592">
      <c r="A592" s="29" t="n"/>
      <c r="B592" s="30" t="n"/>
      <c r="C592" s="27" t="n"/>
      <c r="D592" s="32" t="n"/>
      <c r="E592" s="33" t="n"/>
      <c r="F592" s="36" t="n"/>
      <c r="G592" s="33" t="n"/>
      <c r="H592" s="20" t="str">
        <f>IF(AND(ISNUMBER(E592),ISNUMBER(F592)),E592*F592,"")</f>
        <v/>
      </c>
      <c r="I592" s="38" t="str">
        <f>IF(A592="","",IFERROR(IF(N(INDEX('交易记录'!$G$5:$G$304,MATCH(A592,'交易记录'!$A$5:$A$304,0)))&gt;0,INDEX('交易记录'!$G$5:$G$304,MATCH(A592,'交易记录'!$A$5:$A$304,0)),1),1))</f>
        <v/>
      </c>
      <c r="J592" s="41" t="str">
        <f>IF(ISNUMBER(H592),ROUND('参数'!$C$11+H592*I592*'参数'!$C$12+F592*'参数'!$C$13,2),"")</f>
        <v/>
      </c>
      <c r="K592" s="22" t="n"/>
      <c r="L592" s="20" t="str">
        <f>IF(ISNUMBER(K592),K592,IF(ISNUMBER(H592),J592,""))</f>
        <v/>
      </c>
      <c r="M592" s="46" t="str">
        <f>IF(AND(ISNUMBER(E592),ISNUMBER(G592),ISNUMBER(F592)),(E592-G592)*IF(D592="卖",-1,1)*F592*I592,"")</f>
        <v/>
      </c>
      <c r="N592" s="38" t="str">
        <f>IF(A592="","",IFERROR(T(INDEX('交易记录'!$C$5:$C$304,MATCH(A592,'交易记录'!$A$5:$A$304,0))),"编号没找到"))</f>
        <v/>
      </c>
      <c r="O592" s="31" t="n"/>
    </row>
    <row r="593">
      <c r="A593" s="29" t="n"/>
      <c r="B593" s="30" t="n"/>
      <c r="C593" s="27" t="n"/>
      <c r="D593" s="32" t="n"/>
      <c r="E593" s="33" t="n"/>
      <c r="F593" s="36" t="n"/>
      <c r="G593" s="33" t="n"/>
      <c r="H593" s="20" t="str">
        <f>IF(AND(ISNUMBER(E593),ISNUMBER(F593)),E593*F593,"")</f>
        <v/>
      </c>
      <c r="I593" s="38" t="str">
        <f>IF(A593="","",IFERROR(IF(N(INDEX('交易记录'!$G$5:$G$304,MATCH(A593,'交易记录'!$A$5:$A$304,0)))&gt;0,INDEX('交易记录'!$G$5:$G$304,MATCH(A593,'交易记录'!$A$5:$A$304,0)),1),1))</f>
        <v/>
      </c>
      <c r="J593" s="41" t="str">
        <f>IF(ISNUMBER(H593),ROUND('参数'!$C$11+H593*I593*'参数'!$C$12+F593*'参数'!$C$13,2),"")</f>
        <v/>
      </c>
      <c r="K593" s="22" t="n"/>
      <c r="L593" s="20" t="str">
        <f>IF(ISNUMBER(K593),K593,IF(ISNUMBER(H593),J593,""))</f>
        <v/>
      </c>
      <c r="M593" s="46" t="str">
        <f>IF(AND(ISNUMBER(E593),ISNUMBER(G593),ISNUMBER(F593)),(E593-G593)*IF(D593="卖",-1,1)*F593*I593,"")</f>
        <v/>
      </c>
      <c r="N593" s="38" t="str">
        <f>IF(A593="","",IFERROR(T(INDEX('交易记录'!$C$5:$C$304,MATCH(A593,'交易记录'!$A$5:$A$304,0))),"编号没找到"))</f>
        <v/>
      </c>
      <c r="O593" s="31" t="n"/>
    </row>
    <row r="594">
      <c r="A594" s="29" t="n"/>
      <c r="B594" s="30" t="n"/>
      <c r="C594" s="27" t="n"/>
      <c r="D594" s="32" t="n"/>
      <c r="E594" s="33" t="n"/>
      <c r="F594" s="36" t="n"/>
      <c r="G594" s="33" t="n"/>
      <c r="H594" s="20" t="str">
        <f>IF(AND(ISNUMBER(E594),ISNUMBER(F594)),E594*F594,"")</f>
        <v/>
      </c>
      <c r="I594" s="38" t="str">
        <f>IF(A594="","",IFERROR(IF(N(INDEX('交易记录'!$G$5:$G$304,MATCH(A594,'交易记录'!$A$5:$A$304,0)))&gt;0,INDEX('交易记录'!$G$5:$G$304,MATCH(A594,'交易记录'!$A$5:$A$304,0)),1),1))</f>
        <v/>
      </c>
      <c r="J594" s="41" t="str">
        <f>IF(ISNUMBER(H594),ROUND('参数'!$C$11+H594*I594*'参数'!$C$12+F594*'参数'!$C$13,2),"")</f>
        <v/>
      </c>
      <c r="K594" s="22" t="n"/>
      <c r="L594" s="20" t="str">
        <f>IF(ISNUMBER(K594),K594,IF(ISNUMBER(H594),J594,""))</f>
        <v/>
      </c>
      <c r="M594" s="46" t="str">
        <f>IF(AND(ISNUMBER(E594),ISNUMBER(G594),ISNUMBER(F594)),(E594-G594)*IF(D594="卖",-1,1)*F594*I594,"")</f>
        <v/>
      </c>
      <c r="N594" s="38" t="str">
        <f>IF(A594="","",IFERROR(T(INDEX('交易记录'!$C$5:$C$304,MATCH(A594,'交易记录'!$A$5:$A$304,0))),"编号没找到"))</f>
        <v/>
      </c>
      <c r="O594" s="31" t="n"/>
    </row>
    <row r="595">
      <c r="A595" s="29" t="n"/>
      <c r="B595" s="30" t="n"/>
      <c r="C595" s="27" t="n"/>
      <c r="D595" s="32" t="n"/>
      <c r="E595" s="33" t="n"/>
      <c r="F595" s="36" t="n"/>
      <c r="G595" s="33" t="n"/>
      <c r="H595" s="20" t="str">
        <f>IF(AND(ISNUMBER(E595),ISNUMBER(F595)),E595*F595,"")</f>
        <v/>
      </c>
      <c r="I595" s="38" t="str">
        <f>IF(A595="","",IFERROR(IF(N(INDEX('交易记录'!$G$5:$G$304,MATCH(A595,'交易记录'!$A$5:$A$304,0)))&gt;0,INDEX('交易记录'!$G$5:$G$304,MATCH(A595,'交易记录'!$A$5:$A$304,0)),1),1))</f>
        <v/>
      </c>
      <c r="J595" s="41" t="str">
        <f>IF(ISNUMBER(H595),ROUND('参数'!$C$11+H595*I595*'参数'!$C$12+F595*'参数'!$C$13,2),"")</f>
        <v/>
      </c>
      <c r="K595" s="22" t="n"/>
      <c r="L595" s="20" t="str">
        <f>IF(ISNUMBER(K595),K595,IF(ISNUMBER(H595),J595,""))</f>
        <v/>
      </c>
      <c r="M595" s="46" t="str">
        <f>IF(AND(ISNUMBER(E595),ISNUMBER(G595),ISNUMBER(F595)),(E595-G595)*IF(D595="卖",-1,1)*F595*I595,"")</f>
        <v/>
      </c>
      <c r="N595" s="38" t="str">
        <f>IF(A595="","",IFERROR(T(INDEX('交易记录'!$C$5:$C$304,MATCH(A595,'交易记录'!$A$5:$A$304,0))),"编号没找到"))</f>
        <v/>
      </c>
      <c r="O595" s="31" t="n"/>
    </row>
    <row r="596">
      <c r="A596" s="29" t="n"/>
      <c r="B596" s="30" t="n"/>
      <c r="C596" s="27" t="n"/>
      <c r="D596" s="32" t="n"/>
      <c r="E596" s="33" t="n"/>
      <c r="F596" s="36" t="n"/>
      <c r="G596" s="33" t="n"/>
      <c r="H596" s="20" t="str">
        <f>IF(AND(ISNUMBER(E596),ISNUMBER(F596)),E596*F596,"")</f>
        <v/>
      </c>
      <c r="I596" s="38" t="str">
        <f>IF(A596="","",IFERROR(IF(N(INDEX('交易记录'!$G$5:$G$304,MATCH(A596,'交易记录'!$A$5:$A$304,0)))&gt;0,INDEX('交易记录'!$G$5:$G$304,MATCH(A596,'交易记录'!$A$5:$A$304,0)),1),1))</f>
        <v/>
      </c>
      <c r="J596" s="41" t="str">
        <f>IF(ISNUMBER(H596),ROUND('参数'!$C$11+H596*I596*'参数'!$C$12+F596*'参数'!$C$13,2),"")</f>
        <v/>
      </c>
      <c r="K596" s="22" t="n"/>
      <c r="L596" s="20" t="str">
        <f>IF(ISNUMBER(K596),K596,IF(ISNUMBER(H596),J596,""))</f>
        <v/>
      </c>
      <c r="M596" s="46" t="str">
        <f>IF(AND(ISNUMBER(E596),ISNUMBER(G596),ISNUMBER(F596)),(E596-G596)*IF(D596="卖",-1,1)*F596*I596,"")</f>
        <v/>
      </c>
      <c r="N596" s="38" t="str">
        <f>IF(A596="","",IFERROR(T(INDEX('交易记录'!$C$5:$C$304,MATCH(A596,'交易记录'!$A$5:$A$304,0))),"编号没找到"))</f>
        <v/>
      </c>
      <c r="O596" s="31" t="n"/>
    </row>
    <row r="597">
      <c r="A597" s="29" t="n"/>
      <c r="B597" s="30" t="n"/>
      <c r="C597" s="27" t="n"/>
      <c r="D597" s="32" t="n"/>
      <c r="E597" s="33" t="n"/>
      <c r="F597" s="36" t="n"/>
      <c r="G597" s="33" t="n"/>
      <c r="H597" s="20" t="str">
        <f>IF(AND(ISNUMBER(E597),ISNUMBER(F597)),E597*F597,"")</f>
        <v/>
      </c>
      <c r="I597" s="38" t="str">
        <f>IF(A597="","",IFERROR(IF(N(INDEX('交易记录'!$G$5:$G$304,MATCH(A597,'交易记录'!$A$5:$A$304,0)))&gt;0,INDEX('交易记录'!$G$5:$G$304,MATCH(A597,'交易记录'!$A$5:$A$304,0)),1),1))</f>
        <v/>
      </c>
      <c r="J597" s="41" t="str">
        <f>IF(ISNUMBER(H597),ROUND('参数'!$C$11+H597*I597*'参数'!$C$12+F597*'参数'!$C$13,2),"")</f>
        <v/>
      </c>
      <c r="K597" s="22" t="n"/>
      <c r="L597" s="20" t="str">
        <f>IF(ISNUMBER(K597),K597,IF(ISNUMBER(H597),J597,""))</f>
        <v/>
      </c>
      <c r="M597" s="46" t="str">
        <f>IF(AND(ISNUMBER(E597),ISNUMBER(G597),ISNUMBER(F597)),(E597-G597)*IF(D597="卖",-1,1)*F597*I597,"")</f>
        <v/>
      </c>
      <c r="N597" s="38" t="str">
        <f>IF(A597="","",IFERROR(T(INDEX('交易记录'!$C$5:$C$304,MATCH(A597,'交易记录'!$A$5:$A$304,0))),"编号没找到"))</f>
        <v/>
      </c>
      <c r="O597" s="31" t="n"/>
    </row>
    <row r="598">
      <c r="A598" s="29" t="n"/>
      <c r="B598" s="30" t="n"/>
      <c r="C598" s="27" t="n"/>
      <c r="D598" s="32" t="n"/>
      <c r="E598" s="33" t="n"/>
      <c r="F598" s="36" t="n"/>
      <c r="G598" s="33" t="n"/>
      <c r="H598" s="20" t="str">
        <f>IF(AND(ISNUMBER(E598),ISNUMBER(F598)),E598*F598,"")</f>
        <v/>
      </c>
      <c r="I598" s="38" t="str">
        <f>IF(A598="","",IFERROR(IF(N(INDEX('交易记录'!$G$5:$G$304,MATCH(A598,'交易记录'!$A$5:$A$304,0)))&gt;0,INDEX('交易记录'!$G$5:$G$304,MATCH(A598,'交易记录'!$A$5:$A$304,0)),1),1))</f>
        <v/>
      </c>
      <c r="J598" s="41" t="str">
        <f>IF(ISNUMBER(H598),ROUND('参数'!$C$11+H598*I598*'参数'!$C$12+F598*'参数'!$C$13,2),"")</f>
        <v/>
      </c>
      <c r="K598" s="22" t="n"/>
      <c r="L598" s="20" t="str">
        <f>IF(ISNUMBER(K598),K598,IF(ISNUMBER(H598),J598,""))</f>
        <v/>
      </c>
      <c r="M598" s="46" t="str">
        <f>IF(AND(ISNUMBER(E598),ISNUMBER(G598),ISNUMBER(F598)),(E598-G598)*IF(D598="卖",-1,1)*F598*I598,"")</f>
        <v/>
      </c>
      <c r="N598" s="38" t="str">
        <f>IF(A598="","",IFERROR(T(INDEX('交易记录'!$C$5:$C$304,MATCH(A598,'交易记录'!$A$5:$A$304,0))),"编号没找到"))</f>
        <v/>
      </c>
      <c r="O598" s="31" t="n"/>
    </row>
    <row r="599">
      <c r="A599" s="29" t="n"/>
      <c r="B599" s="30" t="n"/>
      <c r="C599" s="27" t="n"/>
      <c r="D599" s="32" t="n"/>
      <c r="E599" s="33" t="n"/>
      <c r="F599" s="36" t="n"/>
      <c r="G599" s="33" t="n"/>
      <c r="H599" s="20" t="str">
        <f>IF(AND(ISNUMBER(E599),ISNUMBER(F599)),E599*F599,"")</f>
        <v/>
      </c>
      <c r="I599" s="38" t="str">
        <f>IF(A599="","",IFERROR(IF(N(INDEX('交易记录'!$G$5:$G$304,MATCH(A599,'交易记录'!$A$5:$A$304,0)))&gt;0,INDEX('交易记录'!$G$5:$G$304,MATCH(A599,'交易记录'!$A$5:$A$304,0)),1),1))</f>
        <v/>
      </c>
      <c r="J599" s="41" t="str">
        <f>IF(ISNUMBER(H599),ROUND('参数'!$C$11+H599*I599*'参数'!$C$12+F599*'参数'!$C$13,2),"")</f>
        <v/>
      </c>
      <c r="K599" s="22" t="n"/>
      <c r="L599" s="20" t="str">
        <f>IF(ISNUMBER(K599),K599,IF(ISNUMBER(H599),J599,""))</f>
        <v/>
      </c>
      <c r="M599" s="46" t="str">
        <f>IF(AND(ISNUMBER(E599),ISNUMBER(G599),ISNUMBER(F599)),(E599-G599)*IF(D599="卖",-1,1)*F599*I599,"")</f>
        <v/>
      </c>
      <c r="N599" s="38" t="str">
        <f>IF(A599="","",IFERROR(T(INDEX('交易记录'!$C$5:$C$304,MATCH(A599,'交易记录'!$A$5:$A$304,0))),"编号没找到"))</f>
        <v/>
      </c>
      <c r="O599" s="31" t="n"/>
    </row>
    <row r="600">
      <c r="A600" s="29" t="n"/>
      <c r="B600" s="30" t="n"/>
      <c r="C600" s="27" t="n"/>
      <c r="D600" s="32" t="n"/>
      <c r="E600" s="33" t="n"/>
      <c r="F600" s="36" t="n"/>
      <c r="G600" s="33" t="n"/>
      <c r="H600" s="20" t="str">
        <f>IF(AND(ISNUMBER(E600),ISNUMBER(F600)),E600*F600,"")</f>
        <v/>
      </c>
      <c r="I600" s="38" t="str">
        <f>IF(A600="","",IFERROR(IF(N(INDEX('交易记录'!$G$5:$G$304,MATCH(A600,'交易记录'!$A$5:$A$304,0)))&gt;0,INDEX('交易记录'!$G$5:$G$304,MATCH(A600,'交易记录'!$A$5:$A$304,0)),1),1))</f>
        <v/>
      </c>
      <c r="J600" s="41" t="str">
        <f>IF(ISNUMBER(H600),ROUND('参数'!$C$11+H600*I600*'参数'!$C$12+F600*'参数'!$C$13,2),"")</f>
        <v/>
      </c>
      <c r="K600" s="22" t="n"/>
      <c r="L600" s="20" t="str">
        <f>IF(ISNUMBER(K600),K600,IF(ISNUMBER(H600),J600,""))</f>
        <v/>
      </c>
      <c r="M600" s="46" t="str">
        <f>IF(AND(ISNUMBER(E600),ISNUMBER(G600),ISNUMBER(F600)),(E600-G600)*IF(D600="卖",-1,1)*F600*I600,"")</f>
        <v/>
      </c>
      <c r="N600" s="38" t="str">
        <f>IF(A600="","",IFERROR(T(INDEX('交易记录'!$C$5:$C$304,MATCH(A600,'交易记录'!$A$5:$A$304,0))),"编号没找到"))</f>
        <v/>
      </c>
      <c r="O600" s="31" t="n"/>
    </row>
    <row r="601">
      <c r="A601" s="29" t="n"/>
      <c r="B601" s="30" t="n"/>
      <c r="C601" s="27" t="n"/>
      <c r="D601" s="32" t="n"/>
      <c r="E601" s="33" t="n"/>
      <c r="F601" s="36" t="n"/>
      <c r="G601" s="33" t="n"/>
      <c r="H601" s="20" t="str">
        <f>IF(AND(ISNUMBER(E601),ISNUMBER(F601)),E601*F601,"")</f>
        <v/>
      </c>
      <c r="I601" s="38" t="str">
        <f>IF(A601="","",IFERROR(IF(N(INDEX('交易记录'!$G$5:$G$304,MATCH(A601,'交易记录'!$A$5:$A$304,0)))&gt;0,INDEX('交易记录'!$G$5:$G$304,MATCH(A601,'交易记录'!$A$5:$A$304,0)),1),1))</f>
        <v/>
      </c>
      <c r="J601" s="41" t="str">
        <f>IF(ISNUMBER(H601),ROUND('参数'!$C$11+H601*I601*'参数'!$C$12+F601*'参数'!$C$13,2),"")</f>
        <v/>
      </c>
      <c r="K601" s="22" t="n"/>
      <c r="L601" s="20" t="str">
        <f>IF(ISNUMBER(K601),K601,IF(ISNUMBER(H601),J601,""))</f>
        <v/>
      </c>
      <c r="M601" s="46" t="str">
        <f>IF(AND(ISNUMBER(E601),ISNUMBER(G601),ISNUMBER(F601)),(E601-G601)*IF(D601="卖",-1,1)*F601*I601,"")</f>
        <v/>
      </c>
      <c r="N601" s="38" t="str">
        <f>IF(A601="","",IFERROR(T(INDEX('交易记录'!$C$5:$C$304,MATCH(A601,'交易记录'!$A$5:$A$304,0))),"编号没找到"))</f>
        <v/>
      </c>
      <c r="O601" s="31" t="n"/>
    </row>
    <row r="602">
      <c r="A602" s="29" t="n"/>
      <c r="B602" s="30" t="n"/>
      <c r="C602" s="27" t="n"/>
      <c r="D602" s="32" t="n"/>
      <c r="E602" s="33" t="n"/>
      <c r="F602" s="36" t="n"/>
      <c r="G602" s="33" t="n"/>
      <c r="H602" s="20" t="str">
        <f>IF(AND(ISNUMBER(E602),ISNUMBER(F602)),E602*F602,"")</f>
        <v/>
      </c>
      <c r="I602" s="38" t="str">
        <f>IF(A602="","",IFERROR(IF(N(INDEX('交易记录'!$G$5:$G$304,MATCH(A602,'交易记录'!$A$5:$A$304,0)))&gt;0,INDEX('交易记录'!$G$5:$G$304,MATCH(A602,'交易记录'!$A$5:$A$304,0)),1),1))</f>
        <v/>
      </c>
      <c r="J602" s="41" t="str">
        <f>IF(ISNUMBER(H602),ROUND('参数'!$C$11+H602*I602*'参数'!$C$12+F602*'参数'!$C$13,2),"")</f>
        <v/>
      </c>
      <c r="K602" s="22" t="n"/>
      <c r="L602" s="20" t="str">
        <f>IF(ISNUMBER(K602),K602,IF(ISNUMBER(H602),J602,""))</f>
        <v/>
      </c>
      <c r="M602" s="46" t="str">
        <f>IF(AND(ISNUMBER(E602),ISNUMBER(G602),ISNUMBER(F602)),(E602-G602)*IF(D602="卖",-1,1)*F602*I602,"")</f>
        <v/>
      </c>
      <c r="N602" s="38" t="str">
        <f>IF(A602="","",IFERROR(T(INDEX('交易记录'!$C$5:$C$304,MATCH(A602,'交易记录'!$A$5:$A$304,0))),"编号没找到"))</f>
        <v/>
      </c>
      <c r="O602" s="31" t="n"/>
    </row>
    <row r="603">
      <c r="A603" s="29" t="n"/>
      <c r="B603" s="30" t="n"/>
      <c r="C603" s="27" t="n"/>
      <c r="D603" s="32" t="n"/>
      <c r="E603" s="33" t="n"/>
      <c r="F603" s="36" t="n"/>
      <c r="G603" s="33" t="n"/>
      <c r="H603" s="20" t="str">
        <f>IF(AND(ISNUMBER(E603),ISNUMBER(F603)),E603*F603,"")</f>
        <v/>
      </c>
      <c r="I603" s="38" t="str">
        <f>IF(A603="","",IFERROR(IF(N(INDEX('交易记录'!$G$5:$G$304,MATCH(A603,'交易记录'!$A$5:$A$304,0)))&gt;0,INDEX('交易记录'!$G$5:$G$304,MATCH(A603,'交易记录'!$A$5:$A$304,0)),1),1))</f>
        <v/>
      </c>
      <c r="J603" s="41" t="str">
        <f>IF(ISNUMBER(H603),ROUND('参数'!$C$11+H603*I603*'参数'!$C$12+F603*'参数'!$C$13,2),"")</f>
        <v/>
      </c>
      <c r="K603" s="22" t="n"/>
      <c r="L603" s="20" t="str">
        <f>IF(ISNUMBER(K603),K603,IF(ISNUMBER(H603),J603,""))</f>
        <v/>
      </c>
      <c r="M603" s="46" t="str">
        <f>IF(AND(ISNUMBER(E603),ISNUMBER(G603),ISNUMBER(F603)),(E603-G603)*IF(D603="卖",-1,1)*F603*I603,"")</f>
        <v/>
      </c>
      <c r="N603" s="38" t="str">
        <f>IF(A603="","",IFERROR(T(INDEX('交易记录'!$C$5:$C$304,MATCH(A603,'交易记录'!$A$5:$A$304,0))),"编号没找到"))</f>
        <v/>
      </c>
      <c r="O603" s="31" t="n"/>
    </row>
    <row r="604">
      <c r="A604" s="29" t="n"/>
      <c r="B604" s="30" t="n"/>
      <c r="C604" s="27" t="n"/>
      <c r="D604" s="32" t="n"/>
      <c r="E604" s="33" t="n"/>
      <c r="F604" s="36" t="n"/>
      <c r="G604" s="33" t="n"/>
      <c r="H604" s="20" t="str">
        <f>IF(AND(ISNUMBER(E604),ISNUMBER(F604)),E604*F604,"")</f>
        <v/>
      </c>
      <c r="I604" s="38" t="str">
        <f>IF(A604="","",IFERROR(IF(N(INDEX('交易记录'!$G$5:$G$304,MATCH(A604,'交易记录'!$A$5:$A$304,0)))&gt;0,INDEX('交易记录'!$G$5:$G$304,MATCH(A604,'交易记录'!$A$5:$A$304,0)),1),1))</f>
        <v/>
      </c>
      <c r="J604" s="41" t="str">
        <f>IF(ISNUMBER(H604),ROUND('参数'!$C$11+H604*I604*'参数'!$C$12+F604*'参数'!$C$13,2),"")</f>
        <v/>
      </c>
      <c r="K604" s="22" t="n"/>
      <c r="L604" s="20" t="str">
        <f>IF(ISNUMBER(K604),K604,IF(ISNUMBER(H604),J604,""))</f>
        <v/>
      </c>
      <c r="M604" s="46" t="str">
        <f>IF(AND(ISNUMBER(E604),ISNUMBER(G604),ISNUMBER(F604)),(E604-G604)*IF(D604="卖",-1,1)*F604*I604,"")</f>
        <v/>
      </c>
      <c r="N604" s="38" t="str">
        <f>IF(A604="","",IFERROR(T(INDEX('交易记录'!$C$5:$C$304,MATCH(A604,'交易记录'!$A$5:$A$304,0))),"编号没找到"))</f>
        <v/>
      </c>
      <c r="O604" s="31" t="n"/>
    </row>
    <row r="605">
      <c r="A605" s="29" t="n"/>
      <c r="B605" s="30" t="n"/>
      <c r="C605" s="27" t="n"/>
      <c r="D605" s="32" t="n"/>
      <c r="E605" s="33" t="n"/>
      <c r="F605" s="36" t="n"/>
      <c r="G605" s="33" t="n"/>
      <c r="H605" s="20" t="str">
        <f>IF(AND(ISNUMBER(E605),ISNUMBER(F605)),E605*F605,"")</f>
        <v/>
      </c>
      <c r="I605" s="38" t="str">
        <f>IF(A605="","",IFERROR(IF(N(INDEX('交易记录'!$G$5:$G$304,MATCH(A605,'交易记录'!$A$5:$A$304,0)))&gt;0,INDEX('交易记录'!$G$5:$G$304,MATCH(A605,'交易记录'!$A$5:$A$304,0)),1),1))</f>
        <v/>
      </c>
      <c r="J605" s="41" t="str">
        <f>IF(ISNUMBER(H605),ROUND('参数'!$C$11+H605*I605*'参数'!$C$12+F605*'参数'!$C$13,2),"")</f>
        <v/>
      </c>
      <c r="K605" s="22" t="n"/>
      <c r="L605" s="20" t="str">
        <f>IF(ISNUMBER(K605),K605,IF(ISNUMBER(H605),J605,""))</f>
        <v/>
      </c>
      <c r="M605" s="46" t="str">
        <f>IF(AND(ISNUMBER(E605),ISNUMBER(G605),ISNUMBER(F605)),(E605-G605)*IF(D605="卖",-1,1)*F605*I605,"")</f>
        <v/>
      </c>
      <c r="N605" s="38" t="str">
        <f>IF(A605="","",IFERROR(T(INDEX('交易记录'!$C$5:$C$304,MATCH(A605,'交易记录'!$A$5:$A$304,0))),"编号没找到"))</f>
        <v/>
      </c>
      <c r="O605" s="31" t="n"/>
    </row>
    <row r="606">
      <c r="A606" s="29" t="n"/>
      <c r="B606" s="30" t="n"/>
      <c r="C606" s="27" t="n"/>
      <c r="D606" s="32" t="n"/>
      <c r="E606" s="33" t="n"/>
      <c r="F606" s="36" t="n"/>
      <c r="G606" s="33" t="n"/>
      <c r="H606" s="20" t="str">
        <f>IF(AND(ISNUMBER(E606),ISNUMBER(F606)),E606*F606,"")</f>
        <v/>
      </c>
      <c r="I606" s="38" t="str">
        <f>IF(A606="","",IFERROR(IF(N(INDEX('交易记录'!$G$5:$G$304,MATCH(A606,'交易记录'!$A$5:$A$304,0)))&gt;0,INDEX('交易记录'!$G$5:$G$304,MATCH(A606,'交易记录'!$A$5:$A$304,0)),1),1))</f>
        <v/>
      </c>
      <c r="J606" s="41" t="str">
        <f>IF(ISNUMBER(H606),ROUND('参数'!$C$11+H606*I606*'参数'!$C$12+F606*'参数'!$C$13,2),"")</f>
        <v/>
      </c>
      <c r="K606" s="22" t="n"/>
      <c r="L606" s="20" t="str">
        <f>IF(ISNUMBER(K606),K606,IF(ISNUMBER(H606),J606,""))</f>
        <v/>
      </c>
      <c r="M606" s="46" t="str">
        <f>IF(AND(ISNUMBER(E606),ISNUMBER(G606),ISNUMBER(F606)),(E606-G606)*IF(D606="卖",-1,1)*F606*I606,"")</f>
        <v/>
      </c>
      <c r="N606" s="38" t="str">
        <f>IF(A606="","",IFERROR(T(INDEX('交易记录'!$C$5:$C$304,MATCH(A606,'交易记录'!$A$5:$A$304,0))),"编号没找到"))</f>
        <v/>
      </c>
      <c r="O606" s="31" t="n"/>
    </row>
    <row r="607">
      <c r="A607" s="29" t="n"/>
      <c r="B607" s="30" t="n"/>
      <c r="C607" s="27" t="n"/>
      <c r="D607" s="32" t="n"/>
      <c r="E607" s="33" t="n"/>
      <c r="F607" s="36" t="n"/>
      <c r="G607" s="33" t="n"/>
      <c r="H607" s="20" t="str">
        <f>IF(AND(ISNUMBER(E607),ISNUMBER(F607)),E607*F607,"")</f>
        <v/>
      </c>
      <c r="I607" s="38" t="str">
        <f>IF(A607="","",IFERROR(IF(N(INDEX('交易记录'!$G$5:$G$304,MATCH(A607,'交易记录'!$A$5:$A$304,0)))&gt;0,INDEX('交易记录'!$G$5:$G$304,MATCH(A607,'交易记录'!$A$5:$A$304,0)),1),1))</f>
        <v/>
      </c>
      <c r="J607" s="41" t="str">
        <f>IF(ISNUMBER(H607),ROUND('参数'!$C$11+H607*I607*'参数'!$C$12+F607*'参数'!$C$13,2),"")</f>
        <v/>
      </c>
      <c r="K607" s="22" t="n"/>
      <c r="L607" s="20" t="str">
        <f>IF(ISNUMBER(K607),K607,IF(ISNUMBER(H607),J607,""))</f>
        <v/>
      </c>
      <c r="M607" s="46" t="str">
        <f>IF(AND(ISNUMBER(E607),ISNUMBER(G607),ISNUMBER(F607)),(E607-G607)*IF(D607="卖",-1,1)*F607*I607,"")</f>
        <v/>
      </c>
      <c r="N607" s="38" t="str">
        <f>IF(A607="","",IFERROR(T(INDEX('交易记录'!$C$5:$C$304,MATCH(A607,'交易记录'!$A$5:$A$304,0))),"编号没找到"))</f>
        <v/>
      </c>
      <c r="O607" s="31" t="n"/>
    </row>
    <row r="608">
      <c r="A608" s="29" t="n"/>
      <c r="B608" s="30" t="n"/>
      <c r="C608" s="27" t="n"/>
      <c r="D608" s="32" t="n"/>
      <c r="E608" s="33" t="n"/>
      <c r="F608" s="36" t="n"/>
      <c r="G608" s="33" t="n"/>
      <c r="H608" s="20" t="str">
        <f>IF(AND(ISNUMBER(E608),ISNUMBER(F608)),E608*F608,"")</f>
        <v/>
      </c>
      <c r="I608" s="38" t="str">
        <f>IF(A608="","",IFERROR(IF(N(INDEX('交易记录'!$G$5:$G$304,MATCH(A608,'交易记录'!$A$5:$A$304,0)))&gt;0,INDEX('交易记录'!$G$5:$G$304,MATCH(A608,'交易记录'!$A$5:$A$304,0)),1),1))</f>
        <v/>
      </c>
      <c r="J608" s="41" t="str">
        <f>IF(ISNUMBER(H608),ROUND('参数'!$C$11+H608*I608*'参数'!$C$12+F608*'参数'!$C$13,2),"")</f>
        <v/>
      </c>
      <c r="K608" s="22" t="n"/>
      <c r="L608" s="20" t="str">
        <f>IF(ISNUMBER(K608),K608,IF(ISNUMBER(H608),J608,""))</f>
        <v/>
      </c>
      <c r="M608" s="46" t="str">
        <f>IF(AND(ISNUMBER(E608),ISNUMBER(G608),ISNUMBER(F608)),(E608-G608)*IF(D608="卖",-1,1)*F608*I608,"")</f>
        <v/>
      </c>
      <c r="N608" s="38" t="str">
        <f>IF(A608="","",IFERROR(T(INDEX('交易记录'!$C$5:$C$304,MATCH(A608,'交易记录'!$A$5:$A$304,0))),"编号没找到"))</f>
        <v/>
      </c>
      <c r="O608" s="31" t="n"/>
    </row>
    <row r="609">
      <c r="A609" s="29" t="n"/>
      <c r="B609" s="30" t="n"/>
      <c r="C609" s="27" t="n"/>
      <c r="D609" s="32" t="n"/>
      <c r="E609" s="33" t="n"/>
      <c r="F609" s="36" t="n"/>
      <c r="G609" s="33" t="n"/>
      <c r="H609" s="20" t="str">
        <f>IF(AND(ISNUMBER(E609),ISNUMBER(F609)),E609*F609,"")</f>
        <v/>
      </c>
      <c r="I609" s="38" t="str">
        <f>IF(A609="","",IFERROR(IF(N(INDEX('交易记录'!$G$5:$G$304,MATCH(A609,'交易记录'!$A$5:$A$304,0)))&gt;0,INDEX('交易记录'!$G$5:$G$304,MATCH(A609,'交易记录'!$A$5:$A$304,0)),1),1))</f>
        <v/>
      </c>
      <c r="J609" s="41" t="str">
        <f>IF(ISNUMBER(H609),ROUND('参数'!$C$11+H609*I609*'参数'!$C$12+F609*'参数'!$C$13,2),"")</f>
        <v/>
      </c>
      <c r="K609" s="22" t="n"/>
      <c r="L609" s="20" t="str">
        <f>IF(ISNUMBER(K609),K609,IF(ISNUMBER(H609),J609,""))</f>
        <v/>
      </c>
      <c r="M609" s="46" t="str">
        <f>IF(AND(ISNUMBER(E609),ISNUMBER(G609),ISNUMBER(F609)),(E609-G609)*IF(D609="卖",-1,1)*F609*I609,"")</f>
        <v/>
      </c>
      <c r="N609" s="38" t="str">
        <f>IF(A609="","",IFERROR(T(INDEX('交易记录'!$C$5:$C$304,MATCH(A609,'交易记录'!$A$5:$A$304,0))),"编号没找到"))</f>
        <v/>
      </c>
      <c r="O609" s="31" t="n"/>
    </row>
    <row r="610">
      <c r="A610" s="29" t="n"/>
      <c r="B610" s="30" t="n"/>
      <c r="C610" s="27" t="n"/>
      <c r="D610" s="32" t="n"/>
      <c r="E610" s="33" t="n"/>
      <c r="F610" s="36" t="n"/>
      <c r="G610" s="33" t="n"/>
      <c r="H610" s="20" t="str">
        <f>IF(AND(ISNUMBER(E610),ISNUMBER(F610)),E610*F610,"")</f>
        <v/>
      </c>
      <c r="I610" s="38" t="str">
        <f>IF(A610="","",IFERROR(IF(N(INDEX('交易记录'!$G$5:$G$304,MATCH(A610,'交易记录'!$A$5:$A$304,0)))&gt;0,INDEX('交易记录'!$G$5:$G$304,MATCH(A610,'交易记录'!$A$5:$A$304,0)),1),1))</f>
        <v/>
      </c>
      <c r="J610" s="41" t="str">
        <f>IF(ISNUMBER(H610),ROUND('参数'!$C$11+H610*I610*'参数'!$C$12+F610*'参数'!$C$13,2),"")</f>
        <v/>
      </c>
      <c r="K610" s="22" t="n"/>
      <c r="L610" s="20" t="str">
        <f>IF(ISNUMBER(K610),K610,IF(ISNUMBER(H610),J610,""))</f>
        <v/>
      </c>
      <c r="M610" s="46" t="str">
        <f>IF(AND(ISNUMBER(E610),ISNUMBER(G610),ISNUMBER(F610)),(E610-G610)*IF(D610="卖",-1,1)*F610*I610,"")</f>
        <v/>
      </c>
      <c r="N610" s="38" t="str">
        <f>IF(A610="","",IFERROR(T(INDEX('交易记录'!$C$5:$C$304,MATCH(A610,'交易记录'!$A$5:$A$304,0))),"编号没找到"))</f>
        <v/>
      </c>
      <c r="O610" s="31" t="n"/>
    </row>
    <row r="611">
      <c r="A611" s="29" t="n"/>
      <c r="B611" s="30" t="n"/>
      <c r="C611" s="27" t="n"/>
      <c r="D611" s="32" t="n"/>
      <c r="E611" s="33" t="n"/>
      <c r="F611" s="36" t="n"/>
      <c r="G611" s="33" t="n"/>
      <c r="H611" s="20" t="str">
        <f>IF(AND(ISNUMBER(E611),ISNUMBER(F611)),E611*F611,"")</f>
        <v/>
      </c>
      <c r="I611" s="38" t="str">
        <f>IF(A611="","",IFERROR(IF(N(INDEX('交易记录'!$G$5:$G$304,MATCH(A611,'交易记录'!$A$5:$A$304,0)))&gt;0,INDEX('交易记录'!$G$5:$G$304,MATCH(A611,'交易记录'!$A$5:$A$304,0)),1),1))</f>
        <v/>
      </c>
      <c r="J611" s="41" t="str">
        <f>IF(ISNUMBER(H611),ROUND('参数'!$C$11+H611*I611*'参数'!$C$12+F611*'参数'!$C$13,2),"")</f>
        <v/>
      </c>
      <c r="K611" s="22" t="n"/>
      <c r="L611" s="20" t="str">
        <f>IF(ISNUMBER(K611),K611,IF(ISNUMBER(H611),J611,""))</f>
        <v/>
      </c>
      <c r="M611" s="46" t="str">
        <f>IF(AND(ISNUMBER(E611),ISNUMBER(G611),ISNUMBER(F611)),(E611-G611)*IF(D611="卖",-1,1)*F611*I611,"")</f>
        <v/>
      </c>
      <c r="N611" s="38" t="str">
        <f>IF(A611="","",IFERROR(T(INDEX('交易记录'!$C$5:$C$304,MATCH(A611,'交易记录'!$A$5:$A$304,0))),"编号没找到"))</f>
        <v/>
      </c>
      <c r="O611" s="31" t="n"/>
    </row>
    <row r="612">
      <c r="A612" s="29" t="n"/>
      <c r="B612" s="30" t="n"/>
      <c r="C612" s="27" t="n"/>
      <c r="D612" s="32" t="n"/>
      <c r="E612" s="33" t="n"/>
      <c r="F612" s="36" t="n"/>
      <c r="G612" s="33" t="n"/>
      <c r="H612" s="20" t="str">
        <f>IF(AND(ISNUMBER(E612),ISNUMBER(F612)),E612*F612,"")</f>
        <v/>
      </c>
      <c r="I612" s="38" t="str">
        <f>IF(A612="","",IFERROR(IF(N(INDEX('交易记录'!$G$5:$G$304,MATCH(A612,'交易记录'!$A$5:$A$304,0)))&gt;0,INDEX('交易记录'!$G$5:$G$304,MATCH(A612,'交易记录'!$A$5:$A$304,0)),1),1))</f>
        <v/>
      </c>
      <c r="J612" s="41" t="str">
        <f>IF(ISNUMBER(H612),ROUND('参数'!$C$11+H612*I612*'参数'!$C$12+F612*'参数'!$C$13,2),"")</f>
        <v/>
      </c>
      <c r="K612" s="22" t="n"/>
      <c r="L612" s="20" t="str">
        <f>IF(ISNUMBER(K612),K612,IF(ISNUMBER(H612),J612,""))</f>
        <v/>
      </c>
      <c r="M612" s="46" t="str">
        <f>IF(AND(ISNUMBER(E612),ISNUMBER(G612),ISNUMBER(F612)),(E612-G612)*IF(D612="卖",-1,1)*F612*I612,"")</f>
        <v/>
      </c>
      <c r="N612" s="38" t="str">
        <f>IF(A612="","",IFERROR(T(INDEX('交易记录'!$C$5:$C$304,MATCH(A612,'交易记录'!$A$5:$A$304,0))),"编号没找到"))</f>
        <v/>
      </c>
      <c r="O612" s="31" t="n"/>
    </row>
    <row r="613">
      <c r="A613" s="29" t="n"/>
      <c r="B613" s="30" t="n"/>
      <c r="C613" s="27" t="n"/>
      <c r="D613" s="32" t="n"/>
      <c r="E613" s="33" t="n"/>
      <c r="F613" s="36" t="n"/>
      <c r="G613" s="33" t="n"/>
      <c r="H613" s="20" t="str">
        <f>IF(AND(ISNUMBER(E613),ISNUMBER(F613)),E613*F613,"")</f>
        <v/>
      </c>
      <c r="I613" s="38" t="str">
        <f>IF(A613="","",IFERROR(IF(N(INDEX('交易记录'!$G$5:$G$304,MATCH(A613,'交易记录'!$A$5:$A$304,0)))&gt;0,INDEX('交易记录'!$G$5:$G$304,MATCH(A613,'交易记录'!$A$5:$A$304,0)),1),1))</f>
        <v/>
      </c>
      <c r="J613" s="41" t="str">
        <f>IF(ISNUMBER(H613),ROUND('参数'!$C$11+H613*I613*'参数'!$C$12+F613*'参数'!$C$13,2),"")</f>
        <v/>
      </c>
      <c r="K613" s="22" t="n"/>
      <c r="L613" s="20" t="str">
        <f>IF(ISNUMBER(K613),K613,IF(ISNUMBER(H613),J613,""))</f>
        <v/>
      </c>
      <c r="M613" s="46" t="str">
        <f>IF(AND(ISNUMBER(E613),ISNUMBER(G613),ISNUMBER(F613)),(E613-G613)*IF(D613="卖",-1,1)*F613*I613,"")</f>
        <v/>
      </c>
      <c r="N613" s="38" t="str">
        <f>IF(A613="","",IFERROR(T(INDEX('交易记录'!$C$5:$C$304,MATCH(A613,'交易记录'!$A$5:$A$304,0))),"编号没找到"))</f>
        <v/>
      </c>
      <c r="O613" s="31" t="n"/>
    </row>
    <row r="614">
      <c r="A614" s="29" t="n"/>
      <c r="B614" s="30" t="n"/>
      <c r="C614" s="27" t="n"/>
      <c r="D614" s="32" t="n"/>
      <c r="E614" s="33" t="n"/>
      <c r="F614" s="36" t="n"/>
      <c r="G614" s="33" t="n"/>
      <c r="H614" s="20" t="str">
        <f>IF(AND(ISNUMBER(E614),ISNUMBER(F614)),E614*F614,"")</f>
        <v/>
      </c>
      <c r="I614" s="38" t="str">
        <f>IF(A614="","",IFERROR(IF(N(INDEX('交易记录'!$G$5:$G$304,MATCH(A614,'交易记录'!$A$5:$A$304,0)))&gt;0,INDEX('交易记录'!$G$5:$G$304,MATCH(A614,'交易记录'!$A$5:$A$304,0)),1),1))</f>
        <v/>
      </c>
      <c r="J614" s="41" t="str">
        <f>IF(ISNUMBER(H614),ROUND('参数'!$C$11+H614*I614*'参数'!$C$12+F614*'参数'!$C$13,2),"")</f>
        <v/>
      </c>
      <c r="K614" s="22" t="n"/>
      <c r="L614" s="20" t="str">
        <f>IF(ISNUMBER(K614),K614,IF(ISNUMBER(H614),J614,""))</f>
        <v/>
      </c>
      <c r="M614" s="46" t="str">
        <f>IF(AND(ISNUMBER(E614),ISNUMBER(G614),ISNUMBER(F614)),(E614-G614)*IF(D614="卖",-1,1)*F614*I614,"")</f>
        <v/>
      </c>
      <c r="N614" s="38" t="str">
        <f>IF(A614="","",IFERROR(T(INDEX('交易记录'!$C$5:$C$304,MATCH(A614,'交易记录'!$A$5:$A$304,0))),"编号没找到"))</f>
        <v/>
      </c>
      <c r="O614" s="31" t="n"/>
    </row>
    <row r="615">
      <c r="A615" s="29" t="n"/>
      <c r="B615" s="30" t="n"/>
      <c r="C615" s="27" t="n"/>
      <c r="D615" s="32" t="n"/>
      <c r="E615" s="33" t="n"/>
      <c r="F615" s="36" t="n"/>
      <c r="G615" s="33" t="n"/>
      <c r="H615" s="20" t="str">
        <f>IF(AND(ISNUMBER(E615),ISNUMBER(F615)),E615*F615,"")</f>
        <v/>
      </c>
      <c r="I615" s="38" t="str">
        <f>IF(A615="","",IFERROR(IF(N(INDEX('交易记录'!$G$5:$G$304,MATCH(A615,'交易记录'!$A$5:$A$304,0)))&gt;0,INDEX('交易记录'!$G$5:$G$304,MATCH(A615,'交易记录'!$A$5:$A$304,0)),1),1))</f>
        <v/>
      </c>
      <c r="J615" s="41" t="str">
        <f>IF(ISNUMBER(H615),ROUND('参数'!$C$11+H615*I615*'参数'!$C$12+F615*'参数'!$C$13,2),"")</f>
        <v/>
      </c>
      <c r="K615" s="22" t="n"/>
      <c r="L615" s="20" t="str">
        <f>IF(ISNUMBER(K615),K615,IF(ISNUMBER(H615),J615,""))</f>
        <v/>
      </c>
      <c r="M615" s="46" t="str">
        <f>IF(AND(ISNUMBER(E615),ISNUMBER(G615),ISNUMBER(F615)),(E615-G615)*IF(D615="卖",-1,1)*F615*I615,"")</f>
        <v/>
      </c>
      <c r="N615" s="38" t="str">
        <f>IF(A615="","",IFERROR(T(INDEX('交易记录'!$C$5:$C$304,MATCH(A615,'交易记录'!$A$5:$A$304,0))),"编号没找到"))</f>
        <v/>
      </c>
      <c r="O615" s="31" t="n"/>
    </row>
    <row r="616">
      <c r="A616" s="29" t="n"/>
      <c r="B616" s="30" t="n"/>
      <c r="C616" s="27" t="n"/>
      <c r="D616" s="32" t="n"/>
      <c r="E616" s="33" t="n"/>
      <c r="F616" s="36" t="n"/>
      <c r="G616" s="33" t="n"/>
      <c r="H616" s="20" t="str">
        <f>IF(AND(ISNUMBER(E616),ISNUMBER(F616)),E616*F616,"")</f>
        <v/>
      </c>
      <c r="I616" s="38" t="str">
        <f>IF(A616="","",IFERROR(IF(N(INDEX('交易记录'!$G$5:$G$304,MATCH(A616,'交易记录'!$A$5:$A$304,0)))&gt;0,INDEX('交易记录'!$G$5:$G$304,MATCH(A616,'交易记录'!$A$5:$A$304,0)),1),1))</f>
        <v/>
      </c>
      <c r="J616" s="41" t="str">
        <f>IF(ISNUMBER(H616),ROUND('参数'!$C$11+H616*I616*'参数'!$C$12+F616*'参数'!$C$13,2),"")</f>
        <v/>
      </c>
      <c r="K616" s="22" t="n"/>
      <c r="L616" s="20" t="str">
        <f>IF(ISNUMBER(K616),K616,IF(ISNUMBER(H616),J616,""))</f>
        <v/>
      </c>
      <c r="M616" s="46" t="str">
        <f>IF(AND(ISNUMBER(E616),ISNUMBER(G616),ISNUMBER(F616)),(E616-G616)*IF(D616="卖",-1,1)*F616*I616,"")</f>
        <v/>
      </c>
      <c r="N616" s="38" t="str">
        <f>IF(A616="","",IFERROR(T(INDEX('交易记录'!$C$5:$C$304,MATCH(A616,'交易记录'!$A$5:$A$304,0))),"编号没找到"))</f>
        <v/>
      </c>
      <c r="O616" s="31" t="n"/>
    </row>
    <row r="617">
      <c r="A617" s="29" t="n"/>
      <c r="B617" s="30" t="n"/>
      <c r="C617" s="27" t="n"/>
      <c r="D617" s="32" t="n"/>
      <c r="E617" s="33" t="n"/>
      <c r="F617" s="36" t="n"/>
      <c r="G617" s="33" t="n"/>
      <c r="H617" s="20" t="str">
        <f>IF(AND(ISNUMBER(E617),ISNUMBER(F617)),E617*F617,"")</f>
        <v/>
      </c>
      <c r="I617" s="38" t="str">
        <f>IF(A617="","",IFERROR(IF(N(INDEX('交易记录'!$G$5:$G$304,MATCH(A617,'交易记录'!$A$5:$A$304,0)))&gt;0,INDEX('交易记录'!$G$5:$G$304,MATCH(A617,'交易记录'!$A$5:$A$304,0)),1),1))</f>
        <v/>
      </c>
      <c r="J617" s="41" t="str">
        <f>IF(ISNUMBER(H617),ROUND('参数'!$C$11+H617*I617*'参数'!$C$12+F617*'参数'!$C$13,2),"")</f>
        <v/>
      </c>
      <c r="K617" s="22" t="n"/>
      <c r="L617" s="20" t="str">
        <f>IF(ISNUMBER(K617),K617,IF(ISNUMBER(H617),J617,""))</f>
        <v/>
      </c>
      <c r="M617" s="46" t="str">
        <f>IF(AND(ISNUMBER(E617),ISNUMBER(G617),ISNUMBER(F617)),(E617-G617)*IF(D617="卖",-1,1)*F617*I617,"")</f>
        <v/>
      </c>
      <c r="N617" s="38" t="str">
        <f>IF(A617="","",IFERROR(T(INDEX('交易记录'!$C$5:$C$304,MATCH(A617,'交易记录'!$A$5:$A$304,0))),"编号没找到"))</f>
        <v/>
      </c>
      <c r="O617" s="31" t="n"/>
    </row>
    <row r="618">
      <c r="A618" s="29" t="n"/>
      <c r="B618" s="30" t="n"/>
      <c r="C618" s="27" t="n"/>
      <c r="D618" s="32" t="n"/>
      <c r="E618" s="33" t="n"/>
      <c r="F618" s="36" t="n"/>
      <c r="G618" s="33" t="n"/>
      <c r="H618" s="20" t="str">
        <f>IF(AND(ISNUMBER(E618),ISNUMBER(F618)),E618*F618,"")</f>
        <v/>
      </c>
      <c r="I618" s="38" t="str">
        <f>IF(A618="","",IFERROR(IF(N(INDEX('交易记录'!$G$5:$G$304,MATCH(A618,'交易记录'!$A$5:$A$304,0)))&gt;0,INDEX('交易记录'!$G$5:$G$304,MATCH(A618,'交易记录'!$A$5:$A$304,0)),1),1))</f>
        <v/>
      </c>
      <c r="J618" s="41" t="str">
        <f>IF(ISNUMBER(H618),ROUND('参数'!$C$11+H618*I618*'参数'!$C$12+F618*'参数'!$C$13,2),"")</f>
        <v/>
      </c>
      <c r="K618" s="22" t="n"/>
      <c r="L618" s="20" t="str">
        <f>IF(ISNUMBER(K618),K618,IF(ISNUMBER(H618),J618,""))</f>
        <v/>
      </c>
      <c r="M618" s="46" t="str">
        <f>IF(AND(ISNUMBER(E618),ISNUMBER(G618),ISNUMBER(F618)),(E618-G618)*IF(D618="卖",-1,1)*F618*I618,"")</f>
        <v/>
      </c>
      <c r="N618" s="38" t="str">
        <f>IF(A618="","",IFERROR(T(INDEX('交易记录'!$C$5:$C$304,MATCH(A618,'交易记录'!$A$5:$A$304,0))),"编号没找到"))</f>
        <v/>
      </c>
      <c r="O618" s="31" t="n"/>
    </row>
    <row r="619">
      <c r="A619" s="29" t="n"/>
      <c r="B619" s="30" t="n"/>
      <c r="C619" s="27" t="n"/>
      <c r="D619" s="32" t="n"/>
      <c r="E619" s="33" t="n"/>
      <c r="F619" s="36" t="n"/>
      <c r="G619" s="33" t="n"/>
      <c r="H619" s="20" t="str">
        <f>IF(AND(ISNUMBER(E619),ISNUMBER(F619)),E619*F619,"")</f>
        <v/>
      </c>
      <c r="I619" s="38" t="str">
        <f>IF(A619="","",IFERROR(IF(N(INDEX('交易记录'!$G$5:$G$304,MATCH(A619,'交易记录'!$A$5:$A$304,0)))&gt;0,INDEX('交易记录'!$G$5:$G$304,MATCH(A619,'交易记录'!$A$5:$A$304,0)),1),1))</f>
        <v/>
      </c>
      <c r="J619" s="41" t="str">
        <f>IF(ISNUMBER(H619),ROUND('参数'!$C$11+H619*I619*'参数'!$C$12+F619*'参数'!$C$13,2),"")</f>
        <v/>
      </c>
      <c r="K619" s="22" t="n"/>
      <c r="L619" s="20" t="str">
        <f>IF(ISNUMBER(K619),K619,IF(ISNUMBER(H619),J619,""))</f>
        <v/>
      </c>
      <c r="M619" s="46" t="str">
        <f>IF(AND(ISNUMBER(E619),ISNUMBER(G619),ISNUMBER(F619)),(E619-G619)*IF(D619="卖",-1,1)*F619*I619,"")</f>
        <v/>
      </c>
      <c r="N619" s="38" t="str">
        <f>IF(A619="","",IFERROR(T(INDEX('交易记录'!$C$5:$C$304,MATCH(A619,'交易记录'!$A$5:$A$304,0))),"编号没找到"))</f>
        <v/>
      </c>
      <c r="O619" s="31" t="n"/>
    </row>
    <row r="620">
      <c r="A620" s="29" t="n"/>
      <c r="B620" s="30" t="n"/>
      <c r="C620" s="27" t="n"/>
      <c r="D620" s="32" t="n"/>
      <c r="E620" s="33" t="n"/>
      <c r="F620" s="36" t="n"/>
      <c r="G620" s="33" t="n"/>
      <c r="H620" s="20" t="str">
        <f>IF(AND(ISNUMBER(E620),ISNUMBER(F620)),E620*F620,"")</f>
        <v/>
      </c>
      <c r="I620" s="38" t="str">
        <f>IF(A620="","",IFERROR(IF(N(INDEX('交易记录'!$G$5:$G$304,MATCH(A620,'交易记录'!$A$5:$A$304,0)))&gt;0,INDEX('交易记录'!$G$5:$G$304,MATCH(A620,'交易记录'!$A$5:$A$304,0)),1),1))</f>
        <v/>
      </c>
      <c r="J620" s="41" t="str">
        <f>IF(ISNUMBER(H620),ROUND('参数'!$C$11+H620*I620*'参数'!$C$12+F620*'参数'!$C$13,2),"")</f>
        <v/>
      </c>
      <c r="K620" s="22" t="n"/>
      <c r="L620" s="20" t="str">
        <f>IF(ISNUMBER(K620),K620,IF(ISNUMBER(H620),J620,""))</f>
        <v/>
      </c>
      <c r="M620" s="46" t="str">
        <f>IF(AND(ISNUMBER(E620),ISNUMBER(G620),ISNUMBER(F620)),(E620-G620)*IF(D620="卖",-1,1)*F620*I620,"")</f>
        <v/>
      </c>
      <c r="N620" s="38" t="str">
        <f>IF(A620="","",IFERROR(T(INDEX('交易记录'!$C$5:$C$304,MATCH(A620,'交易记录'!$A$5:$A$304,0))),"编号没找到"))</f>
        <v/>
      </c>
      <c r="O620" s="31" t="n"/>
    </row>
    <row r="621">
      <c r="A621" s="29" t="n"/>
      <c r="B621" s="30" t="n"/>
      <c r="C621" s="27" t="n"/>
      <c r="D621" s="32" t="n"/>
      <c r="E621" s="33" t="n"/>
      <c r="F621" s="36" t="n"/>
      <c r="G621" s="33" t="n"/>
      <c r="H621" s="20" t="str">
        <f>IF(AND(ISNUMBER(E621),ISNUMBER(F621)),E621*F621,"")</f>
        <v/>
      </c>
      <c r="I621" s="38" t="str">
        <f>IF(A621="","",IFERROR(IF(N(INDEX('交易记录'!$G$5:$G$304,MATCH(A621,'交易记录'!$A$5:$A$304,0)))&gt;0,INDEX('交易记录'!$G$5:$G$304,MATCH(A621,'交易记录'!$A$5:$A$304,0)),1),1))</f>
        <v/>
      </c>
      <c r="J621" s="41" t="str">
        <f>IF(ISNUMBER(H621),ROUND('参数'!$C$11+H621*I621*'参数'!$C$12+F621*'参数'!$C$13,2),"")</f>
        <v/>
      </c>
      <c r="K621" s="22" t="n"/>
      <c r="L621" s="20" t="str">
        <f>IF(ISNUMBER(K621),K621,IF(ISNUMBER(H621),J621,""))</f>
        <v/>
      </c>
      <c r="M621" s="46" t="str">
        <f>IF(AND(ISNUMBER(E621),ISNUMBER(G621),ISNUMBER(F621)),(E621-G621)*IF(D621="卖",-1,1)*F621*I621,"")</f>
        <v/>
      </c>
      <c r="N621" s="38" t="str">
        <f>IF(A621="","",IFERROR(T(INDEX('交易记录'!$C$5:$C$304,MATCH(A621,'交易记录'!$A$5:$A$304,0))),"编号没找到"))</f>
        <v/>
      </c>
      <c r="O621" s="31" t="n"/>
    </row>
    <row r="622">
      <c r="A622" s="29" t="n"/>
      <c r="B622" s="30" t="n"/>
      <c r="C622" s="27" t="n"/>
      <c r="D622" s="32" t="n"/>
      <c r="E622" s="33" t="n"/>
      <c r="F622" s="36" t="n"/>
      <c r="G622" s="33" t="n"/>
      <c r="H622" s="20" t="str">
        <f>IF(AND(ISNUMBER(E622),ISNUMBER(F622)),E622*F622,"")</f>
        <v/>
      </c>
      <c r="I622" s="38" t="str">
        <f>IF(A622="","",IFERROR(IF(N(INDEX('交易记录'!$G$5:$G$304,MATCH(A622,'交易记录'!$A$5:$A$304,0)))&gt;0,INDEX('交易记录'!$G$5:$G$304,MATCH(A622,'交易记录'!$A$5:$A$304,0)),1),1))</f>
        <v/>
      </c>
      <c r="J622" s="41" t="str">
        <f>IF(ISNUMBER(H622),ROUND('参数'!$C$11+H622*I622*'参数'!$C$12+F622*'参数'!$C$13,2),"")</f>
        <v/>
      </c>
      <c r="K622" s="22" t="n"/>
      <c r="L622" s="20" t="str">
        <f>IF(ISNUMBER(K622),K622,IF(ISNUMBER(H622),J622,""))</f>
        <v/>
      </c>
      <c r="M622" s="46" t="str">
        <f>IF(AND(ISNUMBER(E622),ISNUMBER(G622),ISNUMBER(F622)),(E622-G622)*IF(D622="卖",-1,1)*F622*I622,"")</f>
        <v/>
      </c>
      <c r="N622" s="38" t="str">
        <f>IF(A622="","",IFERROR(T(INDEX('交易记录'!$C$5:$C$304,MATCH(A622,'交易记录'!$A$5:$A$304,0))),"编号没找到"))</f>
        <v/>
      </c>
      <c r="O622" s="31" t="n"/>
    </row>
    <row r="623">
      <c r="A623" s="29" t="n"/>
      <c r="B623" s="30" t="n"/>
      <c r="C623" s="27" t="n"/>
      <c r="D623" s="32" t="n"/>
      <c r="E623" s="33" t="n"/>
      <c r="F623" s="36" t="n"/>
      <c r="G623" s="33" t="n"/>
      <c r="H623" s="20" t="str">
        <f>IF(AND(ISNUMBER(E623),ISNUMBER(F623)),E623*F623,"")</f>
        <v/>
      </c>
      <c r="I623" s="38" t="str">
        <f>IF(A623="","",IFERROR(IF(N(INDEX('交易记录'!$G$5:$G$304,MATCH(A623,'交易记录'!$A$5:$A$304,0)))&gt;0,INDEX('交易记录'!$G$5:$G$304,MATCH(A623,'交易记录'!$A$5:$A$304,0)),1),1))</f>
        <v/>
      </c>
      <c r="J623" s="41" t="str">
        <f>IF(ISNUMBER(H623),ROUND('参数'!$C$11+H623*I623*'参数'!$C$12+F623*'参数'!$C$13,2),"")</f>
        <v/>
      </c>
      <c r="K623" s="22" t="n"/>
      <c r="L623" s="20" t="str">
        <f>IF(ISNUMBER(K623),K623,IF(ISNUMBER(H623),J623,""))</f>
        <v/>
      </c>
      <c r="M623" s="46" t="str">
        <f>IF(AND(ISNUMBER(E623),ISNUMBER(G623),ISNUMBER(F623)),(E623-G623)*IF(D623="卖",-1,1)*F623*I623,"")</f>
        <v/>
      </c>
      <c r="N623" s="38" t="str">
        <f>IF(A623="","",IFERROR(T(INDEX('交易记录'!$C$5:$C$304,MATCH(A623,'交易记录'!$A$5:$A$304,0))),"编号没找到"))</f>
        <v/>
      </c>
      <c r="O623" s="31" t="n"/>
    </row>
    <row r="624">
      <c r="A624" s="29" t="n"/>
      <c r="B624" s="30" t="n"/>
      <c r="C624" s="27" t="n"/>
      <c r="D624" s="32" t="n"/>
      <c r="E624" s="33" t="n"/>
      <c r="F624" s="36" t="n"/>
      <c r="G624" s="33" t="n"/>
      <c r="H624" s="20" t="str">
        <f>IF(AND(ISNUMBER(E624),ISNUMBER(F624)),E624*F624,"")</f>
        <v/>
      </c>
      <c r="I624" s="38" t="str">
        <f>IF(A624="","",IFERROR(IF(N(INDEX('交易记录'!$G$5:$G$304,MATCH(A624,'交易记录'!$A$5:$A$304,0)))&gt;0,INDEX('交易记录'!$G$5:$G$304,MATCH(A624,'交易记录'!$A$5:$A$304,0)),1),1))</f>
        <v/>
      </c>
      <c r="J624" s="41" t="str">
        <f>IF(ISNUMBER(H624),ROUND('参数'!$C$11+H624*I624*'参数'!$C$12+F624*'参数'!$C$13,2),"")</f>
        <v/>
      </c>
      <c r="K624" s="22" t="n"/>
      <c r="L624" s="20" t="str">
        <f>IF(ISNUMBER(K624),K624,IF(ISNUMBER(H624),J624,""))</f>
        <v/>
      </c>
      <c r="M624" s="46" t="str">
        <f>IF(AND(ISNUMBER(E624),ISNUMBER(G624),ISNUMBER(F624)),(E624-G624)*IF(D624="卖",-1,1)*F624*I624,"")</f>
        <v/>
      </c>
      <c r="N624" s="38" t="str">
        <f>IF(A624="","",IFERROR(T(INDEX('交易记录'!$C$5:$C$304,MATCH(A624,'交易记录'!$A$5:$A$304,0))),"编号没找到"))</f>
        <v/>
      </c>
      <c r="O624" s="31" t="n"/>
    </row>
    <row r="625">
      <c r="A625" s="29" t="n"/>
      <c r="B625" s="30" t="n"/>
      <c r="C625" s="27" t="n"/>
      <c r="D625" s="32" t="n"/>
      <c r="E625" s="33" t="n"/>
      <c r="F625" s="36" t="n"/>
      <c r="G625" s="33" t="n"/>
      <c r="H625" s="20" t="str">
        <f>IF(AND(ISNUMBER(E625),ISNUMBER(F625)),E625*F625,"")</f>
        <v/>
      </c>
      <c r="I625" s="38" t="str">
        <f>IF(A625="","",IFERROR(IF(N(INDEX('交易记录'!$G$5:$G$304,MATCH(A625,'交易记录'!$A$5:$A$304,0)))&gt;0,INDEX('交易记录'!$G$5:$G$304,MATCH(A625,'交易记录'!$A$5:$A$304,0)),1),1))</f>
        <v/>
      </c>
      <c r="J625" s="41" t="str">
        <f>IF(ISNUMBER(H625),ROUND('参数'!$C$11+H625*I625*'参数'!$C$12+F625*'参数'!$C$13,2),"")</f>
        <v/>
      </c>
      <c r="K625" s="22" t="n"/>
      <c r="L625" s="20" t="str">
        <f>IF(ISNUMBER(K625),K625,IF(ISNUMBER(H625),J625,""))</f>
        <v/>
      </c>
      <c r="M625" s="46" t="str">
        <f>IF(AND(ISNUMBER(E625),ISNUMBER(G625),ISNUMBER(F625)),(E625-G625)*IF(D625="卖",-1,1)*F625*I625,"")</f>
        <v/>
      </c>
      <c r="N625" s="38" t="str">
        <f>IF(A625="","",IFERROR(T(INDEX('交易记录'!$C$5:$C$304,MATCH(A625,'交易记录'!$A$5:$A$304,0))),"编号没找到"))</f>
        <v/>
      </c>
      <c r="O625" s="31" t="n"/>
    </row>
    <row r="626">
      <c r="A626" s="29" t="n"/>
      <c r="B626" s="30" t="n"/>
      <c r="C626" s="27" t="n"/>
      <c r="D626" s="32" t="n"/>
      <c r="E626" s="33" t="n"/>
      <c r="F626" s="36" t="n"/>
      <c r="G626" s="33" t="n"/>
      <c r="H626" s="20" t="str">
        <f>IF(AND(ISNUMBER(E626),ISNUMBER(F626)),E626*F626,"")</f>
        <v/>
      </c>
      <c r="I626" s="38" t="str">
        <f>IF(A626="","",IFERROR(IF(N(INDEX('交易记录'!$G$5:$G$304,MATCH(A626,'交易记录'!$A$5:$A$304,0)))&gt;0,INDEX('交易记录'!$G$5:$G$304,MATCH(A626,'交易记录'!$A$5:$A$304,0)),1),1))</f>
        <v/>
      </c>
      <c r="J626" s="41" t="str">
        <f>IF(ISNUMBER(H626),ROUND('参数'!$C$11+H626*I626*'参数'!$C$12+F626*'参数'!$C$13,2),"")</f>
        <v/>
      </c>
      <c r="K626" s="22" t="n"/>
      <c r="L626" s="20" t="str">
        <f>IF(ISNUMBER(K626),K626,IF(ISNUMBER(H626),J626,""))</f>
        <v/>
      </c>
      <c r="M626" s="46" t="str">
        <f>IF(AND(ISNUMBER(E626),ISNUMBER(G626),ISNUMBER(F626)),(E626-G626)*IF(D626="卖",-1,1)*F626*I626,"")</f>
        <v/>
      </c>
      <c r="N626" s="38" t="str">
        <f>IF(A626="","",IFERROR(T(INDEX('交易记录'!$C$5:$C$304,MATCH(A626,'交易记录'!$A$5:$A$304,0))),"编号没找到"))</f>
        <v/>
      </c>
      <c r="O626" s="31" t="n"/>
    </row>
    <row r="627">
      <c r="A627" s="29" t="n"/>
      <c r="B627" s="30" t="n"/>
      <c r="C627" s="27" t="n"/>
      <c r="D627" s="32" t="n"/>
      <c r="E627" s="33" t="n"/>
      <c r="F627" s="36" t="n"/>
      <c r="G627" s="33" t="n"/>
      <c r="H627" s="20" t="str">
        <f>IF(AND(ISNUMBER(E627),ISNUMBER(F627)),E627*F627,"")</f>
        <v/>
      </c>
      <c r="I627" s="38" t="str">
        <f>IF(A627="","",IFERROR(IF(N(INDEX('交易记录'!$G$5:$G$304,MATCH(A627,'交易记录'!$A$5:$A$304,0)))&gt;0,INDEX('交易记录'!$G$5:$G$304,MATCH(A627,'交易记录'!$A$5:$A$304,0)),1),1))</f>
        <v/>
      </c>
      <c r="J627" s="41" t="str">
        <f>IF(ISNUMBER(H627),ROUND('参数'!$C$11+H627*I627*'参数'!$C$12+F627*'参数'!$C$13,2),"")</f>
        <v/>
      </c>
      <c r="K627" s="22" t="n"/>
      <c r="L627" s="20" t="str">
        <f>IF(ISNUMBER(K627),K627,IF(ISNUMBER(H627),J627,""))</f>
        <v/>
      </c>
      <c r="M627" s="46" t="str">
        <f>IF(AND(ISNUMBER(E627),ISNUMBER(G627),ISNUMBER(F627)),(E627-G627)*IF(D627="卖",-1,1)*F627*I627,"")</f>
        <v/>
      </c>
      <c r="N627" s="38" t="str">
        <f>IF(A627="","",IFERROR(T(INDEX('交易记录'!$C$5:$C$304,MATCH(A627,'交易记录'!$A$5:$A$304,0))),"编号没找到"))</f>
        <v/>
      </c>
      <c r="O627" s="31" t="n"/>
    </row>
    <row r="628">
      <c r="A628" s="29" t="n"/>
      <c r="B628" s="30" t="n"/>
      <c r="C628" s="27" t="n"/>
      <c r="D628" s="32" t="n"/>
      <c r="E628" s="33" t="n"/>
      <c r="F628" s="36" t="n"/>
      <c r="G628" s="33" t="n"/>
      <c r="H628" s="20" t="str">
        <f>IF(AND(ISNUMBER(E628),ISNUMBER(F628)),E628*F628,"")</f>
        <v/>
      </c>
      <c r="I628" s="38" t="str">
        <f>IF(A628="","",IFERROR(IF(N(INDEX('交易记录'!$G$5:$G$304,MATCH(A628,'交易记录'!$A$5:$A$304,0)))&gt;0,INDEX('交易记录'!$G$5:$G$304,MATCH(A628,'交易记录'!$A$5:$A$304,0)),1),1))</f>
        <v/>
      </c>
      <c r="J628" s="41" t="str">
        <f>IF(ISNUMBER(H628),ROUND('参数'!$C$11+H628*I628*'参数'!$C$12+F628*'参数'!$C$13,2),"")</f>
        <v/>
      </c>
      <c r="K628" s="22" t="n"/>
      <c r="L628" s="20" t="str">
        <f>IF(ISNUMBER(K628),K628,IF(ISNUMBER(H628),J628,""))</f>
        <v/>
      </c>
      <c r="M628" s="46" t="str">
        <f>IF(AND(ISNUMBER(E628),ISNUMBER(G628),ISNUMBER(F628)),(E628-G628)*IF(D628="卖",-1,1)*F628*I628,"")</f>
        <v/>
      </c>
      <c r="N628" s="38" t="str">
        <f>IF(A628="","",IFERROR(T(INDEX('交易记录'!$C$5:$C$304,MATCH(A628,'交易记录'!$A$5:$A$304,0))),"编号没找到"))</f>
        <v/>
      </c>
      <c r="O628" s="31" t="n"/>
    </row>
    <row r="629">
      <c r="A629" s="29" t="n"/>
      <c r="B629" s="30" t="n"/>
      <c r="C629" s="27" t="n"/>
      <c r="D629" s="32" t="n"/>
      <c r="E629" s="33" t="n"/>
      <c r="F629" s="36" t="n"/>
      <c r="G629" s="33" t="n"/>
      <c r="H629" s="20" t="str">
        <f>IF(AND(ISNUMBER(E629),ISNUMBER(F629)),E629*F629,"")</f>
        <v/>
      </c>
      <c r="I629" s="38" t="str">
        <f>IF(A629="","",IFERROR(IF(N(INDEX('交易记录'!$G$5:$G$304,MATCH(A629,'交易记录'!$A$5:$A$304,0)))&gt;0,INDEX('交易记录'!$G$5:$G$304,MATCH(A629,'交易记录'!$A$5:$A$304,0)),1),1))</f>
        <v/>
      </c>
      <c r="J629" s="41" t="str">
        <f>IF(ISNUMBER(H629),ROUND('参数'!$C$11+H629*I629*'参数'!$C$12+F629*'参数'!$C$13,2),"")</f>
        <v/>
      </c>
      <c r="K629" s="22" t="n"/>
      <c r="L629" s="20" t="str">
        <f>IF(ISNUMBER(K629),K629,IF(ISNUMBER(H629),J629,""))</f>
        <v/>
      </c>
      <c r="M629" s="46" t="str">
        <f>IF(AND(ISNUMBER(E629),ISNUMBER(G629),ISNUMBER(F629)),(E629-G629)*IF(D629="卖",-1,1)*F629*I629,"")</f>
        <v/>
      </c>
      <c r="N629" s="38" t="str">
        <f>IF(A629="","",IFERROR(T(INDEX('交易记录'!$C$5:$C$304,MATCH(A629,'交易记录'!$A$5:$A$304,0))),"编号没找到"))</f>
        <v/>
      </c>
      <c r="O629" s="31" t="n"/>
    </row>
    <row r="630">
      <c r="A630" s="29" t="n"/>
      <c r="B630" s="30" t="n"/>
      <c r="C630" s="27" t="n"/>
      <c r="D630" s="32" t="n"/>
      <c r="E630" s="33" t="n"/>
      <c r="F630" s="36" t="n"/>
      <c r="G630" s="33" t="n"/>
      <c r="H630" s="20" t="str">
        <f>IF(AND(ISNUMBER(E630),ISNUMBER(F630)),E630*F630,"")</f>
        <v/>
      </c>
      <c r="I630" s="38" t="str">
        <f>IF(A630="","",IFERROR(IF(N(INDEX('交易记录'!$G$5:$G$304,MATCH(A630,'交易记录'!$A$5:$A$304,0)))&gt;0,INDEX('交易记录'!$G$5:$G$304,MATCH(A630,'交易记录'!$A$5:$A$304,0)),1),1))</f>
        <v/>
      </c>
      <c r="J630" s="41" t="str">
        <f>IF(ISNUMBER(H630),ROUND('参数'!$C$11+H630*I630*'参数'!$C$12+F630*'参数'!$C$13,2),"")</f>
        <v/>
      </c>
      <c r="K630" s="22" t="n"/>
      <c r="L630" s="20" t="str">
        <f>IF(ISNUMBER(K630),K630,IF(ISNUMBER(H630),J630,""))</f>
        <v/>
      </c>
      <c r="M630" s="46" t="str">
        <f>IF(AND(ISNUMBER(E630),ISNUMBER(G630),ISNUMBER(F630)),(E630-G630)*IF(D630="卖",-1,1)*F630*I630,"")</f>
        <v/>
      </c>
      <c r="N630" s="38" t="str">
        <f>IF(A630="","",IFERROR(T(INDEX('交易记录'!$C$5:$C$304,MATCH(A630,'交易记录'!$A$5:$A$304,0))),"编号没找到"))</f>
        <v/>
      </c>
      <c r="O630" s="31" t="n"/>
    </row>
    <row r="631">
      <c r="A631" s="29" t="n"/>
      <c r="B631" s="30" t="n"/>
      <c r="C631" s="27" t="n"/>
      <c r="D631" s="32" t="n"/>
      <c r="E631" s="33" t="n"/>
      <c r="F631" s="36" t="n"/>
      <c r="G631" s="33" t="n"/>
      <c r="H631" s="20" t="str">
        <f>IF(AND(ISNUMBER(E631),ISNUMBER(F631)),E631*F631,"")</f>
        <v/>
      </c>
      <c r="I631" s="38" t="str">
        <f>IF(A631="","",IFERROR(IF(N(INDEX('交易记录'!$G$5:$G$304,MATCH(A631,'交易记录'!$A$5:$A$304,0)))&gt;0,INDEX('交易记录'!$G$5:$G$304,MATCH(A631,'交易记录'!$A$5:$A$304,0)),1),1))</f>
        <v/>
      </c>
      <c r="J631" s="41" t="str">
        <f>IF(ISNUMBER(H631),ROUND('参数'!$C$11+H631*I631*'参数'!$C$12+F631*'参数'!$C$13,2),"")</f>
        <v/>
      </c>
      <c r="K631" s="22" t="n"/>
      <c r="L631" s="20" t="str">
        <f>IF(ISNUMBER(K631),K631,IF(ISNUMBER(H631),J631,""))</f>
        <v/>
      </c>
      <c r="M631" s="46" t="str">
        <f>IF(AND(ISNUMBER(E631),ISNUMBER(G631),ISNUMBER(F631)),(E631-G631)*IF(D631="卖",-1,1)*F631*I631,"")</f>
        <v/>
      </c>
      <c r="N631" s="38" t="str">
        <f>IF(A631="","",IFERROR(T(INDEX('交易记录'!$C$5:$C$304,MATCH(A631,'交易记录'!$A$5:$A$304,0))),"编号没找到"))</f>
        <v/>
      </c>
      <c r="O631" s="31" t="n"/>
    </row>
    <row r="632">
      <c r="A632" s="29" t="n"/>
      <c r="B632" s="30" t="n"/>
      <c r="C632" s="27" t="n"/>
      <c r="D632" s="32" t="n"/>
      <c r="E632" s="33" t="n"/>
      <c r="F632" s="36" t="n"/>
      <c r="G632" s="33" t="n"/>
      <c r="H632" s="20" t="str">
        <f>IF(AND(ISNUMBER(E632),ISNUMBER(F632)),E632*F632,"")</f>
        <v/>
      </c>
      <c r="I632" s="38" t="str">
        <f>IF(A632="","",IFERROR(IF(N(INDEX('交易记录'!$G$5:$G$304,MATCH(A632,'交易记录'!$A$5:$A$304,0)))&gt;0,INDEX('交易记录'!$G$5:$G$304,MATCH(A632,'交易记录'!$A$5:$A$304,0)),1),1))</f>
        <v/>
      </c>
      <c r="J632" s="41" t="str">
        <f>IF(ISNUMBER(H632),ROUND('参数'!$C$11+H632*I632*'参数'!$C$12+F632*'参数'!$C$13,2),"")</f>
        <v/>
      </c>
      <c r="K632" s="22" t="n"/>
      <c r="L632" s="20" t="str">
        <f>IF(ISNUMBER(K632),K632,IF(ISNUMBER(H632),J632,""))</f>
        <v/>
      </c>
      <c r="M632" s="46" t="str">
        <f>IF(AND(ISNUMBER(E632),ISNUMBER(G632),ISNUMBER(F632)),(E632-G632)*IF(D632="卖",-1,1)*F632*I632,"")</f>
        <v/>
      </c>
      <c r="N632" s="38" t="str">
        <f>IF(A632="","",IFERROR(T(INDEX('交易记录'!$C$5:$C$304,MATCH(A632,'交易记录'!$A$5:$A$304,0))),"编号没找到"))</f>
        <v/>
      </c>
      <c r="O632" s="31" t="n"/>
    </row>
    <row r="633">
      <c r="A633" s="29" t="n"/>
      <c r="B633" s="30" t="n"/>
      <c r="C633" s="27" t="n"/>
      <c r="D633" s="32" t="n"/>
      <c r="E633" s="33" t="n"/>
      <c r="F633" s="36" t="n"/>
      <c r="G633" s="33" t="n"/>
      <c r="H633" s="20" t="str">
        <f>IF(AND(ISNUMBER(E633),ISNUMBER(F633)),E633*F633,"")</f>
        <v/>
      </c>
      <c r="I633" s="38" t="str">
        <f>IF(A633="","",IFERROR(IF(N(INDEX('交易记录'!$G$5:$G$304,MATCH(A633,'交易记录'!$A$5:$A$304,0)))&gt;0,INDEX('交易记录'!$G$5:$G$304,MATCH(A633,'交易记录'!$A$5:$A$304,0)),1),1))</f>
        <v/>
      </c>
      <c r="J633" s="41" t="str">
        <f>IF(ISNUMBER(H633),ROUND('参数'!$C$11+H633*I633*'参数'!$C$12+F633*'参数'!$C$13,2),"")</f>
        <v/>
      </c>
      <c r="K633" s="22" t="n"/>
      <c r="L633" s="20" t="str">
        <f>IF(ISNUMBER(K633),K633,IF(ISNUMBER(H633),J633,""))</f>
        <v/>
      </c>
      <c r="M633" s="46" t="str">
        <f>IF(AND(ISNUMBER(E633),ISNUMBER(G633),ISNUMBER(F633)),(E633-G633)*IF(D633="卖",-1,1)*F633*I633,"")</f>
        <v/>
      </c>
      <c r="N633" s="38" t="str">
        <f>IF(A633="","",IFERROR(T(INDEX('交易记录'!$C$5:$C$304,MATCH(A633,'交易记录'!$A$5:$A$304,0))),"编号没找到"))</f>
        <v/>
      </c>
      <c r="O633" s="31" t="n"/>
    </row>
    <row r="634">
      <c r="A634" s="29" t="n"/>
      <c r="B634" s="30" t="n"/>
      <c r="C634" s="27" t="n"/>
      <c r="D634" s="32" t="n"/>
      <c r="E634" s="33" t="n"/>
      <c r="F634" s="36" t="n"/>
      <c r="G634" s="33" t="n"/>
      <c r="H634" s="20" t="str">
        <f>IF(AND(ISNUMBER(E634),ISNUMBER(F634)),E634*F634,"")</f>
        <v/>
      </c>
      <c r="I634" s="38" t="str">
        <f>IF(A634="","",IFERROR(IF(N(INDEX('交易记录'!$G$5:$G$304,MATCH(A634,'交易记录'!$A$5:$A$304,0)))&gt;0,INDEX('交易记录'!$G$5:$G$304,MATCH(A634,'交易记录'!$A$5:$A$304,0)),1),1))</f>
        <v/>
      </c>
      <c r="J634" s="41" t="str">
        <f>IF(ISNUMBER(H634),ROUND('参数'!$C$11+H634*I634*'参数'!$C$12+F634*'参数'!$C$13,2),"")</f>
        <v/>
      </c>
      <c r="K634" s="22" t="n"/>
      <c r="L634" s="20" t="str">
        <f>IF(ISNUMBER(K634),K634,IF(ISNUMBER(H634),J634,""))</f>
        <v/>
      </c>
      <c r="M634" s="46" t="str">
        <f>IF(AND(ISNUMBER(E634),ISNUMBER(G634),ISNUMBER(F634)),(E634-G634)*IF(D634="卖",-1,1)*F634*I634,"")</f>
        <v/>
      </c>
      <c r="N634" s="38" t="str">
        <f>IF(A634="","",IFERROR(T(INDEX('交易记录'!$C$5:$C$304,MATCH(A634,'交易记录'!$A$5:$A$304,0))),"编号没找到"))</f>
        <v/>
      </c>
      <c r="O634" s="31" t="n"/>
    </row>
    <row r="635">
      <c r="A635" s="29" t="n"/>
      <c r="B635" s="30" t="n"/>
      <c r="C635" s="27" t="n"/>
      <c r="D635" s="32" t="n"/>
      <c r="E635" s="33" t="n"/>
      <c r="F635" s="36" t="n"/>
      <c r="G635" s="33" t="n"/>
      <c r="H635" s="20" t="str">
        <f>IF(AND(ISNUMBER(E635),ISNUMBER(F635)),E635*F635,"")</f>
        <v/>
      </c>
      <c r="I635" s="38" t="str">
        <f>IF(A635="","",IFERROR(IF(N(INDEX('交易记录'!$G$5:$G$304,MATCH(A635,'交易记录'!$A$5:$A$304,0)))&gt;0,INDEX('交易记录'!$G$5:$G$304,MATCH(A635,'交易记录'!$A$5:$A$304,0)),1),1))</f>
        <v/>
      </c>
      <c r="J635" s="41" t="str">
        <f>IF(ISNUMBER(H635),ROUND('参数'!$C$11+H635*I635*'参数'!$C$12+F635*'参数'!$C$13,2),"")</f>
        <v/>
      </c>
      <c r="K635" s="22" t="n"/>
      <c r="L635" s="20" t="str">
        <f>IF(ISNUMBER(K635),K635,IF(ISNUMBER(H635),J635,""))</f>
        <v/>
      </c>
      <c r="M635" s="46" t="str">
        <f>IF(AND(ISNUMBER(E635),ISNUMBER(G635),ISNUMBER(F635)),(E635-G635)*IF(D635="卖",-1,1)*F635*I635,"")</f>
        <v/>
      </c>
      <c r="N635" s="38" t="str">
        <f>IF(A635="","",IFERROR(T(INDEX('交易记录'!$C$5:$C$304,MATCH(A635,'交易记录'!$A$5:$A$304,0))),"编号没找到"))</f>
        <v/>
      </c>
      <c r="O635" s="31" t="n"/>
    </row>
    <row r="636">
      <c r="A636" s="29" t="n"/>
      <c r="B636" s="30" t="n"/>
      <c r="C636" s="27" t="n"/>
      <c r="D636" s="32" t="n"/>
      <c r="E636" s="33" t="n"/>
      <c r="F636" s="36" t="n"/>
      <c r="G636" s="33" t="n"/>
      <c r="H636" s="20" t="str">
        <f>IF(AND(ISNUMBER(E636),ISNUMBER(F636)),E636*F636,"")</f>
        <v/>
      </c>
      <c r="I636" s="38" t="str">
        <f>IF(A636="","",IFERROR(IF(N(INDEX('交易记录'!$G$5:$G$304,MATCH(A636,'交易记录'!$A$5:$A$304,0)))&gt;0,INDEX('交易记录'!$G$5:$G$304,MATCH(A636,'交易记录'!$A$5:$A$304,0)),1),1))</f>
        <v/>
      </c>
      <c r="J636" s="41" t="str">
        <f>IF(ISNUMBER(H636),ROUND('参数'!$C$11+H636*I636*'参数'!$C$12+F636*'参数'!$C$13,2),"")</f>
        <v/>
      </c>
      <c r="K636" s="22" t="n"/>
      <c r="L636" s="20" t="str">
        <f>IF(ISNUMBER(K636),K636,IF(ISNUMBER(H636),J636,""))</f>
        <v/>
      </c>
      <c r="M636" s="46" t="str">
        <f>IF(AND(ISNUMBER(E636),ISNUMBER(G636),ISNUMBER(F636)),(E636-G636)*IF(D636="卖",-1,1)*F636*I636,"")</f>
        <v/>
      </c>
      <c r="N636" s="38" t="str">
        <f>IF(A636="","",IFERROR(T(INDEX('交易记录'!$C$5:$C$304,MATCH(A636,'交易记录'!$A$5:$A$304,0))),"编号没找到"))</f>
        <v/>
      </c>
      <c r="O636" s="31" t="n"/>
    </row>
    <row r="637">
      <c r="A637" s="29" t="n"/>
      <c r="B637" s="30" t="n"/>
      <c r="C637" s="27" t="n"/>
      <c r="D637" s="32" t="n"/>
      <c r="E637" s="33" t="n"/>
      <c r="F637" s="36" t="n"/>
      <c r="G637" s="33" t="n"/>
      <c r="H637" s="20" t="str">
        <f>IF(AND(ISNUMBER(E637),ISNUMBER(F637)),E637*F637,"")</f>
        <v/>
      </c>
      <c r="I637" s="38" t="str">
        <f>IF(A637="","",IFERROR(IF(N(INDEX('交易记录'!$G$5:$G$304,MATCH(A637,'交易记录'!$A$5:$A$304,0)))&gt;0,INDEX('交易记录'!$G$5:$G$304,MATCH(A637,'交易记录'!$A$5:$A$304,0)),1),1))</f>
        <v/>
      </c>
      <c r="J637" s="41" t="str">
        <f>IF(ISNUMBER(H637),ROUND('参数'!$C$11+H637*I637*'参数'!$C$12+F637*'参数'!$C$13,2),"")</f>
        <v/>
      </c>
      <c r="K637" s="22" t="n"/>
      <c r="L637" s="20" t="str">
        <f>IF(ISNUMBER(K637),K637,IF(ISNUMBER(H637),J637,""))</f>
        <v/>
      </c>
      <c r="M637" s="46" t="str">
        <f>IF(AND(ISNUMBER(E637),ISNUMBER(G637),ISNUMBER(F637)),(E637-G637)*IF(D637="卖",-1,1)*F637*I637,"")</f>
        <v/>
      </c>
      <c r="N637" s="38" t="str">
        <f>IF(A637="","",IFERROR(T(INDEX('交易记录'!$C$5:$C$304,MATCH(A637,'交易记录'!$A$5:$A$304,0))),"编号没找到"))</f>
        <v/>
      </c>
      <c r="O637" s="31" t="n"/>
    </row>
    <row r="638">
      <c r="A638" s="29" t="n"/>
      <c r="B638" s="30" t="n"/>
      <c r="C638" s="27" t="n"/>
      <c r="D638" s="32" t="n"/>
      <c r="E638" s="33" t="n"/>
      <c r="F638" s="36" t="n"/>
      <c r="G638" s="33" t="n"/>
      <c r="H638" s="20" t="str">
        <f>IF(AND(ISNUMBER(E638),ISNUMBER(F638)),E638*F638,"")</f>
        <v/>
      </c>
      <c r="I638" s="38" t="str">
        <f>IF(A638="","",IFERROR(IF(N(INDEX('交易记录'!$G$5:$G$304,MATCH(A638,'交易记录'!$A$5:$A$304,0)))&gt;0,INDEX('交易记录'!$G$5:$G$304,MATCH(A638,'交易记录'!$A$5:$A$304,0)),1),1))</f>
        <v/>
      </c>
      <c r="J638" s="41" t="str">
        <f>IF(ISNUMBER(H638),ROUND('参数'!$C$11+H638*I638*'参数'!$C$12+F638*'参数'!$C$13,2),"")</f>
        <v/>
      </c>
      <c r="K638" s="22" t="n"/>
      <c r="L638" s="20" t="str">
        <f>IF(ISNUMBER(K638),K638,IF(ISNUMBER(H638),J638,""))</f>
        <v/>
      </c>
      <c r="M638" s="46" t="str">
        <f>IF(AND(ISNUMBER(E638),ISNUMBER(G638),ISNUMBER(F638)),(E638-G638)*IF(D638="卖",-1,1)*F638*I638,"")</f>
        <v/>
      </c>
      <c r="N638" s="38" t="str">
        <f>IF(A638="","",IFERROR(T(INDEX('交易记录'!$C$5:$C$304,MATCH(A638,'交易记录'!$A$5:$A$304,0))),"编号没找到"))</f>
        <v/>
      </c>
      <c r="O638" s="31" t="n"/>
    </row>
    <row r="639">
      <c r="A639" s="29" t="n"/>
      <c r="B639" s="30" t="n"/>
      <c r="C639" s="27" t="n"/>
      <c r="D639" s="32" t="n"/>
      <c r="E639" s="33" t="n"/>
      <c r="F639" s="36" t="n"/>
      <c r="G639" s="33" t="n"/>
      <c r="H639" s="20" t="str">
        <f>IF(AND(ISNUMBER(E639),ISNUMBER(F639)),E639*F639,"")</f>
        <v/>
      </c>
      <c r="I639" s="38" t="str">
        <f>IF(A639="","",IFERROR(IF(N(INDEX('交易记录'!$G$5:$G$304,MATCH(A639,'交易记录'!$A$5:$A$304,0)))&gt;0,INDEX('交易记录'!$G$5:$G$304,MATCH(A639,'交易记录'!$A$5:$A$304,0)),1),1))</f>
        <v/>
      </c>
      <c r="J639" s="41" t="str">
        <f>IF(ISNUMBER(H639),ROUND('参数'!$C$11+H639*I639*'参数'!$C$12+F639*'参数'!$C$13,2),"")</f>
        <v/>
      </c>
      <c r="K639" s="22" t="n"/>
      <c r="L639" s="20" t="str">
        <f>IF(ISNUMBER(K639),K639,IF(ISNUMBER(H639),J639,""))</f>
        <v/>
      </c>
      <c r="M639" s="46" t="str">
        <f>IF(AND(ISNUMBER(E639),ISNUMBER(G639),ISNUMBER(F639)),(E639-G639)*IF(D639="卖",-1,1)*F639*I639,"")</f>
        <v/>
      </c>
      <c r="N639" s="38" t="str">
        <f>IF(A639="","",IFERROR(T(INDEX('交易记录'!$C$5:$C$304,MATCH(A639,'交易记录'!$A$5:$A$304,0))),"编号没找到"))</f>
        <v/>
      </c>
      <c r="O639" s="31" t="n"/>
    </row>
    <row r="640">
      <c r="A640" s="29" t="n"/>
      <c r="B640" s="30" t="n"/>
      <c r="C640" s="27" t="n"/>
      <c r="D640" s="32" t="n"/>
      <c r="E640" s="33" t="n"/>
      <c r="F640" s="36" t="n"/>
      <c r="G640" s="33" t="n"/>
      <c r="H640" s="20" t="str">
        <f>IF(AND(ISNUMBER(E640),ISNUMBER(F640)),E640*F640,"")</f>
        <v/>
      </c>
      <c r="I640" s="38" t="str">
        <f>IF(A640="","",IFERROR(IF(N(INDEX('交易记录'!$G$5:$G$304,MATCH(A640,'交易记录'!$A$5:$A$304,0)))&gt;0,INDEX('交易记录'!$G$5:$G$304,MATCH(A640,'交易记录'!$A$5:$A$304,0)),1),1))</f>
        <v/>
      </c>
      <c r="J640" s="41" t="str">
        <f>IF(ISNUMBER(H640),ROUND('参数'!$C$11+H640*I640*'参数'!$C$12+F640*'参数'!$C$13,2),"")</f>
        <v/>
      </c>
      <c r="K640" s="22" t="n"/>
      <c r="L640" s="20" t="str">
        <f>IF(ISNUMBER(K640),K640,IF(ISNUMBER(H640),J640,""))</f>
        <v/>
      </c>
      <c r="M640" s="46" t="str">
        <f>IF(AND(ISNUMBER(E640),ISNUMBER(G640),ISNUMBER(F640)),(E640-G640)*IF(D640="卖",-1,1)*F640*I640,"")</f>
        <v/>
      </c>
      <c r="N640" s="38" t="str">
        <f>IF(A640="","",IFERROR(T(INDEX('交易记录'!$C$5:$C$304,MATCH(A640,'交易记录'!$A$5:$A$304,0))),"编号没找到"))</f>
        <v/>
      </c>
      <c r="O640" s="31" t="n"/>
    </row>
    <row r="641">
      <c r="A641" s="29" t="n"/>
      <c r="B641" s="30" t="n"/>
      <c r="C641" s="27" t="n"/>
      <c r="D641" s="32" t="n"/>
      <c r="E641" s="33" t="n"/>
      <c r="F641" s="36" t="n"/>
      <c r="G641" s="33" t="n"/>
      <c r="H641" s="20" t="str">
        <f>IF(AND(ISNUMBER(E641),ISNUMBER(F641)),E641*F641,"")</f>
        <v/>
      </c>
      <c r="I641" s="38" t="str">
        <f>IF(A641="","",IFERROR(IF(N(INDEX('交易记录'!$G$5:$G$304,MATCH(A641,'交易记录'!$A$5:$A$304,0)))&gt;0,INDEX('交易记录'!$G$5:$G$304,MATCH(A641,'交易记录'!$A$5:$A$304,0)),1),1))</f>
        <v/>
      </c>
      <c r="J641" s="41" t="str">
        <f>IF(ISNUMBER(H641),ROUND('参数'!$C$11+H641*I641*'参数'!$C$12+F641*'参数'!$C$13,2),"")</f>
        <v/>
      </c>
      <c r="K641" s="22" t="n"/>
      <c r="L641" s="20" t="str">
        <f>IF(ISNUMBER(K641),K641,IF(ISNUMBER(H641),J641,""))</f>
        <v/>
      </c>
      <c r="M641" s="46" t="str">
        <f>IF(AND(ISNUMBER(E641),ISNUMBER(G641),ISNUMBER(F641)),(E641-G641)*IF(D641="卖",-1,1)*F641*I641,"")</f>
        <v/>
      </c>
      <c r="N641" s="38" t="str">
        <f>IF(A641="","",IFERROR(T(INDEX('交易记录'!$C$5:$C$304,MATCH(A641,'交易记录'!$A$5:$A$304,0))),"编号没找到"))</f>
        <v/>
      </c>
      <c r="O641" s="31" t="n"/>
    </row>
    <row r="642">
      <c r="A642" s="29" t="n"/>
      <c r="B642" s="30" t="n"/>
      <c r="C642" s="27" t="n"/>
      <c r="D642" s="32" t="n"/>
      <c r="E642" s="33" t="n"/>
      <c r="F642" s="36" t="n"/>
      <c r="G642" s="33" t="n"/>
      <c r="H642" s="20" t="str">
        <f>IF(AND(ISNUMBER(E642),ISNUMBER(F642)),E642*F642,"")</f>
        <v/>
      </c>
      <c r="I642" s="38" t="str">
        <f>IF(A642="","",IFERROR(IF(N(INDEX('交易记录'!$G$5:$G$304,MATCH(A642,'交易记录'!$A$5:$A$304,0)))&gt;0,INDEX('交易记录'!$G$5:$G$304,MATCH(A642,'交易记录'!$A$5:$A$304,0)),1),1))</f>
        <v/>
      </c>
      <c r="J642" s="41" t="str">
        <f>IF(ISNUMBER(H642),ROUND('参数'!$C$11+H642*I642*'参数'!$C$12+F642*'参数'!$C$13,2),"")</f>
        <v/>
      </c>
      <c r="K642" s="22" t="n"/>
      <c r="L642" s="20" t="str">
        <f>IF(ISNUMBER(K642),K642,IF(ISNUMBER(H642),J642,""))</f>
        <v/>
      </c>
      <c r="M642" s="46" t="str">
        <f>IF(AND(ISNUMBER(E642),ISNUMBER(G642),ISNUMBER(F642)),(E642-G642)*IF(D642="卖",-1,1)*F642*I642,"")</f>
        <v/>
      </c>
      <c r="N642" s="38" t="str">
        <f>IF(A642="","",IFERROR(T(INDEX('交易记录'!$C$5:$C$304,MATCH(A642,'交易记录'!$A$5:$A$304,0))),"编号没找到"))</f>
        <v/>
      </c>
      <c r="O642" s="31" t="n"/>
    </row>
    <row r="643">
      <c r="A643" s="29" t="n"/>
      <c r="B643" s="30" t="n"/>
      <c r="C643" s="27" t="n"/>
      <c r="D643" s="32" t="n"/>
      <c r="E643" s="33" t="n"/>
      <c r="F643" s="36" t="n"/>
      <c r="G643" s="33" t="n"/>
      <c r="H643" s="20" t="str">
        <f>IF(AND(ISNUMBER(E643),ISNUMBER(F643)),E643*F643,"")</f>
        <v/>
      </c>
      <c r="I643" s="38" t="str">
        <f>IF(A643="","",IFERROR(IF(N(INDEX('交易记录'!$G$5:$G$304,MATCH(A643,'交易记录'!$A$5:$A$304,0)))&gt;0,INDEX('交易记录'!$G$5:$G$304,MATCH(A643,'交易记录'!$A$5:$A$304,0)),1),1))</f>
        <v/>
      </c>
      <c r="J643" s="41" t="str">
        <f>IF(ISNUMBER(H643),ROUND('参数'!$C$11+H643*I643*'参数'!$C$12+F643*'参数'!$C$13,2),"")</f>
        <v/>
      </c>
      <c r="K643" s="22" t="n"/>
      <c r="L643" s="20" t="str">
        <f>IF(ISNUMBER(K643),K643,IF(ISNUMBER(H643),J643,""))</f>
        <v/>
      </c>
      <c r="M643" s="46" t="str">
        <f>IF(AND(ISNUMBER(E643),ISNUMBER(G643),ISNUMBER(F643)),(E643-G643)*IF(D643="卖",-1,1)*F643*I643,"")</f>
        <v/>
      </c>
      <c r="N643" s="38" t="str">
        <f>IF(A643="","",IFERROR(T(INDEX('交易记录'!$C$5:$C$304,MATCH(A643,'交易记录'!$A$5:$A$304,0))),"编号没找到"))</f>
        <v/>
      </c>
      <c r="O643" s="31" t="n"/>
    </row>
    <row r="644">
      <c r="A644" s="29" t="n"/>
      <c r="B644" s="30" t="n"/>
      <c r="C644" s="27" t="n"/>
      <c r="D644" s="32" t="n"/>
      <c r="E644" s="33" t="n"/>
      <c r="F644" s="36" t="n"/>
      <c r="G644" s="33" t="n"/>
      <c r="H644" s="20" t="str">
        <f>IF(AND(ISNUMBER(E644),ISNUMBER(F644)),E644*F644,"")</f>
        <v/>
      </c>
      <c r="I644" s="38" t="str">
        <f>IF(A644="","",IFERROR(IF(N(INDEX('交易记录'!$G$5:$G$304,MATCH(A644,'交易记录'!$A$5:$A$304,0)))&gt;0,INDEX('交易记录'!$G$5:$G$304,MATCH(A644,'交易记录'!$A$5:$A$304,0)),1),1))</f>
        <v/>
      </c>
      <c r="J644" s="41" t="str">
        <f>IF(ISNUMBER(H644),ROUND('参数'!$C$11+H644*I644*'参数'!$C$12+F644*'参数'!$C$13,2),"")</f>
        <v/>
      </c>
      <c r="K644" s="22" t="n"/>
      <c r="L644" s="20" t="str">
        <f>IF(ISNUMBER(K644),K644,IF(ISNUMBER(H644),J644,""))</f>
        <v/>
      </c>
      <c r="M644" s="46" t="str">
        <f>IF(AND(ISNUMBER(E644),ISNUMBER(G644),ISNUMBER(F644)),(E644-G644)*IF(D644="卖",-1,1)*F644*I644,"")</f>
        <v/>
      </c>
      <c r="N644" s="38" t="str">
        <f>IF(A644="","",IFERROR(T(INDEX('交易记录'!$C$5:$C$304,MATCH(A644,'交易记录'!$A$5:$A$304,0))),"编号没找到"))</f>
        <v/>
      </c>
      <c r="O644" s="31" t="n"/>
    </row>
    <row r="645">
      <c r="A645" s="29" t="n"/>
      <c r="B645" s="30" t="n"/>
      <c r="C645" s="27" t="n"/>
      <c r="D645" s="32" t="n"/>
      <c r="E645" s="33" t="n"/>
      <c r="F645" s="36" t="n"/>
      <c r="G645" s="33" t="n"/>
      <c r="H645" s="20" t="str">
        <f>IF(AND(ISNUMBER(E645),ISNUMBER(F645)),E645*F645,"")</f>
        <v/>
      </c>
      <c r="I645" s="38" t="str">
        <f>IF(A645="","",IFERROR(IF(N(INDEX('交易记录'!$G$5:$G$304,MATCH(A645,'交易记录'!$A$5:$A$304,0)))&gt;0,INDEX('交易记录'!$G$5:$G$304,MATCH(A645,'交易记录'!$A$5:$A$304,0)),1),1))</f>
        <v/>
      </c>
      <c r="J645" s="41" t="str">
        <f>IF(ISNUMBER(H645),ROUND('参数'!$C$11+H645*I645*'参数'!$C$12+F645*'参数'!$C$13,2),"")</f>
        <v/>
      </c>
      <c r="K645" s="22" t="n"/>
      <c r="L645" s="20" t="str">
        <f>IF(ISNUMBER(K645),K645,IF(ISNUMBER(H645),J645,""))</f>
        <v/>
      </c>
      <c r="M645" s="46" t="str">
        <f>IF(AND(ISNUMBER(E645),ISNUMBER(G645),ISNUMBER(F645)),(E645-G645)*IF(D645="卖",-1,1)*F645*I645,"")</f>
        <v/>
      </c>
      <c r="N645" s="38" t="str">
        <f>IF(A645="","",IFERROR(T(INDEX('交易记录'!$C$5:$C$304,MATCH(A645,'交易记录'!$A$5:$A$304,0))),"编号没找到"))</f>
        <v/>
      </c>
      <c r="O645" s="31" t="n"/>
    </row>
    <row r="646">
      <c r="A646" s="29" t="n"/>
      <c r="B646" s="30" t="n"/>
      <c r="C646" s="27" t="n"/>
      <c r="D646" s="32" t="n"/>
      <c r="E646" s="33" t="n"/>
      <c r="F646" s="36" t="n"/>
      <c r="G646" s="33" t="n"/>
      <c r="H646" s="20" t="str">
        <f>IF(AND(ISNUMBER(E646),ISNUMBER(F646)),E646*F646,"")</f>
        <v/>
      </c>
      <c r="I646" s="38" t="str">
        <f>IF(A646="","",IFERROR(IF(N(INDEX('交易记录'!$G$5:$G$304,MATCH(A646,'交易记录'!$A$5:$A$304,0)))&gt;0,INDEX('交易记录'!$G$5:$G$304,MATCH(A646,'交易记录'!$A$5:$A$304,0)),1),1))</f>
        <v/>
      </c>
      <c r="J646" s="41" t="str">
        <f>IF(ISNUMBER(H646),ROUND('参数'!$C$11+H646*I646*'参数'!$C$12+F646*'参数'!$C$13,2),"")</f>
        <v/>
      </c>
      <c r="K646" s="22" t="n"/>
      <c r="L646" s="20" t="str">
        <f>IF(ISNUMBER(K646),K646,IF(ISNUMBER(H646),J646,""))</f>
        <v/>
      </c>
      <c r="M646" s="46" t="str">
        <f>IF(AND(ISNUMBER(E646),ISNUMBER(G646),ISNUMBER(F646)),(E646-G646)*IF(D646="卖",-1,1)*F646*I646,"")</f>
        <v/>
      </c>
      <c r="N646" s="38" t="str">
        <f>IF(A646="","",IFERROR(T(INDEX('交易记录'!$C$5:$C$304,MATCH(A646,'交易记录'!$A$5:$A$304,0))),"编号没找到"))</f>
        <v/>
      </c>
      <c r="O646" s="31" t="n"/>
    </row>
    <row r="647">
      <c r="A647" s="29" t="n"/>
      <c r="B647" s="30" t="n"/>
      <c r="C647" s="27" t="n"/>
      <c r="D647" s="32" t="n"/>
      <c r="E647" s="33" t="n"/>
      <c r="F647" s="36" t="n"/>
      <c r="G647" s="33" t="n"/>
      <c r="H647" s="20" t="str">
        <f>IF(AND(ISNUMBER(E647),ISNUMBER(F647)),E647*F647,"")</f>
        <v/>
      </c>
      <c r="I647" s="38" t="str">
        <f>IF(A647="","",IFERROR(IF(N(INDEX('交易记录'!$G$5:$G$304,MATCH(A647,'交易记录'!$A$5:$A$304,0)))&gt;0,INDEX('交易记录'!$G$5:$G$304,MATCH(A647,'交易记录'!$A$5:$A$304,0)),1),1))</f>
        <v/>
      </c>
      <c r="J647" s="41" t="str">
        <f>IF(ISNUMBER(H647),ROUND('参数'!$C$11+H647*I647*'参数'!$C$12+F647*'参数'!$C$13,2),"")</f>
        <v/>
      </c>
      <c r="K647" s="22" t="n"/>
      <c r="L647" s="20" t="str">
        <f>IF(ISNUMBER(K647),K647,IF(ISNUMBER(H647),J647,""))</f>
        <v/>
      </c>
      <c r="M647" s="46" t="str">
        <f>IF(AND(ISNUMBER(E647),ISNUMBER(G647),ISNUMBER(F647)),(E647-G647)*IF(D647="卖",-1,1)*F647*I647,"")</f>
        <v/>
      </c>
      <c r="N647" s="38" t="str">
        <f>IF(A647="","",IFERROR(T(INDEX('交易记录'!$C$5:$C$304,MATCH(A647,'交易记录'!$A$5:$A$304,0))),"编号没找到"))</f>
        <v/>
      </c>
      <c r="O647" s="31" t="n"/>
    </row>
    <row r="648">
      <c r="A648" s="29" t="n"/>
      <c r="B648" s="30" t="n"/>
      <c r="C648" s="27" t="n"/>
      <c r="D648" s="32" t="n"/>
      <c r="E648" s="33" t="n"/>
      <c r="F648" s="36" t="n"/>
      <c r="G648" s="33" t="n"/>
      <c r="H648" s="20" t="str">
        <f>IF(AND(ISNUMBER(E648),ISNUMBER(F648)),E648*F648,"")</f>
        <v/>
      </c>
      <c r="I648" s="38" t="str">
        <f>IF(A648="","",IFERROR(IF(N(INDEX('交易记录'!$G$5:$G$304,MATCH(A648,'交易记录'!$A$5:$A$304,0)))&gt;0,INDEX('交易记录'!$G$5:$G$304,MATCH(A648,'交易记录'!$A$5:$A$304,0)),1),1))</f>
        <v/>
      </c>
      <c r="J648" s="41" t="str">
        <f>IF(ISNUMBER(H648),ROUND('参数'!$C$11+H648*I648*'参数'!$C$12+F648*'参数'!$C$13,2),"")</f>
        <v/>
      </c>
      <c r="K648" s="22" t="n"/>
      <c r="L648" s="20" t="str">
        <f>IF(ISNUMBER(K648),K648,IF(ISNUMBER(H648),J648,""))</f>
        <v/>
      </c>
      <c r="M648" s="46" t="str">
        <f>IF(AND(ISNUMBER(E648),ISNUMBER(G648),ISNUMBER(F648)),(E648-G648)*IF(D648="卖",-1,1)*F648*I648,"")</f>
        <v/>
      </c>
      <c r="N648" s="38" t="str">
        <f>IF(A648="","",IFERROR(T(INDEX('交易记录'!$C$5:$C$304,MATCH(A648,'交易记录'!$A$5:$A$304,0))),"编号没找到"))</f>
        <v/>
      </c>
      <c r="O648" s="31" t="n"/>
    </row>
    <row r="649">
      <c r="A649" s="29" t="n"/>
      <c r="B649" s="30" t="n"/>
      <c r="C649" s="27" t="n"/>
      <c r="D649" s="32" t="n"/>
      <c r="E649" s="33" t="n"/>
      <c r="F649" s="36" t="n"/>
      <c r="G649" s="33" t="n"/>
      <c r="H649" s="20" t="str">
        <f>IF(AND(ISNUMBER(E649),ISNUMBER(F649)),E649*F649,"")</f>
        <v/>
      </c>
      <c r="I649" s="38" t="str">
        <f>IF(A649="","",IFERROR(IF(N(INDEX('交易记录'!$G$5:$G$304,MATCH(A649,'交易记录'!$A$5:$A$304,0)))&gt;0,INDEX('交易记录'!$G$5:$G$304,MATCH(A649,'交易记录'!$A$5:$A$304,0)),1),1))</f>
        <v/>
      </c>
      <c r="J649" s="41" t="str">
        <f>IF(ISNUMBER(H649),ROUND('参数'!$C$11+H649*I649*'参数'!$C$12+F649*'参数'!$C$13,2),"")</f>
        <v/>
      </c>
      <c r="K649" s="22" t="n"/>
      <c r="L649" s="20" t="str">
        <f>IF(ISNUMBER(K649),K649,IF(ISNUMBER(H649),J649,""))</f>
        <v/>
      </c>
      <c r="M649" s="46" t="str">
        <f>IF(AND(ISNUMBER(E649),ISNUMBER(G649),ISNUMBER(F649)),(E649-G649)*IF(D649="卖",-1,1)*F649*I649,"")</f>
        <v/>
      </c>
      <c r="N649" s="38" t="str">
        <f>IF(A649="","",IFERROR(T(INDEX('交易记录'!$C$5:$C$304,MATCH(A649,'交易记录'!$A$5:$A$304,0))),"编号没找到"))</f>
        <v/>
      </c>
      <c r="O649" s="31" t="n"/>
    </row>
    <row r="650">
      <c r="A650" s="29" t="n"/>
      <c r="B650" s="30" t="n"/>
      <c r="C650" s="27" t="n"/>
      <c r="D650" s="32" t="n"/>
      <c r="E650" s="33" t="n"/>
      <c r="F650" s="36" t="n"/>
      <c r="G650" s="33" t="n"/>
      <c r="H650" s="20" t="str">
        <f>IF(AND(ISNUMBER(E650),ISNUMBER(F650)),E650*F650,"")</f>
        <v/>
      </c>
      <c r="I650" s="38" t="str">
        <f>IF(A650="","",IFERROR(IF(N(INDEX('交易记录'!$G$5:$G$304,MATCH(A650,'交易记录'!$A$5:$A$304,0)))&gt;0,INDEX('交易记录'!$G$5:$G$304,MATCH(A650,'交易记录'!$A$5:$A$304,0)),1),1))</f>
        <v/>
      </c>
      <c r="J650" s="41" t="str">
        <f>IF(ISNUMBER(H650),ROUND('参数'!$C$11+H650*I650*'参数'!$C$12+F650*'参数'!$C$13,2),"")</f>
        <v/>
      </c>
      <c r="K650" s="22" t="n"/>
      <c r="L650" s="20" t="str">
        <f>IF(ISNUMBER(K650),K650,IF(ISNUMBER(H650),J650,""))</f>
        <v/>
      </c>
      <c r="M650" s="46" t="str">
        <f>IF(AND(ISNUMBER(E650),ISNUMBER(G650),ISNUMBER(F650)),(E650-G650)*IF(D650="卖",-1,1)*F650*I650,"")</f>
        <v/>
      </c>
      <c r="N650" s="38" t="str">
        <f>IF(A650="","",IFERROR(T(INDEX('交易记录'!$C$5:$C$304,MATCH(A650,'交易记录'!$A$5:$A$304,0))),"编号没找到"))</f>
        <v/>
      </c>
      <c r="O650" s="31" t="n"/>
    </row>
    <row r="651">
      <c r="A651" s="29" t="n"/>
      <c r="B651" s="30" t="n"/>
      <c r="C651" s="27" t="n"/>
      <c r="D651" s="32" t="n"/>
      <c r="E651" s="33" t="n"/>
      <c r="F651" s="36" t="n"/>
      <c r="G651" s="33" t="n"/>
      <c r="H651" s="20" t="str">
        <f>IF(AND(ISNUMBER(E651),ISNUMBER(F651)),E651*F651,"")</f>
        <v/>
      </c>
      <c r="I651" s="38" t="str">
        <f>IF(A651="","",IFERROR(IF(N(INDEX('交易记录'!$G$5:$G$304,MATCH(A651,'交易记录'!$A$5:$A$304,0)))&gt;0,INDEX('交易记录'!$G$5:$G$304,MATCH(A651,'交易记录'!$A$5:$A$304,0)),1),1))</f>
        <v/>
      </c>
      <c r="J651" s="41" t="str">
        <f>IF(ISNUMBER(H651),ROUND('参数'!$C$11+H651*I651*'参数'!$C$12+F651*'参数'!$C$13,2),"")</f>
        <v/>
      </c>
      <c r="K651" s="22" t="n"/>
      <c r="L651" s="20" t="str">
        <f>IF(ISNUMBER(K651),K651,IF(ISNUMBER(H651),J651,""))</f>
        <v/>
      </c>
      <c r="M651" s="46" t="str">
        <f>IF(AND(ISNUMBER(E651),ISNUMBER(G651),ISNUMBER(F651)),(E651-G651)*IF(D651="卖",-1,1)*F651*I651,"")</f>
        <v/>
      </c>
      <c r="N651" s="38" t="str">
        <f>IF(A651="","",IFERROR(T(INDEX('交易记录'!$C$5:$C$304,MATCH(A651,'交易记录'!$A$5:$A$304,0))),"编号没找到"))</f>
        <v/>
      </c>
      <c r="O651" s="31" t="n"/>
    </row>
    <row r="652">
      <c r="A652" s="29" t="n"/>
      <c r="B652" s="30" t="n"/>
      <c r="C652" s="27" t="n"/>
      <c r="D652" s="32" t="n"/>
      <c r="E652" s="33" t="n"/>
      <c r="F652" s="36" t="n"/>
      <c r="G652" s="33" t="n"/>
      <c r="H652" s="20" t="str">
        <f>IF(AND(ISNUMBER(E652),ISNUMBER(F652)),E652*F652,"")</f>
        <v/>
      </c>
      <c r="I652" s="38" t="str">
        <f>IF(A652="","",IFERROR(IF(N(INDEX('交易记录'!$G$5:$G$304,MATCH(A652,'交易记录'!$A$5:$A$304,0)))&gt;0,INDEX('交易记录'!$G$5:$G$304,MATCH(A652,'交易记录'!$A$5:$A$304,0)),1),1))</f>
        <v/>
      </c>
      <c r="J652" s="41" t="str">
        <f>IF(ISNUMBER(H652),ROUND('参数'!$C$11+H652*I652*'参数'!$C$12+F652*'参数'!$C$13,2),"")</f>
        <v/>
      </c>
      <c r="K652" s="22" t="n"/>
      <c r="L652" s="20" t="str">
        <f>IF(ISNUMBER(K652),K652,IF(ISNUMBER(H652),J652,""))</f>
        <v/>
      </c>
      <c r="M652" s="46" t="str">
        <f>IF(AND(ISNUMBER(E652),ISNUMBER(G652),ISNUMBER(F652)),(E652-G652)*IF(D652="卖",-1,1)*F652*I652,"")</f>
        <v/>
      </c>
      <c r="N652" s="38" t="str">
        <f>IF(A652="","",IFERROR(T(INDEX('交易记录'!$C$5:$C$304,MATCH(A652,'交易记录'!$A$5:$A$304,0))),"编号没找到"))</f>
        <v/>
      </c>
      <c r="O652" s="31" t="n"/>
    </row>
    <row r="653">
      <c r="A653" s="29" t="n"/>
      <c r="B653" s="30" t="n"/>
      <c r="C653" s="27" t="n"/>
      <c r="D653" s="32" t="n"/>
      <c r="E653" s="33" t="n"/>
      <c r="F653" s="36" t="n"/>
      <c r="G653" s="33" t="n"/>
      <c r="H653" s="20" t="str">
        <f>IF(AND(ISNUMBER(E653),ISNUMBER(F653)),E653*F653,"")</f>
        <v/>
      </c>
      <c r="I653" s="38" t="str">
        <f>IF(A653="","",IFERROR(IF(N(INDEX('交易记录'!$G$5:$G$304,MATCH(A653,'交易记录'!$A$5:$A$304,0)))&gt;0,INDEX('交易记录'!$G$5:$G$304,MATCH(A653,'交易记录'!$A$5:$A$304,0)),1),1))</f>
        <v/>
      </c>
      <c r="J653" s="41" t="str">
        <f>IF(ISNUMBER(H653),ROUND('参数'!$C$11+H653*I653*'参数'!$C$12+F653*'参数'!$C$13,2),"")</f>
        <v/>
      </c>
      <c r="K653" s="22" t="n"/>
      <c r="L653" s="20" t="str">
        <f>IF(ISNUMBER(K653),K653,IF(ISNUMBER(H653),J653,""))</f>
        <v/>
      </c>
      <c r="M653" s="46" t="str">
        <f>IF(AND(ISNUMBER(E653),ISNUMBER(G653),ISNUMBER(F653)),(E653-G653)*IF(D653="卖",-1,1)*F653*I653,"")</f>
        <v/>
      </c>
      <c r="N653" s="38" t="str">
        <f>IF(A653="","",IFERROR(T(INDEX('交易记录'!$C$5:$C$304,MATCH(A653,'交易记录'!$A$5:$A$304,0))),"编号没找到"))</f>
        <v/>
      </c>
      <c r="O653" s="31" t="n"/>
    </row>
    <row r="654">
      <c r="A654" s="29" t="n"/>
      <c r="B654" s="30" t="n"/>
      <c r="C654" s="27" t="n"/>
      <c r="D654" s="32" t="n"/>
      <c r="E654" s="33" t="n"/>
      <c r="F654" s="36" t="n"/>
      <c r="G654" s="33" t="n"/>
      <c r="H654" s="20" t="str">
        <f>IF(AND(ISNUMBER(E654),ISNUMBER(F654)),E654*F654,"")</f>
        <v/>
      </c>
      <c r="I654" s="38" t="str">
        <f>IF(A654="","",IFERROR(IF(N(INDEX('交易记录'!$G$5:$G$304,MATCH(A654,'交易记录'!$A$5:$A$304,0)))&gt;0,INDEX('交易记录'!$G$5:$G$304,MATCH(A654,'交易记录'!$A$5:$A$304,0)),1),1))</f>
        <v/>
      </c>
      <c r="J654" s="41" t="str">
        <f>IF(ISNUMBER(H654),ROUND('参数'!$C$11+H654*I654*'参数'!$C$12+F654*'参数'!$C$13,2),"")</f>
        <v/>
      </c>
      <c r="K654" s="22" t="n"/>
      <c r="L654" s="20" t="str">
        <f>IF(ISNUMBER(K654),K654,IF(ISNUMBER(H654),J654,""))</f>
        <v/>
      </c>
      <c r="M654" s="46" t="str">
        <f>IF(AND(ISNUMBER(E654),ISNUMBER(G654),ISNUMBER(F654)),(E654-G654)*IF(D654="卖",-1,1)*F654*I654,"")</f>
        <v/>
      </c>
      <c r="N654" s="38" t="str">
        <f>IF(A654="","",IFERROR(T(INDEX('交易记录'!$C$5:$C$304,MATCH(A654,'交易记录'!$A$5:$A$304,0))),"编号没找到"))</f>
        <v/>
      </c>
      <c r="O654" s="31" t="n"/>
    </row>
    <row r="655">
      <c r="A655" s="29" t="n"/>
      <c r="B655" s="30" t="n"/>
      <c r="C655" s="27" t="n"/>
      <c r="D655" s="32" t="n"/>
      <c r="E655" s="33" t="n"/>
      <c r="F655" s="36" t="n"/>
      <c r="G655" s="33" t="n"/>
      <c r="H655" s="20" t="str">
        <f>IF(AND(ISNUMBER(E655),ISNUMBER(F655)),E655*F655,"")</f>
        <v/>
      </c>
      <c r="I655" s="38" t="str">
        <f>IF(A655="","",IFERROR(IF(N(INDEX('交易记录'!$G$5:$G$304,MATCH(A655,'交易记录'!$A$5:$A$304,0)))&gt;0,INDEX('交易记录'!$G$5:$G$304,MATCH(A655,'交易记录'!$A$5:$A$304,0)),1),1))</f>
        <v/>
      </c>
      <c r="J655" s="41" t="str">
        <f>IF(ISNUMBER(H655),ROUND('参数'!$C$11+H655*I655*'参数'!$C$12+F655*'参数'!$C$13,2),"")</f>
        <v/>
      </c>
      <c r="K655" s="22" t="n"/>
      <c r="L655" s="20" t="str">
        <f>IF(ISNUMBER(K655),K655,IF(ISNUMBER(H655),J655,""))</f>
        <v/>
      </c>
      <c r="M655" s="46" t="str">
        <f>IF(AND(ISNUMBER(E655),ISNUMBER(G655),ISNUMBER(F655)),(E655-G655)*IF(D655="卖",-1,1)*F655*I655,"")</f>
        <v/>
      </c>
      <c r="N655" s="38" t="str">
        <f>IF(A655="","",IFERROR(T(INDEX('交易记录'!$C$5:$C$304,MATCH(A655,'交易记录'!$A$5:$A$304,0))),"编号没找到"))</f>
        <v/>
      </c>
      <c r="O655" s="31" t="n"/>
    </row>
    <row r="656">
      <c r="A656" s="29" t="n"/>
      <c r="B656" s="30" t="n"/>
      <c r="C656" s="27" t="n"/>
      <c r="D656" s="32" t="n"/>
      <c r="E656" s="33" t="n"/>
      <c r="F656" s="36" t="n"/>
      <c r="G656" s="33" t="n"/>
      <c r="H656" s="20" t="str">
        <f>IF(AND(ISNUMBER(E656),ISNUMBER(F656)),E656*F656,"")</f>
        <v/>
      </c>
      <c r="I656" s="38" t="str">
        <f>IF(A656="","",IFERROR(IF(N(INDEX('交易记录'!$G$5:$G$304,MATCH(A656,'交易记录'!$A$5:$A$304,0)))&gt;0,INDEX('交易记录'!$G$5:$G$304,MATCH(A656,'交易记录'!$A$5:$A$304,0)),1),1))</f>
        <v/>
      </c>
      <c r="J656" s="41" t="str">
        <f>IF(ISNUMBER(H656),ROUND('参数'!$C$11+H656*I656*'参数'!$C$12+F656*'参数'!$C$13,2),"")</f>
        <v/>
      </c>
      <c r="K656" s="22" t="n"/>
      <c r="L656" s="20" t="str">
        <f>IF(ISNUMBER(K656),K656,IF(ISNUMBER(H656),J656,""))</f>
        <v/>
      </c>
      <c r="M656" s="46" t="str">
        <f>IF(AND(ISNUMBER(E656),ISNUMBER(G656),ISNUMBER(F656)),(E656-G656)*IF(D656="卖",-1,1)*F656*I656,"")</f>
        <v/>
      </c>
      <c r="N656" s="38" t="str">
        <f>IF(A656="","",IFERROR(T(INDEX('交易记录'!$C$5:$C$304,MATCH(A656,'交易记录'!$A$5:$A$304,0))),"编号没找到"))</f>
        <v/>
      </c>
      <c r="O656" s="31" t="n"/>
    </row>
    <row r="657">
      <c r="A657" s="29" t="n"/>
      <c r="B657" s="30" t="n"/>
      <c r="C657" s="27" t="n"/>
      <c r="D657" s="32" t="n"/>
      <c r="E657" s="33" t="n"/>
      <c r="F657" s="36" t="n"/>
      <c r="G657" s="33" t="n"/>
      <c r="H657" s="20" t="str">
        <f>IF(AND(ISNUMBER(E657),ISNUMBER(F657)),E657*F657,"")</f>
        <v/>
      </c>
      <c r="I657" s="38" t="str">
        <f>IF(A657="","",IFERROR(IF(N(INDEX('交易记录'!$G$5:$G$304,MATCH(A657,'交易记录'!$A$5:$A$304,0)))&gt;0,INDEX('交易记录'!$G$5:$G$304,MATCH(A657,'交易记录'!$A$5:$A$304,0)),1),1))</f>
        <v/>
      </c>
      <c r="J657" s="41" t="str">
        <f>IF(ISNUMBER(H657),ROUND('参数'!$C$11+H657*I657*'参数'!$C$12+F657*'参数'!$C$13,2),"")</f>
        <v/>
      </c>
      <c r="K657" s="22" t="n"/>
      <c r="L657" s="20" t="str">
        <f>IF(ISNUMBER(K657),K657,IF(ISNUMBER(H657),J657,""))</f>
        <v/>
      </c>
      <c r="M657" s="46" t="str">
        <f>IF(AND(ISNUMBER(E657),ISNUMBER(G657),ISNUMBER(F657)),(E657-G657)*IF(D657="卖",-1,1)*F657*I657,"")</f>
        <v/>
      </c>
      <c r="N657" s="38" t="str">
        <f>IF(A657="","",IFERROR(T(INDEX('交易记录'!$C$5:$C$304,MATCH(A657,'交易记录'!$A$5:$A$304,0))),"编号没找到"))</f>
        <v/>
      </c>
      <c r="O657" s="31" t="n"/>
    </row>
    <row r="658">
      <c r="A658" s="29" t="n"/>
      <c r="B658" s="30" t="n"/>
      <c r="C658" s="27" t="n"/>
      <c r="D658" s="32" t="n"/>
      <c r="E658" s="33" t="n"/>
      <c r="F658" s="36" t="n"/>
      <c r="G658" s="33" t="n"/>
      <c r="H658" s="20" t="str">
        <f>IF(AND(ISNUMBER(E658),ISNUMBER(F658)),E658*F658,"")</f>
        <v/>
      </c>
      <c r="I658" s="38" t="str">
        <f>IF(A658="","",IFERROR(IF(N(INDEX('交易记录'!$G$5:$G$304,MATCH(A658,'交易记录'!$A$5:$A$304,0)))&gt;0,INDEX('交易记录'!$G$5:$G$304,MATCH(A658,'交易记录'!$A$5:$A$304,0)),1),1))</f>
        <v/>
      </c>
      <c r="J658" s="41" t="str">
        <f>IF(ISNUMBER(H658),ROUND('参数'!$C$11+H658*I658*'参数'!$C$12+F658*'参数'!$C$13,2),"")</f>
        <v/>
      </c>
      <c r="K658" s="22" t="n"/>
      <c r="L658" s="20" t="str">
        <f>IF(ISNUMBER(K658),K658,IF(ISNUMBER(H658),J658,""))</f>
        <v/>
      </c>
      <c r="M658" s="46" t="str">
        <f>IF(AND(ISNUMBER(E658),ISNUMBER(G658),ISNUMBER(F658)),(E658-G658)*IF(D658="卖",-1,1)*F658*I658,"")</f>
        <v/>
      </c>
      <c r="N658" s="38" t="str">
        <f>IF(A658="","",IFERROR(T(INDEX('交易记录'!$C$5:$C$304,MATCH(A658,'交易记录'!$A$5:$A$304,0))),"编号没找到"))</f>
        <v/>
      </c>
      <c r="O658" s="31" t="n"/>
    </row>
    <row r="659">
      <c r="A659" s="29" t="n"/>
      <c r="B659" s="30" t="n"/>
      <c r="C659" s="27" t="n"/>
      <c r="D659" s="32" t="n"/>
      <c r="E659" s="33" t="n"/>
      <c r="F659" s="36" t="n"/>
      <c r="G659" s="33" t="n"/>
      <c r="H659" s="20" t="str">
        <f>IF(AND(ISNUMBER(E659),ISNUMBER(F659)),E659*F659,"")</f>
        <v/>
      </c>
      <c r="I659" s="38" t="str">
        <f>IF(A659="","",IFERROR(IF(N(INDEX('交易记录'!$G$5:$G$304,MATCH(A659,'交易记录'!$A$5:$A$304,0)))&gt;0,INDEX('交易记录'!$G$5:$G$304,MATCH(A659,'交易记录'!$A$5:$A$304,0)),1),1))</f>
        <v/>
      </c>
      <c r="J659" s="41" t="str">
        <f>IF(ISNUMBER(H659),ROUND('参数'!$C$11+H659*I659*'参数'!$C$12+F659*'参数'!$C$13,2),"")</f>
        <v/>
      </c>
      <c r="K659" s="22" t="n"/>
      <c r="L659" s="20" t="str">
        <f>IF(ISNUMBER(K659),K659,IF(ISNUMBER(H659),J659,""))</f>
        <v/>
      </c>
      <c r="M659" s="46" t="str">
        <f>IF(AND(ISNUMBER(E659),ISNUMBER(G659),ISNUMBER(F659)),(E659-G659)*IF(D659="卖",-1,1)*F659*I659,"")</f>
        <v/>
      </c>
      <c r="N659" s="38" t="str">
        <f>IF(A659="","",IFERROR(T(INDEX('交易记录'!$C$5:$C$304,MATCH(A659,'交易记录'!$A$5:$A$304,0))),"编号没找到"))</f>
        <v/>
      </c>
      <c r="O659" s="31" t="n"/>
    </row>
    <row r="660">
      <c r="A660" s="29" t="n"/>
      <c r="B660" s="30" t="n"/>
      <c r="C660" s="27" t="n"/>
      <c r="D660" s="32" t="n"/>
      <c r="E660" s="33" t="n"/>
      <c r="F660" s="36" t="n"/>
      <c r="G660" s="33" t="n"/>
      <c r="H660" s="20" t="str">
        <f>IF(AND(ISNUMBER(E660),ISNUMBER(F660)),E660*F660,"")</f>
        <v/>
      </c>
      <c r="I660" s="38" t="str">
        <f>IF(A660="","",IFERROR(IF(N(INDEX('交易记录'!$G$5:$G$304,MATCH(A660,'交易记录'!$A$5:$A$304,0)))&gt;0,INDEX('交易记录'!$G$5:$G$304,MATCH(A660,'交易记录'!$A$5:$A$304,0)),1),1))</f>
        <v/>
      </c>
      <c r="J660" s="41" t="str">
        <f>IF(ISNUMBER(H660),ROUND('参数'!$C$11+H660*I660*'参数'!$C$12+F660*'参数'!$C$13,2),"")</f>
        <v/>
      </c>
      <c r="K660" s="22" t="n"/>
      <c r="L660" s="20" t="str">
        <f>IF(ISNUMBER(K660),K660,IF(ISNUMBER(H660),J660,""))</f>
        <v/>
      </c>
      <c r="M660" s="46" t="str">
        <f>IF(AND(ISNUMBER(E660),ISNUMBER(G660),ISNUMBER(F660)),(E660-G660)*IF(D660="卖",-1,1)*F660*I660,"")</f>
        <v/>
      </c>
      <c r="N660" s="38" t="str">
        <f>IF(A660="","",IFERROR(T(INDEX('交易记录'!$C$5:$C$304,MATCH(A660,'交易记录'!$A$5:$A$304,0))),"编号没找到"))</f>
        <v/>
      </c>
      <c r="O660" s="31" t="n"/>
    </row>
    <row r="661">
      <c r="A661" s="29" t="n"/>
      <c r="B661" s="30" t="n"/>
      <c r="C661" s="27" t="n"/>
      <c r="D661" s="32" t="n"/>
      <c r="E661" s="33" t="n"/>
      <c r="F661" s="36" t="n"/>
      <c r="G661" s="33" t="n"/>
      <c r="H661" s="20" t="str">
        <f>IF(AND(ISNUMBER(E661),ISNUMBER(F661)),E661*F661,"")</f>
        <v/>
      </c>
      <c r="I661" s="38" t="str">
        <f>IF(A661="","",IFERROR(IF(N(INDEX('交易记录'!$G$5:$G$304,MATCH(A661,'交易记录'!$A$5:$A$304,0)))&gt;0,INDEX('交易记录'!$G$5:$G$304,MATCH(A661,'交易记录'!$A$5:$A$304,0)),1),1))</f>
        <v/>
      </c>
      <c r="J661" s="41" t="str">
        <f>IF(ISNUMBER(H661),ROUND('参数'!$C$11+H661*I661*'参数'!$C$12+F661*'参数'!$C$13,2),"")</f>
        <v/>
      </c>
      <c r="K661" s="22" t="n"/>
      <c r="L661" s="20" t="str">
        <f>IF(ISNUMBER(K661),K661,IF(ISNUMBER(H661),J661,""))</f>
        <v/>
      </c>
      <c r="M661" s="46" t="str">
        <f>IF(AND(ISNUMBER(E661),ISNUMBER(G661),ISNUMBER(F661)),(E661-G661)*IF(D661="卖",-1,1)*F661*I661,"")</f>
        <v/>
      </c>
      <c r="N661" s="38" t="str">
        <f>IF(A661="","",IFERROR(T(INDEX('交易记录'!$C$5:$C$304,MATCH(A661,'交易记录'!$A$5:$A$304,0))),"编号没找到"))</f>
        <v/>
      </c>
      <c r="O661" s="31" t="n"/>
    </row>
    <row r="662">
      <c r="A662" s="29" t="n"/>
      <c r="B662" s="30" t="n"/>
      <c r="C662" s="27" t="n"/>
      <c r="D662" s="32" t="n"/>
      <c r="E662" s="33" t="n"/>
      <c r="F662" s="36" t="n"/>
      <c r="G662" s="33" t="n"/>
      <c r="H662" s="20" t="str">
        <f>IF(AND(ISNUMBER(E662),ISNUMBER(F662)),E662*F662,"")</f>
        <v/>
      </c>
      <c r="I662" s="38" t="str">
        <f>IF(A662="","",IFERROR(IF(N(INDEX('交易记录'!$G$5:$G$304,MATCH(A662,'交易记录'!$A$5:$A$304,0)))&gt;0,INDEX('交易记录'!$G$5:$G$304,MATCH(A662,'交易记录'!$A$5:$A$304,0)),1),1))</f>
        <v/>
      </c>
      <c r="J662" s="41" t="str">
        <f>IF(ISNUMBER(H662),ROUND('参数'!$C$11+H662*I662*'参数'!$C$12+F662*'参数'!$C$13,2),"")</f>
        <v/>
      </c>
      <c r="K662" s="22" t="n"/>
      <c r="L662" s="20" t="str">
        <f>IF(ISNUMBER(K662),K662,IF(ISNUMBER(H662),J662,""))</f>
        <v/>
      </c>
      <c r="M662" s="46" t="str">
        <f>IF(AND(ISNUMBER(E662),ISNUMBER(G662),ISNUMBER(F662)),(E662-G662)*IF(D662="卖",-1,1)*F662*I662,"")</f>
        <v/>
      </c>
      <c r="N662" s="38" t="str">
        <f>IF(A662="","",IFERROR(T(INDEX('交易记录'!$C$5:$C$304,MATCH(A662,'交易记录'!$A$5:$A$304,0))),"编号没找到"))</f>
        <v/>
      </c>
      <c r="O662" s="31" t="n"/>
    </row>
    <row r="663">
      <c r="A663" s="29" t="n"/>
      <c r="B663" s="30" t="n"/>
      <c r="C663" s="27" t="n"/>
      <c r="D663" s="32" t="n"/>
      <c r="E663" s="33" t="n"/>
      <c r="F663" s="36" t="n"/>
      <c r="G663" s="33" t="n"/>
      <c r="H663" s="20" t="str">
        <f>IF(AND(ISNUMBER(E663),ISNUMBER(F663)),E663*F663,"")</f>
        <v/>
      </c>
      <c r="I663" s="38" t="str">
        <f>IF(A663="","",IFERROR(IF(N(INDEX('交易记录'!$G$5:$G$304,MATCH(A663,'交易记录'!$A$5:$A$304,0)))&gt;0,INDEX('交易记录'!$G$5:$G$304,MATCH(A663,'交易记录'!$A$5:$A$304,0)),1),1))</f>
        <v/>
      </c>
      <c r="J663" s="41" t="str">
        <f>IF(ISNUMBER(H663),ROUND('参数'!$C$11+H663*I663*'参数'!$C$12+F663*'参数'!$C$13,2),"")</f>
        <v/>
      </c>
      <c r="K663" s="22" t="n"/>
      <c r="L663" s="20" t="str">
        <f>IF(ISNUMBER(K663),K663,IF(ISNUMBER(H663),J663,""))</f>
        <v/>
      </c>
      <c r="M663" s="46" t="str">
        <f>IF(AND(ISNUMBER(E663),ISNUMBER(G663),ISNUMBER(F663)),(E663-G663)*IF(D663="卖",-1,1)*F663*I663,"")</f>
        <v/>
      </c>
      <c r="N663" s="38" t="str">
        <f>IF(A663="","",IFERROR(T(INDEX('交易记录'!$C$5:$C$304,MATCH(A663,'交易记录'!$A$5:$A$304,0))),"编号没找到"))</f>
        <v/>
      </c>
      <c r="O663" s="31" t="n"/>
    </row>
    <row r="664">
      <c r="A664" s="29" t="n"/>
      <c r="B664" s="30" t="n"/>
      <c r="C664" s="27" t="n"/>
      <c r="D664" s="32" t="n"/>
      <c r="E664" s="33" t="n"/>
      <c r="F664" s="36" t="n"/>
      <c r="G664" s="33" t="n"/>
      <c r="H664" s="20" t="str">
        <f>IF(AND(ISNUMBER(E664),ISNUMBER(F664)),E664*F664,"")</f>
        <v/>
      </c>
      <c r="I664" s="38" t="str">
        <f>IF(A664="","",IFERROR(IF(N(INDEX('交易记录'!$G$5:$G$304,MATCH(A664,'交易记录'!$A$5:$A$304,0)))&gt;0,INDEX('交易记录'!$G$5:$G$304,MATCH(A664,'交易记录'!$A$5:$A$304,0)),1),1))</f>
        <v/>
      </c>
      <c r="J664" s="41" t="str">
        <f>IF(ISNUMBER(H664),ROUND('参数'!$C$11+H664*I664*'参数'!$C$12+F664*'参数'!$C$13,2),"")</f>
        <v/>
      </c>
      <c r="K664" s="22" t="n"/>
      <c r="L664" s="20" t="str">
        <f>IF(ISNUMBER(K664),K664,IF(ISNUMBER(H664),J664,""))</f>
        <v/>
      </c>
      <c r="M664" s="46" t="str">
        <f>IF(AND(ISNUMBER(E664),ISNUMBER(G664),ISNUMBER(F664)),(E664-G664)*IF(D664="卖",-1,1)*F664*I664,"")</f>
        <v/>
      </c>
      <c r="N664" s="38" t="str">
        <f>IF(A664="","",IFERROR(T(INDEX('交易记录'!$C$5:$C$304,MATCH(A664,'交易记录'!$A$5:$A$304,0))),"编号没找到"))</f>
        <v/>
      </c>
      <c r="O664" s="31" t="n"/>
    </row>
    <row r="665">
      <c r="A665" s="29" t="n"/>
      <c r="B665" s="30" t="n"/>
      <c r="C665" s="27" t="n"/>
      <c r="D665" s="32" t="n"/>
      <c r="E665" s="33" t="n"/>
      <c r="F665" s="36" t="n"/>
      <c r="G665" s="33" t="n"/>
      <c r="H665" s="20" t="str">
        <f>IF(AND(ISNUMBER(E665),ISNUMBER(F665)),E665*F665,"")</f>
        <v/>
      </c>
      <c r="I665" s="38" t="str">
        <f>IF(A665="","",IFERROR(IF(N(INDEX('交易记录'!$G$5:$G$304,MATCH(A665,'交易记录'!$A$5:$A$304,0)))&gt;0,INDEX('交易记录'!$G$5:$G$304,MATCH(A665,'交易记录'!$A$5:$A$304,0)),1),1))</f>
        <v/>
      </c>
      <c r="J665" s="41" t="str">
        <f>IF(ISNUMBER(H665),ROUND('参数'!$C$11+H665*I665*'参数'!$C$12+F665*'参数'!$C$13,2),"")</f>
        <v/>
      </c>
      <c r="K665" s="22" t="n"/>
      <c r="L665" s="20" t="str">
        <f>IF(ISNUMBER(K665),K665,IF(ISNUMBER(H665),J665,""))</f>
        <v/>
      </c>
      <c r="M665" s="46" t="str">
        <f>IF(AND(ISNUMBER(E665),ISNUMBER(G665),ISNUMBER(F665)),(E665-G665)*IF(D665="卖",-1,1)*F665*I665,"")</f>
        <v/>
      </c>
      <c r="N665" s="38" t="str">
        <f>IF(A665="","",IFERROR(T(INDEX('交易记录'!$C$5:$C$304,MATCH(A665,'交易记录'!$A$5:$A$304,0))),"编号没找到"))</f>
        <v/>
      </c>
      <c r="O665" s="31" t="n"/>
    </row>
    <row r="666">
      <c r="A666" s="29" t="n"/>
      <c r="B666" s="30" t="n"/>
      <c r="C666" s="27" t="n"/>
      <c r="D666" s="32" t="n"/>
      <c r="E666" s="33" t="n"/>
      <c r="F666" s="36" t="n"/>
      <c r="G666" s="33" t="n"/>
      <c r="H666" s="20" t="str">
        <f>IF(AND(ISNUMBER(E666),ISNUMBER(F666)),E666*F666,"")</f>
        <v/>
      </c>
      <c r="I666" s="38" t="str">
        <f>IF(A666="","",IFERROR(IF(N(INDEX('交易记录'!$G$5:$G$304,MATCH(A666,'交易记录'!$A$5:$A$304,0)))&gt;0,INDEX('交易记录'!$G$5:$G$304,MATCH(A666,'交易记录'!$A$5:$A$304,0)),1),1))</f>
        <v/>
      </c>
      <c r="J666" s="41" t="str">
        <f>IF(ISNUMBER(H666),ROUND('参数'!$C$11+H666*I666*'参数'!$C$12+F666*'参数'!$C$13,2),"")</f>
        <v/>
      </c>
      <c r="K666" s="22" t="n"/>
      <c r="L666" s="20" t="str">
        <f>IF(ISNUMBER(K666),K666,IF(ISNUMBER(H666),J666,""))</f>
        <v/>
      </c>
      <c r="M666" s="46" t="str">
        <f>IF(AND(ISNUMBER(E666),ISNUMBER(G666),ISNUMBER(F666)),(E666-G666)*IF(D666="卖",-1,1)*F666*I666,"")</f>
        <v/>
      </c>
      <c r="N666" s="38" t="str">
        <f>IF(A666="","",IFERROR(T(INDEX('交易记录'!$C$5:$C$304,MATCH(A666,'交易记录'!$A$5:$A$304,0))),"编号没找到"))</f>
        <v/>
      </c>
      <c r="O666" s="31" t="n"/>
    </row>
    <row r="667">
      <c r="A667" s="29" t="n"/>
      <c r="B667" s="30" t="n"/>
      <c r="C667" s="27" t="n"/>
      <c r="D667" s="32" t="n"/>
      <c r="E667" s="33" t="n"/>
      <c r="F667" s="36" t="n"/>
      <c r="G667" s="33" t="n"/>
      <c r="H667" s="20" t="str">
        <f>IF(AND(ISNUMBER(E667),ISNUMBER(F667)),E667*F667,"")</f>
        <v/>
      </c>
      <c r="I667" s="38" t="str">
        <f>IF(A667="","",IFERROR(IF(N(INDEX('交易记录'!$G$5:$G$304,MATCH(A667,'交易记录'!$A$5:$A$304,0)))&gt;0,INDEX('交易记录'!$G$5:$G$304,MATCH(A667,'交易记录'!$A$5:$A$304,0)),1),1))</f>
        <v/>
      </c>
      <c r="J667" s="41" t="str">
        <f>IF(ISNUMBER(H667),ROUND('参数'!$C$11+H667*I667*'参数'!$C$12+F667*'参数'!$C$13,2),"")</f>
        <v/>
      </c>
      <c r="K667" s="22" t="n"/>
      <c r="L667" s="20" t="str">
        <f>IF(ISNUMBER(K667),K667,IF(ISNUMBER(H667),J667,""))</f>
        <v/>
      </c>
      <c r="M667" s="46" t="str">
        <f>IF(AND(ISNUMBER(E667),ISNUMBER(G667),ISNUMBER(F667)),(E667-G667)*IF(D667="卖",-1,1)*F667*I667,"")</f>
        <v/>
      </c>
      <c r="N667" s="38" t="str">
        <f>IF(A667="","",IFERROR(T(INDEX('交易记录'!$C$5:$C$304,MATCH(A667,'交易记录'!$A$5:$A$304,0))),"编号没找到"))</f>
        <v/>
      </c>
      <c r="O667" s="31" t="n"/>
    </row>
    <row r="668">
      <c r="A668" s="29" t="n"/>
      <c r="B668" s="30" t="n"/>
      <c r="C668" s="27" t="n"/>
      <c r="D668" s="32" t="n"/>
      <c r="E668" s="33" t="n"/>
      <c r="F668" s="36" t="n"/>
      <c r="G668" s="33" t="n"/>
      <c r="H668" s="20" t="str">
        <f>IF(AND(ISNUMBER(E668),ISNUMBER(F668)),E668*F668,"")</f>
        <v/>
      </c>
      <c r="I668" s="38" t="str">
        <f>IF(A668="","",IFERROR(IF(N(INDEX('交易记录'!$G$5:$G$304,MATCH(A668,'交易记录'!$A$5:$A$304,0)))&gt;0,INDEX('交易记录'!$G$5:$G$304,MATCH(A668,'交易记录'!$A$5:$A$304,0)),1),1))</f>
        <v/>
      </c>
      <c r="J668" s="41" t="str">
        <f>IF(ISNUMBER(H668),ROUND('参数'!$C$11+H668*I668*'参数'!$C$12+F668*'参数'!$C$13,2),"")</f>
        <v/>
      </c>
      <c r="K668" s="22" t="n"/>
      <c r="L668" s="20" t="str">
        <f>IF(ISNUMBER(K668),K668,IF(ISNUMBER(H668),J668,""))</f>
        <v/>
      </c>
      <c r="M668" s="46" t="str">
        <f>IF(AND(ISNUMBER(E668),ISNUMBER(G668),ISNUMBER(F668)),(E668-G668)*IF(D668="卖",-1,1)*F668*I668,"")</f>
        <v/>
      </c>
      <c r="N668" s="38" t="str">
        <f>IF(A668="","",IFERROR(T(INDEX('交易记录'!$C$5:$C$304,MATCH(A668,'交易记录'!$A$5:$A$304,0))),"编号没找到"))</f>
        <v/>
      </c>
      <c r="O668" s="31" t="n"/>
    </row>
    <row r="669">
      <c r="A669" s="29" t="n"/>
      <c r="B669" s="30" t="n"/>
      <c r="C669" s="27" t="n"/>
      <c r="D669" s="32" t="n"/>
      <c r="E669" s="33" t="n"/>
      <c r="F669" s="36" t="n"/>
      <c r="G669" s="33" t="n"/>
      <c r="H669" s="20" t="str">
        <f>IF(AND(ISNUMBER(E669),ISNUMBER(F669)),E669*F669,"")</f>
        <v/>
      </c>
      <c r="I669" s="38" t="str">
        <f>IF(A669="","",IFERROR(IF(N(INDEX('交易记录'!$G$5:$G$304,MATCH(A669,'交易记录'!$A$5:$A$304,0)))&gt;0,INDEX('交易记录'!$G$5:$G$304,MATCH(A669,'交易记录'!$A$5:$A$304,0)),1),1))</f>
        <v/>
      </c>
      <c r="J669" s="41" t="str">
        <f>IF(ISNUMBER(H669),ROUND('参数'!$C$11+H669*I669*'参数'!$C$12+F669*'参数'!$C$13,2),"")</f>
        <v/>
      </c>
      <c r="K669" s="22" t="n"/>
      <c r="L669" s="20" t="str">
        <f>IF(ISNUMBER(K669),K669,IF(ISNUMBER(H669),J669,""))</f>
        <v/>
      </c>
      <c r="M669" s="46" t="str">
        <f>IF(AND(ISNUMBER(E669),ISNUMBER(G669),ISNUMBER(F669)),(E669-G669)*IF(D669="卖",-1,1)*F669*I669,"")</f>
        <v/>
      </c>
      <c r="N669" s="38" t="str">
        <f>IF(A669="","",IFERROR(T(INDEX('交易记录'!$C$5:$C$304,MATCH(A669,'交易记录'!$A$5:$A$304,0))),"编号没找到"))</f>
        <v/>
      </c>
      <c r="O669" s="31" t="n"/>
    </row>
    <row r="670">
      <c r="A670" s="29" t="n"/>
      <c r="B670" s="30" t="n"/>
      <c r="C670" s="27" t="n"/>
      <c r="D670" s="32" t="n"/>
      <c r="E670" s="33" t="n"/>
      <c r="F670" s="36" t="n"/>
      <c r="G670" s="33" t="n"/>
      <c r="H670" s="20" t="str">
        <f>IF(AND(ISNUMBER(E670),ISNUMBER(F670)),E670*F670,"")</f>
        <v/>
      </c>
      <c r="I670" s="38" t="str">
        <f>IF(A670="","",IFERROR(IF(N(INDEX('交易记录'!$G$5:$G$304,MATCH(A670,'交易记录'!$A$5:$A$304,0)))&gt;0,INDEX('交易记录'!$G$5:$G$304,MATCH(A670,'交易记录'!$A$5:$A$304,0)),1),1))</f>
        <v/>
      </c>
      <c r="J670" s="41" t="str">
        <f>IF(ISNUMBER(H670),ROUND('参数'!$C$11+H670*I670*'参数'!$C$12+F670*'参数'!$C$13,2),"")</f>
        <v/>
      </c>
      <c r="K670" s="22" t="n"/>
      <c r="L670" s="20" t="str">
        <f>IF(ISNUMBER(K670),K670,IF(ISNUMBER(H670),J670,""))</f>
        <v/>
      </c>
      <c r="M670" s="46" t="str">
        <f>IF(AND(ISNUMBER(E670),ISNUMBER(G670),ISNUMBER(F670)),(E670-G670)*IF(D670="卖",-1,1)*F670*I670,"")</f>
        <v/>
      </c>
      <c r="N670" s="38" t="str">
        <f>IF(A670="","",IFERROR(T(INDEX('交易记录'!$C$5:$C$304,MATCH(A670,'交易记录'!$A$5:$A$304,0))),"编号没找到"))</f>
        <v/>
      </c>
      <c r="O670" s="31" t="n"/>
    </row>
    <row r="671">
      <c r="A671" s="29" t="n"/>
      <c r="B671" s="30" t="n"/>
      <c r="C671" s="27" t="n"/>
      <c r="D671" s="32" t="n"/>
      <c r="E671" s="33" t="n"/>
      <c r="F671" s="36" t="n"/>
      <c r="G671" s="33" t="n"/>
      <c r="H671" s="20" t="str">
        <f>IF(AND(ISNUMBER(E671),ISNUMBER(F671)),E671*F671,"")</f>
        <v/>
      </c>
      <c r="I671" s="38" t="str">
        <f>IF(A671="","",IFERROR(IF(N(INDEX('交易记录'!$G$5:$G$304,MATCH(A671,'交易记录'!$A$5:$A$304,0)))&gt;0,INDEX('交易记录'!$G$5:$G$304,MATCH(A671,'交易记录'!$A$5:$A$304,0)),1),1))</f>
        <v/>
      </c>
      <c r="J671" s="41" t="str">
        <f>IF(ISNUMBER(H671),ROUND('参数'!$C$11+H671*I671*'参数'!$C$12+F671*'参数'!$C$13,2),"")</f>
        <v/>
      </c>
      <c r="K671" s="22" t="n"/>
      <c r="L671" s="20" t="str">
        <f>IF(ISNUMBER(K671),K671,IF(ISNUMBER(H671),J671,""))</f>
        <v/>
      </c>
      <c r="M671" s="46" t="str">
        <f>IF(AND(ISNUMBER(E671),ISNUMBER(G671),ISNUMBER(F671)),(E671-G671)*IF(D671="卖",-1,1)*F671*I671,"")</f>
        <v/>
      </c>
      <c r="N671" s="38" t="str">
        <f>IF(A671="","",IFERROR(T(INDEX('交易记录'!$C$5:$C$304,MATCH(A671,'交易记录'!$A$5:$A$304,0))),"编号没找到"))</f>
        <v/>
      </c>
      <c r="O671" s="31" t="n"/>
    </row>
    <row r="672">
      <c r="A672" s="29" t="n"/>
      <c r="B672" s="30" t="n"/>
      <c r="C672" s="27" t="n"/>
      <c r="D672" s="32" t="n"/>
      <c r="E672" s="33" t="n"/>
      <c r="F672" s="36" t="n"/>
      <c r="G672" s="33" t="n"/>
      <c r="H672" s="20" t="str">
        <f>IF(AND(ISNUMBER(E672),ISNUMBER(F672)),E672*F672,"")</f>
        <v/>
      </c>
      <c r="I672" s="38" t="str">
        <f>IF(A672="","",IFERROR(IF(N(INDEX('交易记录'!$G$5:$G$304,MATCH(A672,'交易记录'!$A$5:$A$304,0)))&gt;0,INDEX('交易记录'!$G$5:$G$304,MATCH(A672,'交易记录'!$A$5:$A$304,0)),1),1))</f>
        <v/>
      </c>
      <c r="J672" s="41" t="str">
        <f>IF(ISNUMBER(H672),ROUND('参数'!$C$11+H672*I672*'参数'!$C$12+F672*'参数'!$C$13,2),"")</f>
        <v/>
      </c>
      <c r="K672" s="22" t="n"/>
      <c r="L672" s="20" t="str">
        <f>IF(ISNUMBER(K672),K672,IF(ISNUMBER(H672),J672,""))</f>
        <v/>
      </c>
      <c r="M672" s="46" t="str">
        <f>IF(AND(ISNUMBER(E672),ISNUMBER(G672),ISNUMBER(F672)),(E672-G672)*IF(D672="卖",-1,1)*F672*I672,"")</f>
        <v/>
      </c>
      <c r="N672" s="38" t="str">
        <f>IF(A672="","",IFERROR(T(INDEX('交易记录'!$C$5:$C$304,MATCH(A672,'交易记录'!$A$5:$A$304,0))),"编号没找到"))</f>
        <v/>
      </c>
      <c r="O672" s="31" t="n"/>
    </row>
    <row r="673">
      <c r="A673" s="29" t="n"/>
      <c r="B673" s="30" t="n"/>
      <c r="C673" s="27" t="n"/>
      <c r="D673" s="32" t="n"/>
      <c r="E673" s="33" t="n"/>
      <c r="F673" s="36" t="n"/>
      <c r="G673" s="33" t="n"/>
      <c r="H673" s="20" t="str">
        <f>IF(AND(ISNUMBER(E673),ISNUMBER(F673)),E673*F673,"")</f>
        <v/>
      </c>
      <c r="I673" s="38" t="str">
        <f>IF(A673="","",IFERROR(IF(N(INDEX('交易记录'!$G$5:$G$304,MATCH(A673,'交易记录'!$A$5:$A$304,0)))&gt;0,INDEX('交易记录'!$G$5:$G$304,MATCH(A673,'交易记录'!$A$5:$A$304,0)),1),1))</f>
        <v/>
      </c>
      <c r="J673" s="41" t="str">
        <f>IF(ISNUMBER(H673),ROUND('参数'!$C$11+H673*I673*'参数'!$C$12+F673*'参数'!$C$13,2),"")</f>
        <v/>
      </c>
      <c r="K673" s="22" t="n"/>
      <c r="L673" s="20" t="str">
        <f>IF(ISNUMBER(K673),K673,IF(ISNUMBER(H673),J673,""))</f>
        <v/>
      </c>
      <c r="M673" s="46" t="str">
        <f>IF(AND(ISNUMBER(E673),ISNUMBER(G673),ISNUMBER(F673)),(E673-G673)*IF(D673="卖",-1,1)*F673*I673,"")</f>
        <v/>
      </c>
      <c r="N673" s="38" t="str">
        <f>IF(A673="","",IFERROR(T(INDEX('交易记录'!$C$5:$C$304,MATCH(A673,'交易记录'!$A$5:$A$304,0))),"编号没找到"))</f>
        <v/>
      </c>
      <c r="O673" s="31" t="n"/>
    </row>
    <row r="674">
      <c r="A674" s="29" t="n"/>
      <c r="B674" s="30" t="n"/>
      <c r="C674" s="27" t="n"/>
      <c r="D674" s="32" t="n"/>
      <c r="E674" s="33" t="n"/>
      <c r="F674" s="36" t="n"/>
      <c r="G674" s="33" t="n"/>
      <c r="H674" s="20" t="str">
        <f>IF(AND(ISNUMBER(E674),ISNUMBER(F674)),E674*F674,"")</f>
        <v/>
      </c>
      <c r="I674" s="38" t="str">
        <f>IF(A674="","",IFERROR(IF(N(INDEX('交易记录'!$G$5:$G$304,MATCH(A674,'交易记录'!$A$5:$A$304,0)))&gt;0,INDEX('交易记录'!$G$5:$G$304,MATCH(A674,'交易记录'!$A$5:$A$304,0)),1),1))</f>
        <v/>
      </c>
      <c r="J674" s="41" t="str">
        <f>IF(ISNUMBER(H674),ROUND('参数'!$C$11+H674*I674*'参数'!$C$12+F674*'参数'!$C$13,2),"")</f>
        <v/>
      </c>
      <c r="K674" s="22" t="n"/>
      <c r="L674" s="20" t="str">
        <f>IF(ISNUMBER(K674),K674,IF(ISNUMBER(H674),J674,""))</f>
        <v/>
      </c>
      <c r="M674" s="46" t="str">
        <f>IF(AND(ISNUMBER(E674),ISNUMBER(G674),ISNUMBER(F674)),(E674-G674)*IF(D674="卖",-1,1)*F674*I674,"")</f>
        <v/>
      </c>
      <c r="N674" s="38" t="str">
        <f>IF(A674="","",IFERROR(T(INDEX('交易记录'!$C$5:$C$304,MATCH(A674,'交易记录'!$A$5:$A$304,0))),"编号没找到"))</f>
        <v/>
      </c>
      <c r="O674" s="31" t="n"/>
    </row>
    <row r="675">
      <c r="A675" s="29" t="n"/>
      <c r="B675" s="30" t="n"/>
      <c r="C675" s="27" t="n"/>
      <c r="D675" s="32" t="n"/>
      <c r="E675" s="33" t="n"/>
      <c r="F675" s="36" t="n"/>
      <c r="G675" s="33" t="n"/>
      <c r="H675" s="20" t="str">
        <f>IF(AND(ISNUMBER(E675),ISNUMBER(F675)),E675*F675,"")</f>
        <v/>
      </c>
      <c r="I675" s="38" t="str">
        <f>IF(A675="","",IFERROR(IF(N(INDEX('交易记录'!$G$5:$G$304,MATCH(A675,'交易记录'!$A$5:$A$304,0)))&gt;0,INDEX('交易记录'!$G$5:$G$304,MATCH(A675,'交易记录'!$A$5:$A$304,0)),1),1))</f>
        <v/>
      </c>
      <c r="J675" s="41" t="str">
        <f>IF(ISNUMBER(H675),ROUND('参数'!$C$11+H675*I675*'参数'!$C$12+F675*'参数'!$C$13,2),"")</f>
        <v/>
      </c>
      <c r="K675" s="22" t="n"/>
      <c r="L675" s="20" t="str">
        <f>IF(ISNUMBER(K675),K675,IF(ISNUMBER(H675),J675,""))</f>
        <v/>
      </c>
      <c r="M675" s="46" t="str">
        <f>IF(AND(ISNUMBER(E675),ISNUMBER(G675),ISNUMBER(F675)),(E675-G675)*IF(D675="卖",-1,1)*F675*I675,"")</f>
        <v/>
      </c>
      <c r="N675" s="38" t="str">
        <f>IF(A675="","",IFERROR(T(INDEX('交易记录'!$C$5:$C$304,MATCH(A675,'交易记录'!$A$5:$A$304,0))),"编号没找到"))</f>
        <v/>
      </c>
      <c r="O675" s="31" t="n"/>
    </row>
    <row r="676">
      <c r="A676" s="29" t="n"/>
      <c r="B676" s="30" t="n"/>
      <c r="C676" s="27" t="n"/>
      <c r="D676" s="32" t="n"/>
      <c r="E676" s="33" t="n"/>
      <c r="F676" s="36" t="n"/>
      <c r="G676" s="33" t="n"/>
      <c r="H676" s="20" t="str">
        <f>IF(AND(ISNUMBER(E676),ISNUMBER(F676)),E676*F676,"")</f>
        <v/>
      </c>
      <c r="I676" s="38" t="str">
        <f>IF(A676="","",IFERROR(IF(N(INDEX('交易记录'!$G$5:$G$304,MATCH(A676,'交易记录'!$A$5:$A$304,0)))&gt;0,INDEX('交易记录'!$G$5:$G$304,MATCH(A676,'交易记录'!$A$5:$A$304,0)),1),1))</f>
        <v/>
      </c>
      <c r="J676" s="41" t="str">
        <f>IF(ISNUMBER(H676),ROUND('参数'!$C$11+H676*I676*'参数'!$C$12+F676*'参数'!$C$13,2),"")</f>
        <v/>
      </c>
      <c r="K676" s="22" t="n"/>
      <c r="L676" s="20" t="str">
        <f>IF(ISNUMBER(K676),K676,IF(ISNUMBER(H676),J676,""))</f>
        <v/>
      </c>
      <c r="M676" s="46" t="str">
        <f>IF(AND(ISNUMBER(E676),ISNUMBER(G676),ISNUMBER(F676)),(E676-G676)*IF(D676="卖",-1,1)*F676*I676,"")</f>
        <v/>
      </c>
      <c r="N676" s="38" t="str">
        <f>IF(A676="","",IFERROR(T(INDEX('交易记录'!$C$5:$C$304,MATCH(A676,'交易记录'!$A$5:$A$304,0))),"编号没找到"))</f>
        <v/>
      </c>
      <c r="O676" s="31" t="n"/>
    </row>
    <row r="677">
      <c r="A677" s="29" t="n"/>
      <c r="B677" s="30" t="n"/>
      <c r="C677" s="27" t="n"/>
      <c r="D677" s="32" t="n"/>
      <c r="E677" s="33" t="n"/>
      <c r="F677" s="36" t="n"/>
      <c r="G677" s="33" t="n"/>
      <c r="H677" s="20" t="str">
        <f>IF(AND(ISNUMBER(E677),ISNUMBER(F677)),E677*F677,"")</f>
        <v/>
      </c>
      <c r="I677" s="38" t="str">
        <f>IF(A677="","",IFERROR(IF(N(INDEX('交易记录'!$G$5:$G$304,MATCH(A677,'交易记录'!$A$5:$A$304,0)))&gt;0,INDEX('交易记录'!$G$5:$G$304,MATCH(A677,'交易记录'!$A$5:$A$304,0)),1),1))</f>
        <v/>
      </c>
      <c r="J677" s="41" t="str">
        <f>IF(ISNUMBER(H677),ROUND('参数'!$C$11+H677*I677*'参数'!$C$12+F677*'参数'!$C$13,2),"")</f>
        <v/>
      </c>
      <c r="K677" s="22" t="n"/>
      <c r="L677" s="20" t="str">
        <f>IF(ISNUMBER(K677),K677,IF(ISNUMBER(H677),J677,""))</f>
        <v/>
      </c>
      <c r="M677" s="46" t="str">
        <f>IF(AND(ISNUMBER(E677),ISNUMBER(G677),ISNUMBER(F677)),(E677-G677)*IF(D677="卖",-1,1)*F677*I677,"")</f>
        <v/>
      </c>
      <c r="N677" s="38" t="str">
        <f>IF(A677="","",IFERROR(T(INDEX('交易记录'!$C$5:$C$304,MATCH(A677,'交易记录'!$A$5:$A$304,0))),"编号没找到"))</f>
        <v/>
      </c>
      <c r="O677" s="31" t="n"/>
    </row>
    <row r="678">
      <c r="A678" s="29" t="n"/>
      <c r="B678" s="30" t="n"/>
      <c r="C678" s="27" t="n"/>
      <c r="D678" s="32" t="n"/>
      <c r="E678" s="33" t="n"/>
      <c r="F678" s="36" t="n"/>
      <c r="G678" s="33" t="n"/>
      <c r="H678" s="20" t="str">
        <f>IF(AND(ISNUMBER(E678),ISNUMBER(F678)),E678*F678,"")</f>
        <v/>
      </c>
      <c r="I678" s="38" t="str">
        <f>IF(A678="","",IFERROR(IF(N(INDEX('交易记录'!$G$5:$G$304,MATCH(A678,'交易记录'!$A$5:$A$304,0)))&gt;0,INDEX('交易记录'!$G$5:$G$304,MATCH(A678,'交易记录'!$A$5:$A$304,0)),1),1))</f>
        <v/>
      </c>
      <c r="J678" s="41" t="str">
        <f>IF(ISNUMBER(H678),ROUND('参数'!$C$11+H678*I678*'参数'!$C$12+F678*'参数'!$C$13,2),"")</f>
        <v/>
      </c>
      <c r="K678" s="22" t="n"/>
      <c r="L678" s="20" t="str">
        <f>IF(ISNUMBER(K678),K678,IF(ISNUMBER(H678),J678,""))</f>
        <v/>
      </c>
      <c r="M678" s="46" t="str">
        <f>IF(AND(ISNUMBER(E678),ISNUMBER(G678),ISNUMBER(F678)),(E678-G678)*IF(D678="卖",-1,1)*F678*I678,"")</f>
        <v/>
      </c>
      <c r="N678" s="38" t="str">
        <f>IF(A678="","",IFERROR(T(INDEX('交易记录'!$C$5:$C$304,MATCH(A678,'交易记录'!$A$5:$A$304,0))),"编号没找到"))</f>
        <v/>
      </c>
      <c r="O678" s="31" t="n"/>
    </row>
    <row r="679">
      <c r="A679" s="29" t="n"/>
      <c r="B679" s="30" t="n"/>
      <c r="C679" s="27" t="n"/>
      <c r="D679" s="32" t="n"/>
      <c r="E679" s="33" t="n"/>
      <c r="F679" s="36" t="n"/>
      <c r="G679" s="33" t="n"/>
      <c r="H679" s="20" t="str">
        <f>IF(AND(ISNUMBER(E679),ISNUMBER(F679)),E679*F679,"")</f>
        <v/>
      </c>
      <c r="I679" s="38" t="str">
        <f>IF(A679="","",IFERROR(IF(N(INDEX('交易记录'!$G$5:$G$304,MATCH(A679,'交易记录'!$A$5:$A$304,0)))&gt;0,INDEX('交易记录'!$G$5:$G$304,MATCH(A679,'交易记录'!$A$5:$A$304,0)),1),1))</f>
        <v/>
      </c>
      <c r="J679" s="41" t="str">
        <f>IF(ISNUMBER(H679),ROUND('参数'!$C$11+H679*I679*'参数'!$C$12+F679*'参数'!$C$13,2),"")</f>
        <v/>
      </c>
      <c r="K679" s="22" t="n"/>
      <c r="L679" s="20" t="str">
        <f>IF(ISNUMBER(K679),K679,IF(ISNUMBER(H679),J679,""))</f>
        <v/>
      </c>
      <c r="M679" s="46" t="str">
        <f>IF(AND(ISNUMBER(E679),ISNUMBER(G679),ISNUMBER(F679)),(E679-G679)*IF(D679="卖",-1,1)*F679*I679,"")</f>
        <v/>
      </c>
      <c r="N679" s="38" t="str">
        <f>IF(A679="","",IFERROR(T(INDEX('交易记录'!$C$5:$C$304,MATCH(A679,'交易记录'!$A$5:$A$304,0))),"编号没找到"))</f>
        <v/>
      </c>
      <c r="O679" s="31" t="n"/>
    </row>
    <row r="680">
      <c r="A680" s="29" t="n"/>
      <c r="B680" s="30" t="n"/>
      <c r="C680" s="27" t="n"/>
      <c r="D680" s="32" t="n"/>
      <c r="E680" s="33" t="n"/>
      <c r="F680" s="36" t="n"/>
      <c r="G680" s="33" t="n"/>
      <c r="H680" s="20" t="str">
        <f>IF(AND(ISNUMBER(E680),ISNUMBER(F680)),E680*F680,"")</f>
        <v/>
      </c>
      <c r="I680" s="38" t="str">
        <f>IF(A680="","",IFERROR(IF(N(INDEX('交易记录'!$G$5:$G$304,MATCH(A680,'交易记录'!$A$5:$A$304,0)))&gt;0,INDEX('交易记录'!$G$5:$G$304,MATCH(A680,'交易记录'!$A$5:$A$304,0)),1),1))</f>
        <v/>
      </c>
      <c r="J680" s="41" t="str">
        <f>IF(ISNUMBER(H680),ROUND('参数'!$C$11+H680*I680*'参数'!$C$12+F680*'参数'!$C$13,2),"")</f>
        <v/>
      </c>
      <c r="K680" s="22" t="n"/>
      <c r="L680" s="20" t="str">
        <f>IF(ISNUMBER(K680),K680,IF(ISNUMBER(H680),J680,""))</f>
        <v/>
      </c>
      <c r="M680" s="46" t="str">
        <f>IF(AND(ISNUMBER(E680),ISNUMBER(G680),ISNUMBER(F680)),(E680-G680)*IF(D680="卖",-1,1)*F680*I680,"")</f>
        <v/>
      </c>
      <c r="N680" s="38" t="str">
        <f>IF(A680="","",IFERROR(T(INDEX('交易记录'!$C$5:$C$304,MATCH(A680,'交易记录'!$A$5:$A$304,0))),"编号没找到"))</f>
        <v/>
      </c>
      <c r="O680" s="31" t="n"/>
    </row>
    <row r="681">
      <c r="A681" s="29" t="n"/>
      <c r="B681" s="30" t="n"/>
      <c r="C681" s="27" t="n"/>
      <c r="D681" s="32" t="n"/>
      <c r="E681" s="33" t="n"/>
      <c r="F681" s="36" t="n"/>
      <c r="G681" s="33" t="n"/>
      <c r="H681" s="20" t="str">
        <f>IF(AND(ISNUMBER(E681),ISNUMBER(F681)),E681*F681,"")</f>
        <v/>
      </c>
      <c r="I681" s="38" t="str">
        <f>IF(A681="","",IFERROR(IF(N(INDEX('交易记录'!$G$5:$G$304,MATCH(A681,'交易记录'!$A$5:$A$304,0)))&gt;0,INDEX('交易记录'!$G$5:$G$304,MATCH(A681,'交易记录'!$A$5:$A$304,0)),1),1))</f>
        <v/>
      </c>
      <c r="J681" s="41" t="str">
        <f>IF(ISNUMBER(H681),ROUND('参数'!$C$11+H681*I681*'参数'!$C$12+F681*'参数'!$C$13,2),"")</f>
        <v/>
      </c>
      <c r="K681" s="22" t="n"/>
      <c r="L681" s="20" t="str">
        <f>IF(ISNUMBER(K681),K681,IF(ISNUMBER(H681),J681,""))</f>
        <v/>
      </c>
      <c r="M681" s="46" t="str">
        <f>IF(AND(ISNUMBER(E681),ISNUMBER(G681),ISNUMBER(F681)),(E681-G681)*IF(D681="卖",-1,1)*F681*I681,"")</f>
        <v/>
      </c>
      <c r="N681" s="38" t="str">
        <f>IF(A681="","",IFERROR(T(INDEX('交易记录'!$C$5:$C$304,MATCH(A681,'交易记录'!$A$5:$A$304,0))),"编号没找到"))</f>
        <v/>
      </c>
      <c r="O681" s="31" t="n"/>
    </row>
    <row r="682">
      <c r="A682" s="29" t="n"/>
      <c r="B682" s="30" t="n"/>
      <c r="C682" s="27" t="n"/>
      <c r="D682" s="32" t="n"/>
      <c r="E682" s="33" t="n"/>
      <c r="F682" s="36" t="n"/>
      <c r="G682" s="33" t="n"/>
      <c r="H682" s="20" t="str">
        <f>IF(AND(ISNUMBER(E682),ISNUMBER(F682)),E682*F682,"")</f>
        <v/>
      </c>
      <c r="I682" s="38" t="str">
        <f>IF(A682="","",IFERROR(IF(N(INDEX('交易记录'!$G$5:$G$304,MATCH(A682,'交易记录'!$A$5:$A$304,0)))&gt;0,INDEX('交易记录'!$G$5:$G$304,MATCH(A682,'交易记录'!$A$5:$A$304,0)),1),1))</f>
        <v/>
      </c>
      <c r="J682" s="41" t="str">
        <f>IF(ISNUMBER(H682),ROUND('参数'!$C$11+H682*I682*'参数'!$C$12+F682*'参数'!$C$13,2),"")</f>
        <v/>
      </c>
      <c r="K682" s="22" t="n"/>
      <c r="L682" s="20" t="str">
        <f>IF(ISNUMBER(K682),K682,IF(ISNUMBER(H682),J682,""))</f>
        <v/>
      </c>
      <c r="M682" s="46" t="str">
        <f>IF(AND(ISNUMBER(E682),ISNUMBER(G682),ISNUMBER(F682)),(E682-G682)*IF(D682="卖",-1,1)*F682*I682,"")</f>
        <v/>
      </c>
      <c r="N682" s="38" t="str">
        <f>IF(A682="","",IFERROR(T(INDEX('交易记录'!$C$5:$C$304,MATCH(A682,'交易记录'!$A$5:$A$304,0))),"编号没找到"))</f>
        <v/>
      </c>
      <c r="O682" s="31" t="n"/>
    </row>
    <row r="683">
      <c r="A683" s="29" t="n"/>
      <c r="B683" s="30" t="n"/>
      <c r="C683" s="27" t="n"/>
      <c r="D683" s="32" t="n"/>
      <c r="E683" s="33" t="n"/>
      <c r="F683" s="36" t="n"/>
      <c r="G683" s="33" t="n"/>
      <c r="H683" s="20" t="str">
        <f>IF(AND(ISNUMBER(E683),ISNUMBER(F683)),E683*F683,"")</f>
        <v/>
      </c>
      <c r="I683" s="38" t="str">
        <f>IF(A683="","",IFERROR(IF(N(INDEX('交易记录'!$G$5:$G$304,MATCH(A683,'交易记录'!$A$5:$A$304,0)))&gt;0,INDEX('交易记录'!$G$5:$G$304,MATCH(A683,'交易记录'!$A$5:$A$304,0)),1),1))</f>
        <v/>
      </c>
      <c r="J683" s="41" t="str">
        <f>IF(ISNUMBER(H683),ROUND('参数'!$C$11+H683*I683*'参数'!$C$12+F683*'参数'!$C$13,2),"")</f>
        <v/>
      </c>
      <c r="K683" s="22" t="n"/>
      <c r="L683" s="20" t="str">
        <f>IF(ISNUMBER(K683),K683,IF(ISNUMBER(H683),J683,""))</f>
        <v/>
      </c>
      <c r="M683" s="46" t="str">
        <f>IF(AND(ISNUMBER(E683),ISNUMBER(G683),ISNUMBER(F683)),(E683-G683)*IF(D683="卖",-1,1)*F683*I683,"")</f>
        <v/>
      </c>
      <c r="N683" s="38" t="str">
        <f>IF(A683="","",IFERROR(T(INDEX('交易记录'!$C$5:$C$304,MATCH(A683,'交易记录'!$A$5:$A$304,0))),"编号没找到"))</f>
        <v/>
      </c>
      <c r="O683" s="31" t="n"/>
    </row>
    <row r="684">
      <c r="A684" s="29" t="n"/>
      <c r="B684" s="30" t="n"/>
      <c r="C684" s="27" t="n"/>
      <c r="D684" s="32" t="n"/>
      <c r="E684" s="33" t="n"/>
      <c r="F684" s="36" t="n"/>
      <c r="G684" s="33" t="n"/>
      <c r="H684" s="20" t="str">
        <f>IF(AND(ISNUMBER(E684),ISNUMBER(F684)),E684*F684,"")</f>
        <v/>
      </c>
      <c r="I684" s="38" t="str">
        <f>IF(A684="","",IFERROR(IF(N(INDEX('交易记录'!$G$5:$G$304,MATCH(A684,'交易记录'!$A$5:$A$304,0)))&gt;0,INDEX('交易记录'!$G$5:$G$304,MATCH(A684,'交易记录'!$A$5:$A$304,0)),1),1))</f>
        <v/>
      </c>
      <c r="J684" s="41" t="str">
        <f>IF(ISNUMBER(H684),ROUND('参数'!$C$11+H684*I684*'参数'!$C$12+F684*'参数'!$C$13,2),"")</f>
        <v/>
      </c>
      <c r="K684" s="22" t="n"/>
      <c r="L684" s="20" t="str">
        <f>IF(ISNUMBER(K684),K684,IF(ISNUMBER(H684),J684,""))</f>
        <v/>
      </c>
      <c r="M684" s="46" t="str">
        <f>IF(AND(ISNUMBER(E684),ISNUMBER(G684),ISNUMBER(F684)),(E684-G684)*IF(D684="卖",-1,1)*F684*I684,"")</f>
        <v/>
      </c>
      <c r="N684" s="38" t="str">
        <f>IF(A684="","",IFERROR(T(INDEX('交易记录'!$C$5:$C$304,MATCH(A684,'交易记录'!$A$5:$A$304,0))),"编号没找到"))</f>
        <v/>
      </c>
      <c r="O684" s="31" t="n"/>
    </row>
    <row r="685">
      <c r="A685" s="29" t="n"/>
      <c r="B685" s="30" t="n"/>
      <c r="C685" s="27" t="n"/>
      <c r="D685" s="32" t="n"/>
      <c r="E685" s="33" t="n"/>
      <c r="F685" s="36" t="n"/>
      <c r="G685" s="33" t="n"/>
      <c r="H685" s="20" t="str">
        <f>IF(AND(ISNUMBER(E685),ISNUMBER(F685)),E685*F685,"")</f>
        <v/>
      </c>
      <c r="I685" s="38" t="str">
        <f>IF(A685="","",IFERROR(IF(N(INDEX('交易记录'!$G$5:$G$304,MATCH(A685,'交易记录'!$A$5:$A$304,0)))&gt;0,INDEX('交易记录'!$G$5:$G$304,MATCH(A685,'交易记录'!$A$5:$A$304,0)),1),1))</f>
        <v/>
      </c>
      <c r="J685" s="41" t="str">
        <f>IF(ISNUMBER(H685),ROUND('参数'!$C$11+H685*I685*'参数'!$C$12+F685*'参数'!$C$13,2),"")</f>
        <v/>
      </c>
      <c r="K685" s="22" t="n"/>
      <c r="L685" s="20" t="str">
        <f>IF(ISNUMBER(K685),K685,IF(ISNUMBER(H685),J685,""))</f>
        <v/>
      </c>
      <c r="M685" s="46" t="str">
        <f>IF(AND(ISNUMBER(E685),ISNUMBER(G685),ISNUMBER(F685)),(E685-G685)*IF(D685="卖",-1,1)*F685*I685,"")</f>
        <v/>
      </c>
      <c r="N685" s="38" t="str">
        <f>IF(A685="","",IFERROR(T(INDEX('交易记录'!$C$5:$C$304,MATCH(A685,'交易记录'!$A$5:$A$304,0))),"编号没找到"))</f>
        <v/>
      </c>
      <c r="O685" s="31" t="n"/>
    </row>
    <row r="686">
      <c r="A686" s="29" t="n"/>
      <c r="B686" s="30" t="n"/>
      <c r="C686" s="27" t="n"/>
      <c r="D686" s="32" t="n"/>
      <c r="E686" s="33" t="n"/>
      <c r="F686" s="36" t="n"/>
      <c r="G686" s="33" t="n"/>
      <c r="H686" s="20" t="str">
        <f>IF(AND(ISNUMBER(E686),ISNUMBER(F686)),E686*F686,"")</f>
        <v/>
      </c>
      <c r="I686" s="38" t="str">
        <f>IF(A686="","",IFERROR(IF(N(INDEX('交易记录'!$G$5:$G$304,MATCH(A686,'交易记录'!$A$5:$A$304,0)))&gt;0,INDEX('交易记录'!$G$5:$G$304,MATCH(A686,'交易记录'!$A$5:$A$304,0)),1),1))</f>
        <v/>
      </c>
      <c r="J686" s="41" t="str">
        <f>IF(ISNUMBER(H686),ROUND('参数'!$C$11+H686*I686*'参数'!$C$12+F686*'参数'!$C$13,2),"")</f>
        <v/>
      </c>
      <c r="K686" s="22" t="n"/>
      <c r="L686" s="20" t="str">
        <f>IF(ISNUMBER(K686),K686,IF(ISNUMBER(H686),J686,""))</f>
        <v/>
      </c>
      <c r="M686" s="46" t="str">
        <f>IF(AND(ISNUMBER(E686),ISNUMBER(G686),ISNUMBER(F686)),(E686-G686)*IF(D686="卖",-1,1)*F686*I686,"")</f>
        <v/>
      </c>
      <c r="N686" s="38" t="str">
        <f>IF(A686="","",IFERROR(T(INDEX('交易记录'!$C$5:$C$304,MATCH(A686,'交易记录'!$A$5:$A$304,0))),"编号没找到"))</f>
        <v/>
      </c>
      <c r="O686" s="31" t="n"/>
    </row>
    <row r="687">
      <c r="A687" s="29" t="n"/>
      <c r="B687" s="30" t="n"/>
      <c r="C687" s="27" t="n"/>
      <c r="D687" s="32" t="n"/>
      <c r="E687" s="33" t="n"/>
      <c r="F687" s="36" t="n"/>
      <c r="G687" s="33" t="n"/>
      <c r="H687" s="20" t="str">
        <f>IF(AND(ISNUMBER(E687),ISNUMBER(F687)),E687*F687,"")</f>
        <v/>
      </c>
      <c r="I687" s="38" t="str">
        <f>IF(A687="","",IFERROR(IF(N(INDEX('交易记录'!$G$5:$G$304,MATCH(A687,'交易记录'!$A$5:$A$304,0)))&gt;0,INDEX('交易记录'!$G$5:$G$304,MATCH(A687,'交易记录'!$A$5:$A$304,0)),1),1))</f>
        <v/>
      </c>
      <c r="J687" s="41" t="str">
        <f>IF(ISNUMBER(H687),ROUND('参数'!$C$11+H687*I687*'参数'!$C$12+F687*'参数'!$C$13,2),"")</f>
        <v/>
      </c>
      <c r="K687" s="22" t="n"/>
      <c r="L687" s="20" t="str">
        <f>IF(ISNUMBER(K687),K687,IF(ISNUMBER(H687),J687,""))</f>
        <v/>
      </c>
      <c r="M687" s="46" t="str">
        <f>IF(AND(ISNUMBER(E687),ISNUMBER(G687),ISNUMBER(F687)),(E687-G687)*IF(D687="卖",-1,1)*F687*I687,"")</f>
        <v/>
      </c>
      <c r="N687" s="38" t="str">
        <f>IF(A687="","",IFERROR(T(INDEX('交易记录'!$C$5:$C$304,MATCH(A687,'交易记录'!$A$5:$A$304,0))),"编号没找到"))</f>
        <v/>
      </c>
      <c r="O687" s="31" t="n"/>
    </row>
    <row r="688">
      <c r="A688" s="29" t="n"/>
      <c r="B688" s="30" t="n"/>
      <c r="C688" s="27" t="n"/>
      <c r="D688" s="32" t="n"/>
      <c r="E688" s="33" t="n"/>
      <c r="F688" s="36" t="n"/>
      <c r="G688" s="33" t="n"/>
      <c r="H688" s="20" t="str">
        <f>IF(AND(ISNUMBER(E688),ISNUMBER(F688)),E688*F688,"")</f>
        <v/>
      </c>
      <c r="I688" s="38" t="str">
        <f>IF(A688="","",IFERROR(IF(N(INDEX('交易记录'!$G$5:$G$304,MATCH(A688,'交易记录'!$A$5:$A$304,0)))&gt;0,INDEX('交易记录'!$G$5:$G$304,MATCH(A688,'交易记录'!$A$5:$A$304,0)),1),1))</f>
        <v/>
      </c>
      <c r="J688" s="41" t="str">
        <f>IF(ISNUMBER(H688),ROUND('参数'!$C$11+H688*I688*'参数'!$C$12+F688*'参数'!$C$13,2),"")</f>
        <v/>
      </c>
      <c r="K688" s="22" t="n"/>
      <c r="L688" s="20" t="str">
        <f>IF(ISNUMBER(K688),K688,IF(ISNUMBER(H688),J688,""))</f>
        <v/>
      </c>
      <c r="M688" s="46" t="str">
        <f>IF(AND(ISNUMBER(E688),ISNUMBER(G688),ISNUMBER(F688)),(E688-G688)*IF(D688="卖",-1,1)*F688*I688,"")</f>
        <v/>
      </c>
      <c r="N688" s="38" t="str">
        <f>IF(A688="","",IFERROR(T(INDEX('交易记录'!$C$5:$C$304,MATCH(A688,'交易记录'!$A$5:$A$304,0))),"编号没找到"))</f>
        <v/>
      </c>
      <c r="O688" s="31" t="n"/>
    </row>
    <row r="689">
      <c r="A689" s="29" t="n"/>
      <c r="B689" s="30" t="n"/>
      <c r="C689" s="27" t="n"/>
      <c r="D689" s="32" t="n"/>
      <c r="E689" s="33" t="n"/>
      <c r="F689" s="36" t="n"/>
      <c r="G689" s="33" t="n"/>
      <c r="H689" s="20" t="str">
        <f>IF(AND(ISNUMBER(E689),ISNUMBER(F689)),E689*F689,"")</f>
        <v/>
      </c>
      <c r="I689" s="38" t="str">
        <f>IF(A689="","",IFERROR(IF(N(INDEX('交易记录'!$G$5:$G$304,MATCH(A689,'交易记录'!$A$5:$A$304,0)))&gt;0,INDEX('交易记录'!$G$5:$G$304,MATCH(A689,'交易记录'!$A$5:$A$304,0)),1),1))</f>
        <v/>
      </c>
      <c r="J689" s="41" t="str">
        <f>IF(ISNUMBER(H689),ROUND('参数'!$C$11+H689*I689*'参数'!$C$12+F689*'参数'!$C$13,2),"")</f>
        <v/>
      </c>
      <c r="K689" s="22" t="n"/>
      <c r="L689" s="20" t="str">
        <f>IF(ISNUMBER(K689),K689,IF(ISNUMBER(H689),J689,""))</f>
        <v/>
      </c>
      <c r="M689" s="46" t="str">
        <f>IF(AND(ISNUMBER(E689),ISNUMBER(G689),ISNUMBER(F689)),(E689-G689)*IF(D689="卖",-1,1)*F689*I689,"")</f>
        <v/>
      </c>
      <c r="N689" s="38" t="str">
        <f>IF(A689="","",IFERROR(T(INDEX('交易记录'!$C$5:$C$304,MATCH(A689,'交易记录'!$A$5:$A$304,0))),"编号没找到"))</f>
        <v/>
      </c>
      <c r="O689" s="31" t="n"/>
    </row>
    <row r="690">
      <c r="A690" s="29" t="n"/>
      <c r="B690" s="30" t="n"/>
      <c r="C690" s="27" t="n"/>
      <c r="D690" s="32" t="n"/>
      <c r="E690" s="33" t="n"/>
      <c r="F690" s="36" t="n"/>
      <c r="G690" s="33" t="n"/>
      <c r="H690" s="20" t="str">
        <f>IF(AND(ISNUMBER(E690),ISNUMBER(F690)),E690*F690,"")</f>
        <v/>
      </c>
      <c r="I690" s="38" t="str">
        <f>IF(A690="","",IFERROR(IF(N(INDEX('交易记录'!$G$5:$G$304,MATCH(A690,'交易记录'!$A$5:$A$304,0)))&gt;0,INDEX('交易记录'!$G$5:$G$304,MATCH(A690,'交易记录'!$A$5:$A$304,0)),1),1))</f>
        <v/>
      </c>
      <c r="J690" s="41" t="str">
        <f>IF(ISNUMBER(H690),ROUND('参数'!$C$11+H690*I690*'参数'!$C$12+F690*'参数'!$C$13,2),"")</f>
        <v/>
      </c>
      <c r="K690" s="22" t="n"/>
      <c r="L690" s="20" t="str">
        <f>IF(ISNUMBER(K690),K690,IF(ISNUMBER(H690),J690,""))</f>
        <v/>
      </c>
      <c r="M690" s="46" t="str">
        <f>IF(AND(ISNUMBER(E690),ISNUMBER(G690),ISNUMBER(F690)),(E690-G690)*IF(D690="卖",-1,1)*F690*I690,"")</f>
        <v/>
      </c>
      <c r="N690" s="38" t="str">
        <f>IF(A690="","",IFERROR(T(INDEX('交易记录'!$C$5:$C$304,MATCH(A690,'交易记录'!$A$5:$A$304,0))),"编号没找到"))</f>
        <v/>
      </c>
      <c r="O690" s="31" t="n"/>
    </row>
    <row r="691">
      <c r="A691" s="29" t="n"/>
      <c r="B691" s="30" t="n"/>
      <c r="C691" s="27" t="n"/>
      <c r="D691" s="32" t="n"/>
      <c r="E691" s="33" t="n"/>
      <c r="F691" s="36" t="n"/>
      <c r="G691" s="33" t="n"/>
      <c r="H691" s="20" t="str">
        <f>IF(AND(ISNUMBER(E691),ISNUMBER(F691)),E691*F691,"")</f>
        <v/>
      </c>
      <c r="I691" s="38" t="str">
        <f>IF(A691="","",IFERROR(IF(N(INDEX('交易记录'!$G$5:$G$304,MATCH(A691,'交易记录'!$A$5:$A$304,0)))&gt;0,INDEX('交易记录'!$G$5:$G$304,MATCH(A691,'交易记录'!$A$5:$A$304,0)),1),1))</f>
        <v/>
      </c>
      <c r="J691" s="41" t="str">
        <f>IF(ISNUMBER(H691),ROUND('参数'!$C$11+H691*I691*'参数'!$C$12+F691*'参数'!$C$13,2),"")</f>
        <v/>
      </c>
      <c r="K691" s="22" t="n"/>
      <c r="L691" s="20" t="str">
        <f>IF(ISNUMBER(K691),K691,IF(ISNUMBER(H691),J691,""))</f>
        <v/>
      </c>
      <c r="M691" s="46" t="str">
        <f>IF(AND(ISNUMBER(E691),ISNUMBER(G691),ISNUMBER(F691)),(E691-G691)*IF(D691="卖",-1,1)*F691*I691,"")</f>
        <v/>
      </c>
      <c r="N691" s="38" t="str">
        <f>IF(A691="","",IFERROR(T(INDEX('交易记录'!$C$5:$C$304,MATCH(A691,'交易记录'!$A$5:$A$304,0))),"编号没找到"))</f>
        <v/>
      </c>
      <c r="O691" s="31" t="n"/>
    </row>
    <row r="692">
      <c r="A692" s="29" t="n"/>
      <c r="B692" s="30" t="n"/>
      <c r="C692" s="27" t="n"/>
      <c r="D692" s="32" t="n"/>
      <c r="E692" s="33" t="n"/>
      <c r="F692" s="36" t="n"/>
      <c r="G692" s="33" t="n"/>
      <c r="H692" s="20" t="str">
        <f>IF(AND(ISNUMBER(E692),ISNUMBER(F692)),E692*F692,"")</f>
        <v/>
      </c>
      <c r="I692" s="38" t="str">
        <f>IF(A692="","",IFERROR(IF(N(INDEX('交易记录'!$G$5:$G$304,MATCH(A692,'交易记录'!$A$5:$A$304,0)))&gt;0,INDEX('交易记录'!$G$5:$G$304,MATCH(A692,'交易记录'!$A$5:$A$304,0)),1),1))</f>
        <v/>
      </c>
      <c r="J692" s="41" t="str">
        <f>IF(ISNUMBER(H692),ROUND('参数'!$C$11+H692*I692*'参数'!$C$12+F692*'参数'!$C$13,2),"")</f>
        <v/>
      </c>
      <c r="K692" s="22" t="n"/>
      <c r="L692" s="20" t="str">
        <f>IF(ISNUMBER(K692),K692,IF(ISNUMBER(H692),J692,""))</f>
        <v/>
      </c>
      <c r="M692" s="46" t="str">
        <f>IF(AND(ISNUMBER(E692),ISNUMBER(G692),ISNUMBER(F692)),(E692-G692)*IF(D692="卖",-1,1)*F692*I692,"")</f>
        <v/>
      </c>
      <c r="N692" s="38" t="str">
        <f>IF(A692="","",IFERROR(T(INDEX('交易记录'!$C$5:$C$304,MATCH(A692,'交易记录'!$A$5:$A$304,0))),"编号没找到"))</f>
        <v/>
      </c>
      <c r="O692" s="31" t="n"/>
    </row>
    <row r="693">
      <c r="A693" s="29" t="n"/>
      <c r="B693" s="30" t="n"/>
      <c r="C693" s="27" t="n"/>
      <c r="D693" s="32" t="n"/>
      <c r="E693" s="33" t="n"/>
      <c r="F693" s="36" t="n"/>
      <c r="G693" s="33" t="n"/>
      <c r="H693" s="20" t="str">
        <f>IF(AND(ISNUMBER(E693),ISNUMBER(F693)),E693*F693,"")</f>
        <v/>
      </c>
      <c r="I693" s="38" t="str">
        <f>IF(A693="","",IFERROR(IF(N(INDEX('交易记录'!$G$5:$G$304,MATCH(A693,'交易记录'!$A$5:$A$304,0)))&gt;0,INDEX('交易记录'!$G$5:$G$304,MATCH(A693,'交易记录'!$A$5:$A$304,0)),1),1))</f>
        <v/>
      </c>
      <c r="J693" s="41" t="str">
        <f>IF(ISNUMBER(H693),ROUND('参数'!$C$11+H693*I693*'参数'!$C$12+F693*'参数'!$C$13,2),"")</f>
        <v/>
      </c>
      <c r="K693" s="22" t="n"/>
      <c r="L693" s="20" t="str">
        <f>IF(ISNUMBER(K693),K693,IF(ISNUMBER(H693),J693,""))</f>
        <v/>
      </c>
      <c r="M693" s="46" t="str">
        <f>IF(AND(ISNUMBER(E693),ISNUMBER(G693),ISNUMBER(F693)),(E693-G693)*IF(D693="卖",-1,1)*F693*I693,"")</f>
        <v/>
      </c>
      <c r="N693" s="38" t="str">
        <f>IF(A693="","",IFERROR(T(INDEX('交易记录'!$C$5:$C$304,MATCH(A693,'交易记录'!$A$5:$A$304,0))),"编号没找到"))</f>
        <v/>
      </c>
      <c r="O693" s="31" t="n"/>
    </row>
    <row r="694">
      <c r="A694" s="29" t="n"/>
      <c r="B694" s="30" t="n"/>
      <c r="C694" s="27" t="n"/>
      <c r="D694" s="32" t="n"/>
      <c r="E694" s="33" t="n"/>
      <c r="F694" s="36" t="n"/>
      <c r="G694" s="33" t="n"/>
      <c r="H694" s="20" t="str">
        <f>IF(AND(ISNUMBER(E694),ISNUMBER(F694)),E694*F694,"")</f>
        <v/>
      </c>
      <c r="I694" s="38" t="str">
        <f>IF(A694="","",IFERROR(IF(N(INDEX('交易记录'!$G$5:$G$304,MATCH(A694,'交易记录'!$A$5:$A$304,0)))&gt;0,INDEX('交易记录'!$G$5:$G$304,MATCH(A694,'交易记录'!$A$5:$A$304,0)),1),1))</f>
        <v/>
      </c>
      <c r="J694" s="41" t="str">
        <f>IF(ISNUMBER(H694),ROUND('参数'!$C$11+H694*I694*'参数'!$C$12+F694*'参数'!$C$13,2),"")</f>
        <v/>
      </c>
      <c r="K694" s="22" t="n"/>
      <c r="L694" s="20" t="str">
        <f>IF(ISNUMBER(K694),K694,IF(ISNUMBER(H694),J694,""))</f>
        <v/>
      </c>
      <c r="M694" s="46" t="str">
        <f>IF(AND(ISNUMBER(E694),ISNUMBER(G694),ISNUMBER(F694)),(E694-G694)*IF(D694="卖",-1,1)*F694*I694,"")</f>
        <v/>
      </c>
      <c r="N694" s="38" t="str">
        <f>IF(A694="","",IFERROR(T(INDEX('交易记录'!$C$5:$C$304,MATCH(A694,'交易记录'!$A$5:$A$304,0))),"编号没找到"))</f>
        <v/>
      </c>
      <c r="O694" s="31" t="n"/>
    </row>
    <row r="695">
      <c r="A695" s="29" t="n"/>
      <c r="B695" s="30" t="n"/>
      <c r="C695" s="27" t="n"/>
      <c r="D695" s="32" t="n"/>
      <c r="E695" s="33" t="n"/>
      <c r="F695" s="36" t="n"/>
      <c r="G695" s="33" t="n"/>
      <c r="H695" s="20" t="str">
        <f>IF(AND(ISNUMBER(E695),ISNUMBER(F695)),E695*F695,"")</f>
        <v/>
      </c>
      <c r="I695" s="38" t="str">
        <f>IF(A695="","",IFERROR(IF(N(INDEX('交易记录'!$G$5:$G$304,MATCH(A695,'交易记录'!$A$5:$A$304,0)))&gt;0,INDEX('交易记录'!$G$5:$G$304,MATCH(A695,'交易记录'!$A$5:$A$304,0)),1),1))</f>
        <v/>
      </c>
      <c r="J695" s="41" t="str">
        <f>IF(ISNUMBER(H695),ROUND('参数'!$C$11+H695*I695*'参数'!$C$12+F695*'参数'!$C$13,2),"")</f>
        <v/>
      </c>
      <c r="K695" s="22" t="n"/>
      <c r="L695" s="20" t="str">
        <f>IF(ISNUMBER(K695),K695,IF(ISNUMBER(H695),J695,""))</f>
        <v/>
      </c>
      <c r="M695" s="46" t="str">
        <f>IF(AND(ISNUMBER(E695),ISNUMBER(G695),ISNUMBER(F695)),(E695-G695)*IF(D695="卖",-1,1)*F695*I695,"")</f>
        <v/>
      </c>
      <c r="N695" s="38" t="str">
        <f>IF(A695="","",IFERROR(T(INDEX('交易记录'!$C$5:$C$304,MATCH(A695,'交易记录'!$A$5:$A$304,0))),"编号没找到"))</f>
        <v/>
      </c>
      <c r="O695" s="31" t="n"/>
    </row>
    <row r="696">
      <c r="A696" s="29" t="n"/>
      <c r="B696" s="30" t="n"/>
      <c r="C696" s="27" t="n"/>
      <c r="D696" s="32" t="n"/>
      <c r="E696" s="33" t="n"/>
      <c r="F696" s="36" t="n"/>
      <c r="G696" s="33" t="n"/>
      <c r="H696" s="20" t="str">
        <f>IF(AND(ISNUMBER(E696),ISNUMBER(F696)),E696*F696,"")</f>
        <v/>
      </c>
      <c r="I696" s="38" t="str">
        <f>IF(A696="","",IFERROR(IF(N(INDEX('交易记录'!$G$5:$G$304,MATCH(A696,'交易记录'!$A$5:$A$304,0)))&gt;0,INDEX('交易记录'!$G$5:$G$304,MATCH(A696,'交易记录'!$A$5:$A$304,0)),1),1))</f>
        <v/>
      </c>
      <c r="J696" s="41" t="str">
        <f>IF(ISNUMBER(H696),ROUND('参数'!$C$11+H696*I696*'参数'!$C$12+F696*'参数'!$C$13,2),"")</f>
        <v/>
      </c>
      <c r="K696" s="22" t="n"/>
      <c r="L696" s="20" t="str">
        <f>IF(ISNUMBER(K696),K696,IF(ISNUMBER(H696),J696,""))</f>
        <v/>
      </c>
      <c r="M696" s="46" t="str">
        <f>IF(AND(ISNUMBER(E696),ISNUMBER(G696),ISNUMBER(F696)),(E696-G696)*IF(D696="卖",-1,1)*F696*I696,"")</f>
        <v/>
      </c>
      <c r="N696" s="38" t="str">
        <f>IF(A696="","",IFERROR(T(INDEX('交易记录'!$C$5:$C$304,MATCH(A696,'交易记录'!$A$5:$A$304,0))),"编号没找到"))</f>
        <v/>
      </c>
      <c r="O696" s="31" t="n"/>
    </row>
    <row r="697">
      <c r="A697" s="29" t="n"/>
      <c r="B697" s="30" t="n"/>
      <c r="C697" s="27" t="n"/>
      <c r="D697" s="32" t="n"/>
      <c r="E697" s="33" t="n"/>
      <c r="F697" s="36" t="n"/>
      <c r="G697" s="33" t="n"/>
      <c r="H697" s="20" t="str">
        <f>IF(AND(ISNUMBER(E697),ISNUMBER(F697)),E697*F697,"")</f>
        <v/>
      </c>
      <c r="I697" s="38" t="str">
        <f>IF(A697="","",IFERROR(IF(N(INDEX('交易记录'!$G$5:$G$304,MATCH(A697,'交易记录'!$A$5:$A$304,0)))&gt;0,INDEX('交易记录'!$G$5:$G$304,MATCH(A697,'交易记录'!$A$5:$A$304,0)),1),1))</f>
        <v/>
      </c>
      <c r="J697" s="41" t="str">
        <f>IF(ISNUMBER(H697),ROUND('参数'!$C$11+H697*I697*'参数'!$C$12+F697*'参数'!$C$13,2),"")</f>
        <v/>
      </c>
      <c r="K697" s="22" t="n"/>
      <c r="L697" s="20" t="str">
        <f>IF(ISNUMBER(K697),K697,IF(ISNUMBER(H697),J697,""))</f>
        <v/>
      </c>
      <c r="M697" s="46" t="str">
        <f>IF(AND(ISNUMBER(E697),ISNUMBER(G697),ISNUMBER(F697)),(E697-G697)*IF(D697="卖",-1,1)*F697*I697,"")</f>
        <v/>
      </c>
      <c r="N697" s="38" t="str">
        <f>IF(A697="","",IFERROR(T(INDEX('交易记录'!$C$5:$C$304,MATCH(A697,'交易记录'!$A$5:$A$304,0))),"编号没找到"))</f>
        <v/>
      </c>
      <c r="O697" s="31" t="n"/>
    </row>
    <row r="698">
      <c r="A698" s="29" t="n"/>
      <c r="B698" s="30" t="n"/>
      <c r="C698" s="27" t="n"/>
      <c r="D698" s="32" t="n"/>
      <c r="E698" s="33" t="n"/>
      <c r="F698" s="36" t="n"/>
      <c r="G698" s="33" t="n"/>
      <c r="H698" s="20" t="str">
        <f>IF(AND(ISNUMBER(E698),ISNUMBER(F698)),E698*F698,"")</f>
        <v/>
      </c>
      <c r="I698" s="38" t="str">
        <f>IF(A698="","",IFERROR(IF(N(INDEX('交易记录'!$G$5:$G$304,MATCH(A698,'交易记录'!$A$5:$A$304,0)))&gt;0,INDEX('交易记录'!$G$5:$G$304,MATCH(A698,'交易记录'!$A$5:$A$304,0)),1),1))</f>
        <v/>
      </c>
      <c r="J698" s="41" t="str">
        <f>IF(ISNUMBER(H698),ROUND('参数'!$C$11+H698*I698*'参数'!$C$12+F698*'参数'!$C$13,2),"")</f>
        <v/>
      </c>
      <c r="K698" s="22" t="n"/>
      <c r="L698" s="20" t="str">
        <f>IF(ISNUMBER(K698),K698,IF(ISNUMBER(H698),J698,""))</f>
        <v/>
      </c>
      <c r="M698" s="46" t="str">
        <f>IF(AND(ISNUMBER(E698),ISNUMBER(G698),ISNUMBER(F698)),(E698-G698)*IF(D698="卖",-1,1)*F698*I698,"")</f>
        <v/>
      </c>
      <c r="N698" s="38" t="str">
        <f>IF(A698="","",IFERROR(T(INDEX('交易记录'!$C$5:$C$304,MATCH(A698,'交易记录'!$A$5:$A$304,0))),"编号没找到"))</f>
        <v/>
      </c>
      <c r="O698" s="31" t="n"/>
    </row>
    <row r="699">
      <c r="A699" s="29" t="n"/>
      <c r="B699" s="30" t="n"/>
      <c r="C699" s="27" t="n"/>
      <c r="D699" s="32" t="n"/>
      <c r="E699" s="33" t="n"/>
      <c r="F699" s="36" t="n"/>
      <c r="G699" s="33" t="n"/>
      <c r="H699" s="20" t="str">
        <f>IF(AND(ISNUMBER(E699),ISNUMBER(F699)),E699*F699,"")</f>
        <v/>
      </c>
      <c r="I699" s="38" t="str">
        <f>IF(A699="","",IFERROR(IF(N(INDEX('交易记录'!$G$5:$G$304,MATCH(A699,'交易记录'!$A$5:$A$304,0)))&gt;0,INDEX('交易记录'!$G$5:$G$304,MATCH(A699,'交易记录'!$A$5:$A$304,0)),1),1))</f>
        <v/>
      </c>
      <c r="J699" s="41" t="str">
        <f>IF(ISNUMBER(H699),ROUND('参数'!$C$11+H699*I699*'参数'!$C$12+F699*'参数'!$C$13,2),"")</f>
        <v/>
      </c>
      <c r="K699" s="22" t="n"/>
      <c r="L699" s="20" t="str">
        <f>IF(ISNUMBER(K699),K699,IF(ISNUMBER(H699),J699,""))</f>
        <v/>
      </c>
      <c r="M699" s="46" t="str">
        <f>IF(AND(ISNUMBER(E699),ISNUMBER(G699),ISNUMBER(F699)),(E699-G699)*IF(D699="卖",-1,1)*F699*I699,"")</f>
        <v/>
      </c>
      <c r="N699" s="38" t="str">
        <f>IF(A699="","",IFERROR(T(INDEX('交易记录'!$C$5:$C$304,MATCH(A699,'交易记录'!$A$5:$A$304,0))),"编号没找到"))</f>
        <v/>
      </c>
      <c r="O699" s="31" t="n"/>
    </row>
    <row r="700">
      <c r="A700" s="29" t="n"/>
      <c r="B700" s="30" t="n"/>
      <c r="C700" s="27" t="n"/>
      <c r="D700" s="32" t="n"/>
      <c r="E700" s="33" t="n"/>
      <c r="F700" s="36" t="n"/>
      <c r="G700" s="33" t="n"/>
      <c r="H700" s="20" t="str">
        <f>IF(AND(ISNUMBER(E700),ISNUMBER(F700)),E700*F700,"")</f>
        <v/>
      </c>
      <c r="I700" s="38" t="str">
        <f>IF(A700="","",IFERROR(IF(N(INDEX('交易记录'!$G$5:$G$304,MATCH(A700,'交易记录'!$A$5:$A$304,0)))&gt;0,INDEX('交易记录'!$G$5:$G$304,MATCH(A700,'交易记录'!$A$5:$A$304,0)),1),1))</f>
        <v/>
      </c>
      <c r="J700" s="41" t="str">
        <f>IF(ISNUMBER(H700),ROUND('参数'!$C$11+H700*I700*'参数'!$C$12+F700*'参数'!$C$13,2),"")</f>
        <v/>
      </c>
      <c r="K700" s="22" t="n"/>
      <c r="L700" s="20" t="str">
        <f>IF(ISNUMBER(K700),K700,IF(ISNUMBER(H700),J700,""))</f>
        <v/>
      </c>
      <c r="M700" s="46" t="str">
        <f>IF(AND(ISNUMBER(E700),ISNUMBER(G700),ISNUMBER(F700)),(E700-G700)*IF(D700="卖",-1,1)*F700*I700,"")</f>
        <v/>
      </c>
      <c r="N700" s="38" t="str">
        <f>IF(A700="","",IFERROR(T(INDEX('交易记录'!$C$5:$C$304,MATCH(A700,'交易记录'!$A$5:$A$304,0))),"编号没找到"))</f>
        <v/>
      </c>
      <c r="O700" s="31" t="n"/>
    </row>
    <row r="701">
      <c r="A701" s="29" t="n"/>
      <c r="B701" s="30" t="n"/>
      <c r="C701" s="27" t="n"/>
      <c r="D701" s="32" t="n"/>
      <c r="E701" s="33" t="n"/>
      <c r="F701" s="36" t="n"/>
      <c r="G701" s="33" t="n"/>
      <c r="H701" s="20" t="str">
        <f>IF(AND(ISNUMBER(E701),ISNUMBER(F701)),E701*F701,"")</f>
        <v/>
      </c>
      <c r="I701" s="38" t="str">
        <f>IF(A701="","",IFERROR(IF(N(INDEX('交易记录'!$G$5:$G$304,MATCH(A701,'交易记录'!$A$5:$A$304,0)))&gt;0,INDEX('交易记录'!$G$5:$G$304,MATCH(A701,'交易记录'!$A$5:$A$304,0)),1),1))</f>
        <v/>
      </c>
      <c r="J701" s="41" t="str">
        <f>IF(ISNUMBER(H701),ROUND('参数'!$C$11+H701*I701*'参数'!$C$12+F701*'参数'!$C$13,2),"")</f>
        <v/>
      </c>
      <c r="K701" s="22" t="n"/>
      <c r="L701" s="20" t="str">
        <f>IF(ISNUMBER(K701),K701,IF(ISNUMBER(H701),J701,""))</f>
        <v/>
      </c>
      <c r="M701" s="46" t="str">
        <f>IF(AND(ISNUMBER(E701),ISNUMBER(G701),ISNUMBER(F701)),(E701-G701)*IF(D701="卖",-1,1)*F701*I701,"")</f>
        <v/>
      </c>
      <c r="N701" s="38" t="str">
        <f>IF(A701="","",IFERROR(T(INDEX('交易记录'!$C$5:$C$304,MATCH(A701,'交易记录'!$A$5:$A$304,0))),"编号没找到"))</f>
        <v/>
      </c>
      <c r="O701" s="31" t="n"/>
    </row>
    <row r="702">
      <c r="A702" s="29" t="n"/>
      <c r="B702" s="30" t="n"/>
      <c r="C702" s="27" t="n"/>
      <c r="D702" s="32" t="n"/>
      <c r="E702" s="33" t="n"/>
      <c r="F702" s="36" t="n"/>
      <c r="G702" s="33" t="n"/>
      <c r="H702" s="20" t="str">
        <f>IF(AND(ISNUMBER(E702),ISNUMBER(F702)),E702*F702,"")</f>
        <v/>
      </c>
      <c r="I702" s="38" t="str">
        <f>IF(A702="","",IFERROR(IF(N(INDEX('交易记录'!$G$5:$G$304,MATCH(A702,'交易记录'!$A$5:$A$304,0)))&gt;0,INDEX('交易记录'!$G$5:$G$304,MATCH(A702,'交易记录'!$A$5:$A$304,0)),1),1))</f>
        <v/>
      </c>
      <c r="J702" s="41" t="str">
        <f>IF(ISNUMBER(H702),ROUND('参数'!$C$11+H702*I702*'参数'!$C$12+F702*'参数'!$C$13,2),"")</f>
        <v/>
      </c>
      <c r="K702" s="22" t="n"/>
      <c r="L702" s="20" t="str">
        <f>IF(ISNUMBER(K702),K702,IF(ISNUMBER(H702),J702,""))</f>
        <v/>
      </c>
      <c r="M702" s="46" t="str">
        <f>IF(AND(ISNUMBER(E702),ISNUMBER(G702),ISNUMBER(F702)),(E702-G702)*IF(D702="卖",-1,1)*F702*I702,"")</f>
        <v/>
      </c>
      <c r="N702" s="38" t="str">
        <f>IF(A702="","",IFERROR(T(INDEX('交易记录'!$C$5:$C$304,MATCH(A702,'交易记录'!$A$5:$A$304,0))),"编号没找到"))</f>
        <v/>
      </c>
      <c r="O702" s="31" t="n"/>
    </row>
    <row r="703">
      <c r="A703" s="29" t="n"/>
      <c r="B703" s="30" t="n"/>
      <c r="C703" s="27" t="n"/>
      <c r="D703" s="32" t="n"/>
      <c r="E703" s="33" t="n"/>
      <c r="F703" s="36" t="n"/>
      <c r="G703" s="33" t="n"/>
      <c r="H703" s="20" t="str">
        <f>IF(AND(ISNUMBER(E703),ISNUMBER(F703)),E703*F703,"")</f>
        <v/>
      </c>
      <c r="I703" s="38" t="str">
        <f>IF(A703="","",IFERROR(IF(N(INDEX('交易记录'!$G$5:$G$304,MATCH(A703,'交易记录'!$A$5:$A$304,0)))&gt;0,INDEX('交易记录'!$G$5:$G$304,MATCH(A703,'交易记录'!$A$5:$A$304,0)),1),1))</f>
        <v/>
      </c>
      <c r="J703" s="41" t="str">
        <f>IF(ISNUMBER(H703),ROUND('参数'!$C$11+H703*I703*'参数'!$C$12+F703*'参数'!$C$13,2),"")</f>
        <v/>
      </c>
      <c r="K703" s="22" t="n"/>
      <c r="L703" s="20" t="str">
        <f>IF(ISNUMBER(K703),K703,IF(ISNUMBER(H703),J703,""))</f>
        <v/>
      </c>
      <c r="M703" s="46" t="str">
        <f>IF(AND(ISNUMBER(E703),ISNUMBER(G703),ISNUMBER(F703)),(E703-G703)*IF(D703="卖",-1,1)*F703*I703,"")</f>
        <v/>
      </c>
      <c r="N703" s="38" t="str">
        <f>IF(A703="","",IFERROR(T(INDEX('交易记录'!$C$5:$C$304,MATCH(A703,'交易记录'!$A$5:$A$304,0))),"编号没找到"))</f>
        <v/>
      </c>
      <c r="O703" s="31" t="n"/>
    </row>
    <row r="704">
      <c r="A704" s="29" t="n"/>
      <c r="B704" s="30" t="n"/>
      <c r="C704" s="27" t="n"/>
      <c r="D704" s="32" t="n"/>
      <c r="E704" s="33" t="n"/>
      <c r="F704" s="36" t="n"/>
      <c r="G704" s="33" t="n"/>
      <c r="H704" s="20" t="str">
        <f>IF(AND(ISNUMBER(E704),ISNUMBER(F704)),E704*F704,"")</f>
        <v/>
      </c>
      <c r="I704" s="38" t="str">
        <f>IF(A704="","",IFERROR(IF(N(INDEX('交易记录'!$G$5:$G$304,MATCH(A704,'交易记录'!$A$5:$A$304,0)))&gt;0,INDEX('交易记录'!$G$5:$G$304,MATCH(A704,'交易记录'!$A$5:$A$304,0)),1),1))</f>
        <v/>
      </c>
      <c r="J704" s="41" t="str">
        <f>IF(ISNUMBER(H704),ROUND('参数'!$C$11+H704*I704*'参数'!$C$12+F704*'参数'!$C$13,2),"")</f>
        <v/>
      </c>
      <c r="K704" s="22" t="n"/>
      <c r="L704" s="20" t="str">
        <f>IF(ISNUMBER(K704),K704,IF(ISNUMBER(H704),J704,""))</f>
        <v/>
      </c>
      <c r="M704" s="46" t="str">
        <f>IF(AND(ISNUMBER(E704),ISNUMBER(G704),ISNUMBER(F704)),(E704-G704)*IF(D704="卖",-1,1)*F704*I704,"")</f>
        <v/>
      </c>
      <c r="N704" s="38" t="str">
        <f>IF(A704="","",IFERROR(T(INDEX('交易记录'!$C$5:$C$304,MATCH(A704,'交易记录'!$A$5:$A$304,0))),"编号没找到"))</f>
        <v/>
      </c>
      <c r="O704" s="31" t="n"/>
    </row>
    <row r="705">
      <c r="A705" s="29" t="n"/>
      <c r="B705" s="30" t="n"/>
      <c r="C705" s="27" t="n"/>
      <c r="D705" s="32" t="n"/>
      <c r="E705" s="33" t="n"/>
      <c r="F705" s="36" t="n"/>
      <c r="G705" s="33" t="n"/>
      <c r="H705" s="20" t="str">
        <f>IF(AND(ISNUMBER(E705),ISNUMBER(F705)),E705*F705,"")</f>
        <v/>
      </c>
      <c r="I705" s="38" t="str">
        <f>IF(A705="","",IFERROR(IF(N(INDEX('交易记录'!$G$5:$G$304,MATCH(A705,'交易记录'!$A$5:$A$304,0)))&gt;0,INDEX('交易记录'!$G$5:$G$304,MATCH(A705,'交易记录'!$A$5:$A$304,0)),1),1))</f>
        <v/>
      </c>
      <c r="J705" s="41" t="str">
        <f>IF(ISNUMBER(H705),ROUND('参数'!$C$11+H705*I705*'参数'!$C$12+F705*'参数'!$C$13,2),"")</f>
        <v/>
      </c>
      <c r="K705" s="22" t="n"/>
      <c r="L705" s="20" t="str">
        <f>IF(ISNUMBER(K705),K705,IF(ISNUMBER(H705),J705,""))</f>
        <v/>
      </c>
      <c r="M705" s="46" t="str">
        <f>IF(AND(ISNUMBER(E705),ISNUMBER(G705),ISNUMBER(F705)),(E705-G705)*IF(D705="卖",-1,1)*F705*I705,"")</f>
        <v/>
      </c>
      <c r="N705" s="38" t="str">
        <f>IF(A705="","",IFERROR(T(INDEX('交易记录'!$C$5:$C$304,MATCH(A705,'交易记录'!$A$5:$A$304,0))),"编号没找到"))</f>
        <v/>
      </c>
      <c r="O705" s="31" t="n"/>
    </row>
    <row r="706">
      <c r="A706" s="29" t="n"/>
      <c r="B706" s="30" t="n"/>
      <c r="C706" s="27" t="n"/>
      <c r="D706" s="32" t="n"/>
      <c r="E706" s="33" t="n"/>
      <c r="F706" s="36" t="n"/>
      <c r="G706" s="33" t="n"/>
      <c r="H706" s="20" t="str">
        <f>IF(AND(ISNUMBER(E706),ISNUMBER(F706)),E706*F706,"")</f>
        <v/>
      </c>
      <c r="I706" s="38" t="str">
        <f>IF(A706="","",IFERROR(IF(N(INDEX('交易记录'!$G$5:$G$304,MATCH(A706,'交易记录'!$A$5:$A$304,0)))&gt;0,INDEX('交易记录'!$G$5:$G$304,MATCH(A706,'交易记录'!$A$5:$A$304,0)),1),1))</f>
        <v/>
      </c>
      <c r="J706" s="41" t="str">
        <f>IF(ISNUMBER(H706),ROUND('参数'!$C$11+H706*I706*'参数'!$C$12+F706*'参数'!$C$13,2),"")</f>
        <v/>
      </c>
      <c r="K706" s="22" t="n"/>
      <c r="L706" s="20" t="str">
        <f>IF(ISNUMBER(K706),K706,IF(ISNUMBER(H706),J706,""))</f>
        <v/>
      </c>
      <c r="M706" s="46" t="str">
        <f>IF(AND(ISNUMBER(E706),ISNUMBER(G706),ISNUMBER(F706)),(E706-G706)*IF(D706="卖",-1,1)*F706*I706,"")</f>
        <v/>
      </c>
      <c r="N706" s="38" t="str">
        <f>IF(A706="","",IFERROR(T(INDEX('交易记录'!$C$5:$C$304,MATCH(A706,'交易记录'!$A$5:$A$304,0))),"编号没找到"))</f>
        <v/>
      </c>
      <c r="O706" s="31" t="n"/>
    </row>
    <row r="707">
      <c r="A707" s="29" t="n"/>
      <c r="B707" s="30" t="n"/>
      <c r="C707" s="27" t="n"/>
      <c r="D707" s="32" t="n"/>
      <c r="E707" s="33" t="n"/>
      <c r="F707" s="36" t="n"/>
      <c r="G707" s="33" t="n"/>
      <c r="H707" s="20" t="str">
        <f>IF(AND(ISNUMBER(E707),ISNUMBER(F707)),E707*F707,"")</f>
        <v/>
      </c>
      <c r="I707" s="38" t="str">
        <f>IF(A707="","",IFERROR(IF(N(INDEX('交易记录'!$G$5:$G$304,MATCH(A707,'交易记录'!$A$5:$A$304,0)))&gt;0,INDEX('交易记录'!$G$5:$G$304,MATCH(A707,'交易记录'!$A$5:$A$304,0)),1),1))</f>
        <v/>
      </c>
      <c r="J707" s="41" t="str">
        <f>IF(ISNUMBER(H707),ROUND('参数'!$C$11+H707*I707*'参数'!$C$12+F707*'参数'!$C$13,2),"")</f>
        <v/>
      </c>
      <c r="K707" s="22" t="n"/>
      <c r="L707" s="20" t="str">
        <f>IF(ISNUMBER(K707),K707,IF(ISNUMBER(H707),J707,""))</f>
        <v/>
      </c>
      <c r="M707" s="46" t="str">
        <f>IF(AND(ISNUMBER(E707),ISNUMBER(G707),ISNUMBER(F707)),(E707-G707)*IF(D707="卖",-1,1)*F707*I707,"")</f>
        <v/>
      </c>
      <c r="N707" s="38" t="str">
        <f>IF(A707="","",IFERROR(T(INDEX('交易记录'!$C$5:$C$304,MATCH(A707,'交易记录'!$A$5:$A$304,0))),"编号没找到"))</f>
        <v/>
      </c>
      <c r="O707" s="31" t="n"/>
    </row>
    <row r="708">
      <c r="A708" s="29" t="n"/>
      <c r="B708" s="30" t="n"/>
      <c r="C708" s="27" t="n"/>
      <c r="D708" s="32" t="n"/>
      <c r="E708" s="33" t="n"/>
      <c r="F708" s="36" t="n"/>
      <c r="G708" s="33" t="n"/>
      <c r="H708" s="20" t="str">
        <f>IF(AND(ISNUMBER(E708),ISNUMBER(F708)),E708*F708,"")</f>
        <v/>
      </c>
      <c r="I708" s="38" t="str">
        <f>IF(A708="","",IFERROR(IF(N(INDEX('交易记录'!$G$5:$G$304,MATCH(A708,'交易记录'!$A$5:$A$304,0)))&gt;0,INDEX('交易记录'!$G$5:$G$304,MATCH(A708,'交易记录'!$A$5:$A$304,0)),1),1))</f>
        <v/>
      </c>
      <c r="J708" s="41" t="str">
        <f>IF(ISNUMBER(H708),ROUND('参数'!$C$11+H708*I708*'参数'!$C$12+F708*'参数'!$C$13,2),"")</f>
        <v/>
      </c>
      <c r="K708" s="22" t="n"/>
      <c r="L708" s="20" t="str">
        <f>IF(ISNUMBER(K708),K708,IF(ISNUMBER(H708),J708,""))</f>
        <v/>
      </c>
      <c r="M708" s="46" t="str">
        <f>IF(AND(ISNUMBER(E708),ISNUMBER(G708),ISNUMBER(F708)),(E708-G708)*IF(D708="卖",-1,1)*F708*I708,"")</f>
        <v/>
      </c>
      <c r="N708" s="38" t="str">
        <f>IF(A708="","",IFERROR(T(INDEX('交易记录'!$C$5:$C$304,MATCH(A708,'交易记录'!$A$5:$A$304,0))),"编号没找到"))</f>
        <v/>
      </c>
      <c r="O708" s="31" t="n"/>
    </row>
    <row r="709">
      <c r="A709" s="29" t="n"/>
      <c r="B709" s="30" t="n"/>
      <c r="C709" s="27" t="n"/>
      <c r="D709" s="32" t="n"/>
      <c r="E709" s="33" t="n"/>
      <c r="F709" s="36" t="n"/>
      <c r="G709" s="33" t="n"/>
      <c r="H709" s="20" t="str">
        <f>IF(AND(ISNUMBER(E709),ISNUMBER(F709)),E709*F709,"")</f>
        <v/>
      </c>
      <c r="I709" s="38" t="str">
        <f>IF(A709="","",IFERROR(IF(N(INDEX('交易记录'!$G$5:$G$304,MATCH(A709,'交易记录'!$A$5:$A$304,0)))&gt;0,INDEX('交易记录'!$G$5:$G$304,MATCH(A709,'交易记录'!$A$5:$A$304,0)),1),1))</f>
        <v/>
      </c>
      <c r="J709" s="41" t="str">
        <f>IF(ISNUMBER(H709),ROUND('参数'!$C$11+H709*I709*'参数'!$C$12+F709*'参数'!$C$13,2),"")</f>
        <v/>
      </c>
      <c r="K709" s="22" t="n"/>
      <c r="L709" s="20" t="str">
        <f>IF(ISNUMBER(K709),K709,IF(ISNUMBER(H709),J709,""))</f>
        <v/>
      </c>
      <c r="M709" s="46" t="str">
        <f>IF(AND(ISNUMBER(E709),ISNUMBER(G709),ISNUMBER(F709)),(E709-G709)*IF(D709="卖",-1,1)*F709*I709,"")</f>
        <v/>
      </c>
      <c r="N709" s="38" t="str">
        <f>IF(A709="","",IFERROR(T(INDEX('交易记录'!$C$5:$C$304,MATCH(A709,'交易记录'!$A$5:$A$304,0))),"编号没找到"))</f>
        <v/>
      </c>
      <c r="O709" s="31" t="n"/>
    </row>
    <row r="710">
      <c r="A710" s="29" t="n"/>
      <c r="B710" s="30" t="n"/>
      <c r="C710" s="27" t="n"/>
      <c r="D710" s="32" t="n"/>
      <c r="E710" s="33" t="n"/>
      <c r="F710" s="36" t="n"/>
      <c r="G710" s="33" t="n"/>
      <c r="H710" s="20" t="str">
        <f>IF(AND(ISNUMBER(E710),ISNUMBER(F710)),E710*F710,"")</f>
        <v/>
      </c>
      <c r="I710" s="38" t="str">
        <f>IF(A710="","",IFERROR(IF(N(INDEX('交易记录'!$G$5:$G$304,MATCH(A710,'交易记录'!$A$5:$A$304,0)))&gt;0,INDEX('交易记录'!$G$5:$G$304,MATCH(A710,'交易记录'!$A$5:$A$304,0)),1),1))</f>
        <v/>
      </c>
      <c r="J710" s="41" t="str">
        <f>IF(ISNUMBER(H710),ROUND('参数'!$C$11+H710*I710*'参数'!$C$12+F710*'参数'!$C$13,2),"")</f>
        <v/>
      </c>
      <c r="K710" s="22" t="n"/>
      <c r="L710" s="20" t="str">
        <f>IF(ISNUMBER(K710),K710,IF(ISNUMBER(H710),J710,""))</f>
        <v/>
      </c>
      <c r="M710" s="46" t="str">
        <f>IF(AND(ISNUMBER(E710),ISNUMBER(G710),ISNUMBER(F710)),(E710-G710)*IF(D710="卖",-1,1)*F710*I710,"")</f>
        <v/>
      </c>
      <c r="N710" s="38" t="str">
        <f>IF(A710="","",IFERROR(T(INDEX('交易记录'!$C$5:$C$304,MATCH(A710,'交易记录'!$A$5:$A$304,0))),"编号没找到"))</f>
        <v/>
      </c>
      <c r="O710" s="31" t="n"/>
    </row>
    <row r="711">
      <c r="A711" s="29" t="n"/>
      <c r="B711" s="30" t="n"/>
      <c r="C711" s="27" t="n"/>
      <c r="D711" s="32" t="n"/>
      <c r="E711" s="33" t="n"/>
      <c r="F711" s="36" t="n"/>
      <c r="G711" s="33" t="n"/>
      <c r="H711" s="20" t="str">
        <f>IF(AND(ISNUMBER(E711),ISNUMBER(F711)),E711*F711,"")</f>
        <v/>
      </c>
      <c r="I711" s="38" t="str">
        <f>IF(A711="","",IFERROR(IF(N(INDEX('交易记录'!$G$5:$G$304,MATCH(A711,'交易记录'!$A$5:$A$304,0)))&gt;0,INDEX('交易记录'!$G$5:$G$304,MATCH(A711,'交易记录'!$A$5:$A$304,0)),1),1))</f>
        <v/>
      </c>
      <c r="J711" s="41" t="str">
        <f>IF(ISNUMBER(H711),ROUND('参数'!$C$11+H711*I711*'参数'!$C$12+F711*'参数'!$C$13,2),"")</f>
        <v/>
      </c>
      <c r="K711" s="22" t="n"/>
      <c r="L711" s="20" t="str">
        <f>IF(ISNUMBER(K711),K711,IF(ISNUMBER(H711),J711,""))</f>
        <v/>
      </c>
      <c r="M711" s="46" t="str">
        <f>IF(AND(ISNUMBER(E711),ISNUMBER(G711),ISNUMBER(F711)),(E711-G711)*IF(D711="卖",-1,1)*F711*I711,"")</f>
        <v/>
      </c>
      <c r="N711" s="38" t="str">
        <f>IF(A711="","",IFERROR(T(INDEX('交易记录'!$C$5:$C$304,MATCH(A711,'交易记录'!$A$5:$A$304,0))),"编号没找到"))</f>
        <v/>
      </c>
      <c r="O711" s="31" t="n"/>
    </row>
    <row r="712">
      <c r="A712" s="29" t="n"/>
      <c r="B712" s="30" t="n"/>
      <c r="C712" s="27" t="n"/>
      <c r="D712" s="32" t="n"/>
      <c r="E712" s="33" t="n"/>
      <c r="F712" s="36" t="n"/>
      <c r="G712" s="33" t="n"/>
      <c r="H712" s="20" t="str">
        <f>IF(AND(ISNUMBER(E712),ISNUMBER(F712)),E712*F712,"")</f>
        <v/>
      </c>
      <c r="I712" s="38" t="str">
        <f>IF(A712="","",IFERROR(IF(N(INDEX('交易记录'!$G$5:$G$304,MATCH(A712,'交易记录'!$A$5:$A$304,0)))&gt;0,INDEX('交易记录'!$G$5:$G$304,MATCH(A712,'交易记录'!$A$5:$A$304,0)),1),1))</f>
        <v/>
      </c>
      <c r="J712" s="41" t="str">
        <f>IF(ISNUMBER(H712),ROUND('参数'!$C$11+H712*I712*'参数'!$C$12+F712*'参数'!$C$13,2),"")</f>
        <v/>
      </c>
      <c r="K712" s="22" t="n"/>
      <c r="L712" s="20" t="str">
        <f>IF(ISNUMBER(K712),K712,IF(ISNUMBER(H712),J712,""))</f>
        <v/>
      </c>
      <c r="M712" s="46" t="str">
        <f>IF(AND(ISNUMBER(E712),ISNUMBER(G712),ISNUMBER(F712)),(E712-G712)*IF(D712="卖",-1,1)*F712*I712,"")</f>
        <v/>
      </c>
      <c r="N712" s="38" t="str">
        <f>IF(A712="","",IFERROR(T(INDEX('交易记录'!$C$5:$C$304,MATCH(A712,'交易记录'!$A$5:$A$304,0))),"编号没找到"))</f>
        <v/>
      </c>
      <c r="O712" s="31" t="n"/>
    </row>
    <row r="713">
      <c r="A713" s="29" t="n"/>
      <c r="B713" s="30" t="n"/>
      <c r="C713" s="27" t="n"/>
      <c r="D713" s="32" t="n"/>
      <c r="E713" s="33" t="n"/>
      <c r="F713" s="36" t="n"/>
      <c r="G713" s="33" t="n"/>
      <c r="H713" s="20" t="str">
        <f>IF(AND(ISNUMBER(E713),ISNUMBER(F713)),E713*F713,"")</f>
        <v/>
      </c>
      <c r="I713" s="38" t="str">
        <f>IF(A713="","",IFERROR(IF(N(INDEX('交易记录'!$G$5:$G$304,MATCH(A713,'交易记录'!$A$5:$A$304,0)))&gt;0,INDEX('交易记录'!$G$5:$G$304,MATCH(A713,'交易记录'!$A$5:$A$304,0)),1),1))</f>
        <v/>
      </c>
      <c r="J713" s="41" t="str">
        <f>IF(ISNUMBER(H713),ROUND('参数'!$C$11+H713*I713*'参数'!$C$12+F713*'参数'!$C$13,2),"")</f>
        <v/>
      </c>
      <c r="K713" s="22" t="n"/>
      <c r="L713" s="20" t="str">
        <f>IF(ISNUMBER(K713),K713,IF(ISNUMBER(H713),J713,""))</f>
        <v/>
      </c>
      <c r="M713" s="46" t="str">
        <f>IF(AND(ISNUMBER(E713),ISNUMBER(G713),ISNUMBER(F713)),(E713-G713)*IF(D713="卖",-1,1)*F713*I713,"")</f>
        <v/>
      </c>
      <c r="N713" s="38" t="str">
        <f>IF(A713="","",IFERROR(T(INDEX('交易记录'!$C$5:$C$304,MATCH(A713,'交易记录'!$A$5:$A$304,0))),"编号没找到"))</f>
        <v/>
      </c>
      <c r="O713" s="31" t="n"/>
    </row>
    <row r="714">
      <c r="A714" s="29" t="n"/>
      <c r="B714" s="30" t="n"/>
      <c r="C714" s="27" t="n"/>
      <c r="D714" s="32" t="n"/>
      <c r="E714" s="33" t="n"/>
      <c r="F714" s="36" t="n"/>
      <c r="G714" s="33" t="n"/>
      <c r="H714" s="20" t="str">
        <f>IF(AND(ISNUMBER(E714),ISNUMBER(F714)),E714*F714,"")</f>
        <v/>
      </c>
      <c r="I714" s="38" t="str">
        <f>IF(A714="","",IFERROR(IF(N(INDEX('交易记录'!$G$5:$G$304,MATCH(A714,'交易记录'!$A$5:$A$304,0)))&gt;0,INDEX('交易记录'!$G$5:$G$304,MATCH(A714,'交易记录'!$A$5:$A$304,0)),1),1))</f>
        <v/>
      </c>
      <c r="J714" s="41" t="str">
        <f>IF(ISNUMBER(H714),ROUND('参数'!$C$11+H714*I714*'参数'!$C$12+F714*'参数'!$C$13,2),"")</f>
        <v/>
      </c>
      <c r="K714" s="22" t="n"/>
      <c r="L714" s="20" t="str">
        <f>IF(ISNUMBER(K714),K714,IF(ISNUMBER(H714),J714,""))</f>
        <v/>
      </c>
      <c r="M714" s="46" t="str">
        <f>IF(AND(ISNUMBER(E714),ISNUMBER(G714),ISNUMBER(F714)),(E714-G714)*IF(D714="卖",-1,1)*F714*I714,"")</f>
        <v/>
      </c>
      <c r="N714" s="38" t="str">
        <f>IF(A714="","",IFERROR(T(INDEX('交易记录'!$C$5:$C$304,MATCH(A714,'交易记录'!$A$5:$A$304,0))),"编号没找到"))</f>
        <v/>
      </c>
      <c r="O714" s="31" t="n"/>
    </row>
    <row r="715">
      <c r="A715" s="29" t="n"/>
      <c r="B715" s="30" t="n"/>
      <c r="C715" s="27" t="n"/>
      <c r="D715" s="32" t="n"/>
      <c r="E715" s="33" t="n"/>
      <c r="F715" s="36" t="n"/>
      <c r="G715" s="33" t="n"/>
      <c r="H715" s="20" t="str">
        <f>IF(AND(ISNUMBER(E715),ISNUMBER(F715)),E715*F715,"")</f>
        <v/>
      </c>
      <c r="I715" s="38" t="str">
        <f>IF(A715="","",IFERROR(IF(N(INDEX('交易记录'!$G$5:$G$304,MATCH(A715,'交易记录'!$A$5:$A$304,0)))&gt;0,INDEX('交易记录'!$G$5:$G$304,MATCH(A715,'交易记录'!$A$5:$A$304,0)),1),1))</f>
        <v/>
      </c>
      <c r="J715" s="41" t="str">
        <f>IF(ISNUMBER(H715),ROUND('参数'!$C$11+H715*I715*'参数'!$C$12+F715*'参数'!$C$13,2),"")</f>
        <v/>
      </c>
      <c r="K715" s="22" t="n"/>
      <c r="L715" s="20" t="str">
        <f>IF(ISNUMBER(K715),K715,IF(ISNUMBER(H715),J715,""))</f>
        <v/>
      </c>
      <c r="M715" s="46" t="str">
        <f>IF(AND(ISNUMBER(E715),ISNUMBER(G715),ISNUMBER(F715)),(E715-G715)*IF(D715="卖",-1,1)*F715*I715,"")</f>
        <v/>
      </c>
      <c r="N715" s="38" t="str">
        <f>IF(A715="","",IFERROR(T(INDEX('交易记录'!$C$5:$C$304,MATCH(A715,'交易记录'!$A$5:$A$304,0))),"编号没找到"))</f>
        <v/>
      </c>
      <c r="O715" s="31" t="n"/>
    </row>
    <row r="716">
      <c r="A716" s="29" t="n"/>
      <c r="B716" s="30" t="n"/>
      <c r="C716" s="27" t="n"/>
      <c r="D716" s="32" t="n"/>
      <c r="E716" s="33" t="n"/>
      <c r="F716" s="36" t="n"/>
      <c r="G716" s="33" t="n"/>
      <c r="H716" s="20" t="str">
        <f>IF(AND(ISNUMBER(E716),ISNUMBER(F716)),E716*F716,"")</f>
        <v/>
      </c>
      <c r="I716" s="38" t="str">
        <f>IF(A716="","",IFERROR(IF(N(INDEX('交易记录'!$G$5:$G$304,MATCH(A716,'交易记录'!$A$5:$A$304,0)))&gt;0,INDEX('交易记录'!$G$5:$G$304,MATCH(A716,'交易记录'!$A$5:$A$304,0)),1),1))</f>
        <v/>
      </c>
      <c r="J716" s="41" t="str">
        <f>IF(ISNUMBER(H716),ROUND('参数'!$C$11+H716*I716*'参数'!$C$12+F716*'参数'!$C$13,2),"")</f>
        <v/>
      </c>
      <c r="K716" s="22" t="n"/>
      <c r="L716" s="20" t="str">
        <f>IF(ISNUMBER(K716),K716,IF(ISNUMBER(H716),J716,""))</f>
        <v/>
      </c>
      <c r="M716" s="46" t="str">
        <f>IF(AND(ISNUMBER(E716),ISNUMBER(G716),ISNUMBER(F716)),(E716-G716)*IF(D716="卖",-1,1)*F716*I716,"")</f>
        <v/>
      </c>
      <c r="N716" s="38" t="str">
        <f>IF(A716="","",IFERROR(T(INDEX('交易记录'!$C$5:$C$304,MATCH(A716,'交易记录'!$A$5:$A$304,0))),"编号没找到"))</f>
        <v/>
      </c>
      <c r="O716" s="31" t="n"/>
    </row>
    <row r="717">
      <c r="A717" s="29" t="n"/>
      <c r="B717" s="30" t="n"/>
      <c r="C717" s="27" t="n"/>
      <c r="D717" s="32" t="n"/>
      <c r="E717" s="33" t="n"/>
      <c r="F717" s="36" t="n"/>
      <c r="G717" s="33" t="n"/>
      <c r="H717" s="20" t="str">
        <f>IF(AND(ISNUMBER(E717),ISNUMBER(F717)),E717*F717,"")</f>
        <v/>
      </c>
      <c r="I717" s="38" t="str">
        <f>IF(A717="","",IFERROR(IF(N(INDEX('交易记录'!$G$5:$G$304,MATCH(A717,'交易记录'!$A$5:$A$304,0)))&gt;0,INDEX('交易记录'!$G$5:$G$304,MATCH(A717,'交易记录'!$A$5:$A$304,0)),1),1))</f>
        <v/>
      </c>
      <c r="J717" s="41" t="str">
        <f>IF(ISNUMBER(H717),ROUND('参数'!$C$11+H717*I717*'参数'!$C$12+F717*'参数'!$C$13,2),"")</f>
        <v/>
      </c>
      <c r="K717" s="22" t="n"/>
      <c r="L717" s="20" t="str">
        <f>IF(ISNUMBER(K717),K717,IF(ISNUMBER(H717),J717,""))</f>
        <v/>
      </c>
      <c r="M717" s="46" t="str">
        <f>IF(AND(ISNUMBER(E717),ISNUMBER(G717),ISNUMBER(F717)),(E717-G717)*IF(D717="卖",-1,1)*F717*I717,"")</f>
        <v/>
      </c>
      <c r="N717" s="38" t="str">
        <f>IF(A717="","",IFERROR(T(INDEX('交易记录'!$C$5:$C$304,MATCH(A717,'交易记录'!$A$5:$A$304,0))),"编号没找到"))</f>
        <v/>
      </c>
      <c r="O717" s="31" t="n"/>
    </row>
    <row r="718">
      <c r="A718" s="29" t="n"/>
      <c r="B718" s="30" t="n"/>
      <c r="C718" s="27" t="n"/>
      <c r="D718" s="32" t="n"/>
      <c r="E718" s="33" t="n"/>
      <c r="F718" s="36" t="n"/>
      <c r="G718" s="33" t="n"/>
      <c r="H718" s="20" t="str">
        <f>IF(AND(ISNUMBER(E718),ISNUMBER(F718)),E718*F718,"")</f>
        <v/>
      </c>
      <c r="I718" s="38" t="str">
        <f>IF(A718="","",IFERROR(IF(N(INDEX('交易记录'!$G$5:$G$304,MATCH(A718,'交易记录'!$A$5:$A$304,0)))&gt;0,INDEX('交易记录'!$G$5:$G$304,MATCH(A718,'交易记录'!$A$5:$A$304,0)),1),1))</f>
        <v/>
      </c>
      <c r="J718" s="41" t="str">
        <f>IF(ISNUMBER(H718),ROUND('参数'!$C$11+H718*I718*'参数'!$C$12+F718*'参数'!$C$13,2),"")</f>
        <v/>
      </c>
      <c r="K718" s="22" t="n"/>
      <c r="L718" s="20" t="str">
        <f>IF(ISNUMBER(K718),K718,IF(ISNUMBER(H718),J718,""))</f>
        <v/>
      </c>
      <c r="M718" s="46" t="str">
        <f>IF(AND(ISNUMBER(E718),ISNUMBER(G718),ISNUMBER(F718)),(E718-G718)*IF(D718="卖",-1,1)*F718*I718,"")</f>
        <v/>
      </c>
      <c r="N718" s="38" t="str">
        <f>IF(A718="","",IFERROR(T(INDEX('交易记录'!$C$5:$C$304,MATCH(A718,'交易记录'!$A$5:$A$304,0))),"编号没找到"))</f>
        <v/>
      </c>
      <c r="O718" s="31" t="n"/>
    </row>
    <row r="719">
      <c r="A719" s="29" t="n"/>
      <c r="B719" s="30" t="n"/>
      <c r="C719" s="27" t="n"/>
      <c r="D719" s="32" t="n"/>
      <c r="E719" s="33" t="n"/>
      <c r="F719" s="36" t="n"/>
      <c r="G719" s="33" t="n"/>
      <c r="H719" s="20" t="str">
        <f>IF(AND(ISNUMBER(E719),ISNUMBER(F719)),E719*F719,"")</f>
        <v/>
      </c>
      <c r="I719" s="38" t="str">
        <f>IF(A719="","",IFERROR(IF(N(INDEX('交易记录'!$G$5:$G$304,MATCH(A719,'交易记录'!$A$5:$A$304,0)))&gt;0,INDEX('交易记录'!$G$5:$G$304,MATCH(A719,'交易记录'!$A$5:$A$304,0)),1),1))</f>
        <v/>
      </c>
      <c r="J719" s="41" t="str">
        <f>IF(ISNUMBER(H719),ROUND('参数'!$C$11+H719*I719*'参数'!$C$12+F719*'参数'!$C$13,2),"")</f>
        <v/>
      </c>
      <c r="K719" s="22" t="n"/>
      <c r="L719" s="20" t="str">
        <f>IF(ISNUMBER(K719),K719,IF(ISNUMBER(H719),J719,""))</f>
        <v/>
      </c>
      <c r="M719" s="46" t="str">
        <f>IF(AND(ISNUMBER(E719),ISNUMBER(G719),ISNUMBER(F719)),(E719-G719)*IF(D719="卖",-1,1)*F719*I719,"")</f>
        <v/>
      </c>
      <c r="N719" s="38" t="str">
        <f>IF(A719="","",IFERROR(T(INDEX('交易记录'!$C$5:$C$304,MATCH(A719,'交易记录'!$A$5:$A$304,0))),"编号没找到"))</f>
        <v/>
      </c>
      <c r="O719" s="31" t="n"/>
    </row>
    <row r="720">
      <c r="A720" s="29" t="n"/>
      <c r="B720" s="30" t="n"/>
      <c r="C720" s="27" t="n"/>
      <c r="D720" s="32" t="n"/>
      <c r="E720" s="33" t="n"/>
      <c r="F720" s="36" t="n"/>
      <c r="G720" s="33" t="n"/>
      <c r="H720" s="20" t="str">
        <f>IF(AND(ISNUMBER(E720),ISNUMBER(F720)),E720*F720,"")</f>
        <v/>
      </c>
      <c r="I720" s="38" t="str">
        <f>IF(A720="","",IFERROR(IF(N(INDEX('交易记录'!$G$5:$G$304,MATCH(A720,'交易记录'!$A$5:$A$304,0)))&gt;0,INDEX('交易记录'!$G$5:$G$304,MATCH(A720,'交易记录'!$A$5:$A$304,0)),1),1))</f>
        <v/>
      </c>
      <c r="J720" s="41" t="str">
        <f>IF(ISNUMBER(H720),ROUND('参数'!$C$11+H720*I720*'参数'!$C$12+F720*'参数'!$C$13,2),"")</f>
        <v/>
      </c>
      <c r="K720" s="22" t="n"/>
      <c r="L720" s="20" t="str">
        <f>IF(ISNUMBER(K720),K720,IF(ISNUMBER(H720),J720,""))</f>
        <v/>
      </c>
      <c r="M720" s="46" t="str">
        <f>IF(AND(ISNUMBER(E720),ISNUMBER(G720),ISNUMBER(F720)),(E720-G720)*IF(D720="卖",-1,1)*F720*I720,"")</f>
        <v/>
      </c>
      <c r="N720" s="38" t="str">
        <f>IF(A720="","",IFERROR(T(INDEX('交易记录'!$C$5:$C$304,MATCH(A720,'交易记录'!$A$5:$A$304,0))),"编号没找到"))</f>
        <v/>
      </c>
      <c r="O720" s="31" t="n"/>
    </row>
    <row r="721">
      <c r="A721" s="29" t="n"/>
      <c r="B721" s="30" t="n"/>
      <c r="C721" s="27" t="n"/>
      <c r="D721" s="32" t="n"/>
      <c r="E721" s="33" t="n"/>
      <c r="F721" s="36" t="n"/>
      <c r="G721" s="33" t="n"/>
      <c r="H721" s="20" t="str">
        <f>IF(AND(ISNUMBER(E721),ISNUMBER(F721)),E721*F721,"")</f>
        <v/>
      </c>
      <c r="I721" s="38" t="str">
        <f>IF(A721="","",IFERROR(IF(N(INDEX('交易记录'!$G$5:$G$304,MATCH(A721,'交易记录'!$A$5:$A$304,0)))&gt;0,INDEX('交易记录'!$G$5:$G$304,MATCH(A721,'交易记录'!$A$5:$A$304,0)),1),1))</f>
        <v/>
      </c>
      <c r="J721" s="41" t="str">
        <f>IF(ISNUMBER(H721),ROUND('参数'!$C$11+H721*I721*'参数'!$C$12+F721*'参数'!$C$13,2),"")</f>
        <v/>
      </c>
      <c r="K721" s="22" t="n"/>
      <c r="L721" s="20" t="str">
        <f>IF(ISNUMBER(K721),K721,IF(ISNUMBER(H721),J721,""))</f>
        <v/>
      </c>
      <c r="M721" s="46" t="str">
        <f>IF(AND(ISNUMBER(E721),ISNUMBER(G721),ISNUMBER(F721)),(E721-G721)*IF(D721="卖",-1,1)*F721*I721,"")</f>
        <v/>
      </c>
      <c r="N721" s="38" t="str">
        <f>IF(A721="","",IFERROR(T(INDEX('交易记录'!$C$5:$C$304,MATCH(A721,'交易记录'!$A$5:$A$304,0))),"编号没找到"))</f>
        <v/>
      </c>
      <c r="O721" s="31" t="n"/>
    </row>
    <row r="722">
      <c r="A722" s="29" t="n"/>
      <c r="B722" s="30" t="n"/>
      <c r="C722" s="27" t="n"/>
      <c r="D722" s="32" t="n"/>
      <c r="E722" s="33" t="n"/>
      <c r="F722" s="36" t="n"/>
      <c r="G722" s="33" t="n"/>
      <c r="H722" s="20" t="str">
        <f>IF(AND(ISNUMBER(E722),ISNUMBER(F722)),E722*F722,"")</f>
        <v/>
      </c>
      <c r="I722" s="38" t="str">
        <f>IF(A722="","",IFERROR(IF(N(INDEX('交易记录'!$G$5:$G$304,MATCH(A722,'交易记录'!$A$5:$A$304,0)))&gt;0,INDEX('交易记录'!$G$5:$G$304,MATCH(A722,'交易记录'!$A$5:$A$304,0)),1),1))</f>
        <v/>
      </c>
      <c r="J722" s="41" t="str">
        <f>IF(ISNUMBER(H722),ROUND('参数'!$C$11+H722*I722*'参数'!$C$12+F722*'参数'!$C$13,2),"")</f>
        <v/>
      </c>
      <c r="K722" s="22" t="n"/>
      <c r="L722" s="20" t="str">
        <f>IF(ISNUMBER(K722),K722,IF(ISNUMBER(H722),J722,""))</f>
        <v/>
      </c>
      <c r="M722" s="46" t="str">
        <f>IF(AND(ISNUMBER(E722),ISNUMBER(G722),ISNUMBER(F722)),(E722-G722)*IF(D722="卖",-1,1)*F722*I722,"")</f>
        <v/>
      </c>
      <c r="N722" s="38" t="str">
        <f>IF(A722="","",IFERROR(T(INDEX('交易记录'!$C$5:$C$304,MATCH(A722,'交易记录'!$A$5:$A$304,0))),"编号没找到"))</f>
        <v/>
      </c>
      <c r="O722" s="31" t="n"/>
    </row>
    <row r="723">
      <c r="A723" s="29" t="n"/>
      <c r="B723" s="30" t="n"/>
      <c r="C723" s="27" t="n"/>
      <c r="D723" s="32" t="n"/>
      <c r="E723" s="33" t="n"/>
      <c r="F723" s="36" t="n"/>
      <c r="G723" s="33" t="n"/>
      <c r="H723" s="20" t="str">
        <f>IF(AND(ISNUMBER(E723),ISNUMBER(F723)),E723*F723,"")</f>
        <v/>
      </c>
      <c r="I723" s="38" t="str">
        <f>IF(A723="","",IFERROR(IF(N(INDEX('交易记录'!$G$5:$G$304,MATCH(A723,'交易记录'!$A$5:$A$304,0)))&gt;0,INDEX('交易记录'!$G$5:$G$304,MATCH(A723,'交易记录'!$A$5:$A$304,0)),1),1))</f>
        <v/>
      </c>
      <c r="J723" s="41" t="str">
        <f>IF(ISNUMBER(H723),ROUND('参数'!$C$11+H723*I723*'参数'!$C$12+F723*'参数'!$C$13,2),"")</f>
        <v/>
      </c>
      <c r="K723" s="22" t="n"/>
      <c r="L723" s="20" t="str">
        <f>IF(ISNUMBER(K723),K723,IF(ISNUMBER(H723),J723,""))</f>
        <v/>
      </c>
      <c r="M723" s="46" t="str">
        <f>IF(AND(ISNUMBER(E723),ISNUMBER(G723),ISNUMBER(F723)),(E723-G723)*IF(D723="卖",-1,1)*F723*I723,"")</f>
        <v/>
      </c>
      <c r="N723" s="38" t="str">
        <f>IF(A723="","",IFERROR(T(INDEX('交易记录'!$C$5:$C$304,MATCH(A723,'交易记录'!$A$5:$A$304,0))),"编号没找到"))</f>
        <v/>
      </c>
      <c r="O723" s="31" t="n"/>
    </row>
    <row r="724">
      <c r="A724" s="29" t="n"/>
      <c r="B724" s="30" t="n"/>
      <c r="C724" s="27" t="n"/>
      <c r="D724" s="32" t="n"/>
      <c r="E724" s="33" t="n"/>
      <c r="F724" s="36" t="n"/>
      <c r="G724" s="33" t="n"/>
      <c r="H724" s="20" t="str">
        <f>IF(AND(ISNUMBER(E724),ISNUMBER(F724)),E724*F724,"")</f>
        <v/>
      </c>
      <c r="I724" s="38" t="str">
        <f>IF(A724="","",IFERROR(IF(N(INDEX('交易记录'!$G$5:$G$304,MATCH(A724,'交易记录'!$A$5:$A$304,0)))&gt;0,INDEX('交易记录'!$G$5:$G$304,MATCH(A724,'交易记录'!$A$5:$A$304,0)),1),1))</f>
        <v/>
      </c>
      <c r="J724" s="41" t="str">
        <f>IF(ISNUMBER(H724),ROUND('参数'!$C$11+H724*I724*'参数'!$C$12+F724*'参数'!$C$13,2),"")</f>
        <v/>
      </c>
      <c r="K724" s="22" t="n"/>
      <c r="L724" s="20" t="str">
        <f>IF(ISNUMBER(K724),K724,IF(ISNUMBER(H724),J724,""))</f>
        <v/>
      </c>
      <c r="M724" s="46" t="str">
        <f>IF(AND(ISNUMBER(E724),ISNUMBER(G724),ISNUMBER(F724)),(E724-G724)*IF(D724="卖",-1,1)*F724*I724,"")</f>
        <v/>
      </c>
      <c r="N724" s="38" t="str">
        <f>IF(A724="","",IFERROR(T(INDEX('交易记录'!$C$5:$C$304,MATCH(A724,'交易记录'!$A$5:$A$304,0))),"编号没找到"))</f>
        <v/>
      </c>
      <c r="O724" s="31" t="n"/>
    </row>
    <row r="725">
      <c r="A725" s="29" t="n"/>
      <c r="B725" s="30" t="n"/>
      <c r="C725" s="27" t="n"/>
      <c r="D725" s="32" t="n"/>
      <c r="E725" s="33" t="n"/>
      <c r="F725" s="36" t="n"/>
      <c r="G725" s="33" t="n"/>
      <c r="H725" s="20" t="str">
        <f>IF(AND(ISNUMBER(E725),ISNUMBER(F725)),E725*F725,"")</f>
        <v/>
      </c>
      <c r="I725" s="38" t="str">
        <f>IF(A725="","",IFERROR(IF(N(INDEX('交易记录'!$G$5:$G$304,MATCH(A725,'交易记录'!$A$5:$A$304,0)))&gt;0,INDEX('交易记录'!$G$5:$G$304,MATCH(A725,'交易记录'!$A$5:$A$304,0)),1),1))</f>
        <v/>
      </c>
      <c r="J725" s="41" t="str">
        <f>IF(ISNUMBER(H725),ROUND('参数'!$C$11+H725*I725*'参数'!$C$12+F725*'参数'!$C$13,2),"")</f>
        <v/>
      </c>
      <c r="K725" s="22" t="n"/>
      <c r="L725" s="20" t="str">
        <f>IF(ISNUMBER(K725),K725,IF(ISNUMBER(H725),J725,""))</f>
        <v/>
      </c>
      <c r="M725" s="46" t="str">
        <f>IF(AND(ISNUMBER(E725),ISNUMBER(G725),ISNUMBER(F725)),(E725-G725)*IF(D725="卖",-1,1)*F725*I725,"")</f>
        <v/>
      </c>
      <c r="N725" s="38" t="str">
        <f>IF(A725="","",IFERROR(T(INDEX('交易记录'!$C$5:$C$304,MATCH(A725,'交易记录'!$A$5:$A$304,0))),"编号没找到"))</f>
        <v/>
      </c>
      <c r="O725" s="31" t="n"/>
    </row>
    <row r="726">
      <c r="A726" s="29" t="n"/>
      <c r="B726" s="30" t="n"/>
      <c r="C726" s="27" t="n"/>
      <c r="D726" s="32" t="n"/>
      <c r="E726" s="33" t="n"/>
      <c r="F726" s="36" t="n"/>
      <c r="G726" s="33" t="n"/>
      <c r="H726" s="20" t="str">
        <f>IF(AND(ISNUMBER(E726),ISNUMBER(F726)),E726*F726,"")</f>
        <v/>
      </c>
      <c r="I726" s="38" t="str">
        <f>IF(A726="","",IFERROR(IF(N(INDEX('交易记录'!$G$5:$G$304,MATCH(A726,'交易记录'!$A$5:$A$304,0)))&gt;0,INDEX('交易记录'!$G$5:$G$304,MATCH(A726,'交易记录'!$A$5:$A$304,0)),1),1))</f>
        <v/>
      </c>
      <c r="J726" s="41" t="str">
        <f>IF(ISNUMBER(H726),ROUND('参数'!$C$11+H726*I726*'参数'!$C$12+F726*'参数'!$C$13,2),"")</f>
        <v/>
      </c>
      <c r="K726" s="22" t="n"/>
      <c r="L726" s="20" t="str">
        <f>IF(ISNUMBER(K726),K726,IF(ISNUMBER(H726),J726,""))</f>
        <v/>
      </c>
      <c r="M726" s="46" t="str">
        <f>IF(AND(ISNUMBER(E726),ISNUMBER(G726),ISNUMBER(F726)),(E726-G726)*IF(D726="卖",-1,1)*F726*I726,"")</f>
        <v/>
      </c>
      <c r="N726" s="38" t="str">
        <f>IF(A726="","",IFERROR(T(INDEX('交易记录'!$C$5:$C$304,MATCH(A726,'交易记录'!$A$5:$A$304,0))),"编号没找到"))</f>
        <v/>
      </c>
      <c r="O726" s="31" t="n"/>
    </row>
    <row r="727">
      <c r="A727" s="29" t="n"/>
      <c r="B727" s="30" t="n"/>
      <c r="C727" s="27" t="n"/>
      <c r="D727" s="32" t="n"/>
      <c r="E727" s="33" t="n"/>
      <c r="F727" s="36" t="n"/>
      <c r="G727" s="33" t="n"/>
      <c r="H727" s="20" t="str">
        <f>IF(AND(ISNUMBER(E727),ISNUMBER(F727)),E727*F727,"")</f>
        <v/>
      </c>
      <c r="I727" s="38" t="str">
        <f>IF(A727="","",IFERROR(IF(N(INDEX('交易记录'!$G$5:$G$304,MATCH(A727,'交易记录'!$A$5:$A$304,0)))&gt;0,INDEX('交易记录'!$G$5:$G$304,MATCH(A727,'交易记录'!$A$5:$A$304,0)),1),1))</f>
        <v/>
      </c>
      <c r="J727" s="41" t="str">
        <f>IF(ISNUMBER(H727),ROUND('参数'!$C$11+H727*I727*'参数'!$C$12+F727*'参数'!$C$13,2),"")</f>
        <v/>
      </c>
      <c r="K727" s="22" t="n"/>
      <c r="L727" s="20" t="str">
        <f>IF(ISNUMBER(K727),K727,IF(ISNUMBER(H727),J727,""))</f>
        <v/>
      </c>
      <c r="M727" s="46" t="str">
        <f>IF(AND(ISNUMBER(E727),ISNUMBER(G727),ISNUMBER(F727)),(E727-G727)*IF(D727="卖",-1,1)*F727*I727,"")</f>
        <v/>
      </c>
      <c r="N727" s="38" t="str">
        <f>IF(A727="","",IFERROR(T(INDEX('交易记录'!$C$5:$C$304,MATCH(A727,'交易记录'!$A$5:$A$304,0))),"编号没找到"))</f>
        <v/>
      </c>
      <c r="O727" s="31" t="n"/>
    </row>
    <row r="728">
      <c r="A728" s="29" t="n"/>
      <c r="B728" s="30" t="n"/>
      <c r="C728" s="27" t="n"/>
      <c r="D728" s="32" t="n"/>
      <c r="E728" s="33" t="n"/>
      <c r="F728" s="36" t="n"/>
      <c r="G728" s="33" t="n"/>
      <c r="H728" s="20" t="str">
        <f>IF(AND(ISNUMBER(E728),ISNUMBER(F728)),E728*F728,"")</f>
        <v/>
      </c>
      <c r="I728" s="38" t="str">
        <f>IF(A728="","",IFERROR(IF(N(INDEX('交易记录'!$G$5:$G$304,MATCH(A728,'交易记录'!$A$5:$A$304,0)))&gt;0,INDEX('交易记录'!$G$5:$G$304,MATCH(A728,'交易记录'!$A$5:$A$304,0)),1),1))</f>
        <v/>
      </c>
      <c r="J728" s="41" t="str">
        <f>IF(ISNUMBER(H728),ROUND('参数'!$C$11+H728*I728*'参数'!$C$12+F728*'参数'!$C$13,2),"")</f>
        <v/>
      </c>
      <c r="K728" s="22" t="n"/>
      <c r="L728" s="20" t="str">
        <f>IF(ISNUMBER(K728),K728,IF(ISNUMBER(H728),J728,""))</f>
        <v/>
      </c>
      <c r="M728" s="46" t="str">
        <f>IF(AND(ISNUMBER(E728),ISNUMBER(G728),ISNUMBER(F728)),(E728-G728)*IF(D728="卖",-1,1)*F728*I728,"")</f>
        <v/>
      </c>
      <c r="N728" s="38" t="str">
        <f>IF(A728="","",IFERROR(T(INDEX('交易记录'!$C$5:$C$304,MATCH(A728,'交易记录'!$A$5:$A$304,0))),"编号没找到"))</f>
        <v/>
      </c>
      <c r="O728" s="31" t="n"/>
    </row>
    <row r="729">
      <c r="A729" s="29" t="n"/>
      <c r="B729" s="30" t="n"/>
      <c r="C729" s="27" t="n"/>
      <c r="D729" s="32" t="n"/>
      <c r="E729" s="33" t="n"/>
      <c r="F729" s="36" t="n"/>
      <c r="G729" s="33" t="n"/>
      <c r="H729" s="20" t="str">
        <f>IF(AND(ISNUMBER(E729),ISNUMBER(F729)),E729*F729,"")</f>
        <v/>
      </c>
      <c r="I729" s="38" t="str">
        <f>IF(A729="","",IFERROR(IF(N(INDEX('交易记录'!$G$5:$G$304,MATCH(A729,'交易记录'!$A$5:$A$304,0)))&gt;0,INDEX('交易记录'!$G$5:$G$304,MATCH(A729,'交易记录'!$A$5:$A$304,0)),1),1))</f>
        <v/>
      </c>
      <c r="J729" s="41" t="str">
        <f>IF(ISNUMBER(H729),ROUND('参数'!$C$11+H729*I729*'参数'!$C$12+F729*'参数'!$C$13,2),"")</f>
        <v/>
      </c>
      <c r="K729" s="22" t="n"/>
      <c r="L729" s="20" t="str">
        <f>IF(ISNUMBER(K729),K729,IF(ISNUMBER(H729),J729,""))</f>
        <v/>
      </c>
      <c r="M729" s="46" t="str">
        <f>IF(AND(ISNUMBER(E729),ISNUMBER(G729),ISNUMBER(F729)),(E729-G729)*IF(D729="卖",-1,1)*F729*I729,"")</f>
        <v/>
      </c>
      <c r="N729" s="38" t="str">
        <f>IF(A729="","",IFERROR(T(INDEX('交易记录'!$C$5:$C$304,MATCH(A729,'交易记录'!$A$5:$A$304,0))),"编号没找到"))</f>
        <v/>
      </c>
      <c r="O729" s="31" t="n"/>
    </row>
    <row r="730">
      <c r="A730" s="29" t="n"/>
      <c r="B730" s="30" t="n"/>
      <c r="C730" s="27" t="n"/>
      <c r="D730" s="32" t="n"/>
      <c r="E730" s="33" t="n"/>
      <c r="F730" s="36" t="n"/>
      <c r="G730" s="33" t="n"/>
      <c r="H730" s="20" t="str">
        <f>IF(AND(ISNUMBER(E730),ISNUMBER(F730)),E730*F730,"")</f>
        <v/>
      </c>
      <c r="I730" s="38" t="str">
        <f>IF(A730="","",IFERROR(IF(N(INDEX('交易记录'!$G$5:$G$304,MATCH(A730,'交易记录'!$A$5:$A$304,0)))&gt;0,INDEX('交易记录'!$G$5:$G$304,MATCH(A730,'交易记录'!$A$5:$A$304,0)),1),1))</f>
        <v/>
      </c>
      <c r="J730" s="41" t="str">
        <f>IF(ISNUMBER(H730),ROUND('参数'!$C$11+H730*I730*'参数'!$C$12+F730*'参数'!$C$13,2),"")</f>
        <v/>
      </c>
      <c r="K730" s="22" t="n"/>
      <c r="L730" s="20" t="str">
        <f>IF(ISNUMBER(K730),K730,IF(ISNUMBER(H730),J730,""))</f>
        <v/>
      </c>
      <c r="M730" s="46" t="str">
        <f>IF(AND(ISNUMBER(E730),ISNUMBER(G730),ISNUMBER(F730)),(E730-G730)*IF(D730="卖",-1,1)*F730*I730,"")</f>
        <v/>
      </c>
      <c r="N730" s="38" t="str">
        <f>IF(A730="","",IFERROR(T(INDEX('交易记录'!$C$5:$C$304,MATCH(A730,'交易记录'!$A$5:$A$304,0))),"编号没找到"))</f>
        <v/>
      </c>
      <c r="O730" s="31" t="n"/>
    </row>
    <row r="731">
      <c r="A731" s="29" t="n"/>
      <c r="B731" s="30" t="n"/>
      <c r="C731" s="27" t="n"/>
      <c r="D731" s="32" t="n"/>
      <c r="E731" s="33" t="n"/>
      <c r="F731" s="36" t="n"/>
      <c r="G731" s="33" t="n"/>
      <c r="H731" s="20" t="str">
        <f>IF(AND(ISNUMBER(E731),ISNUMBER(F731)),E731*F731,"")</f>
        <v/>
      </c>
      <c r="I731" s="38" t="str">
        <f>IF(A731="","",IFERROR(IF(N(INDEX('交易记录'!$G$5:$G$304,MATCH(A731,'交易记录'!$A$5:$A$304,0)))&gt;0,INDEX('交易记录'!$G$5:$G$304,MATCH(A731,'交易记录'!$A$5:$A$304,0)),1),1))</f>
        <v/>
      </c>
      <c r="J731" s="41" t="str">
        <f>IF(ISNUMBER(H731),ROUND('参数'!$C$11+H731*I731*'参数'!$C$12+F731*'参数'!$C$13,2),"")</f>
        <v/>
      </c>
      <c r="K731" s="22" t="n"/>
      <c r="L731" s="20" t="str">
        <f>IF(ISNUMBER(K731),K731,IF(ISNUMBER(H731),J731,""))</f>
        <v/>
      </c>
      <c r="M731" s="46" t="str">
        <f>IF(AND(ISNUMBER(E731),ISNUMBER(G731),ISNUMBER(F731)),(E731-G731)*IF(D731="卖",-1,1)*F731*I731,"")</f>
        <v/>
      </c>
      <c r="N731" s="38" t="str">
        <f>IF(A731="","",IFERROR(T(INDEX('交易记录'!$C$5:$C$304,MATCH(A731,'交易记录'!$A$5:$A$304,0))),"编号没找到"))</f>
        <v/>
      </c>
      <c r="O731" s="31" t="n"/>
    </row>
    <row r="732">
      <c r="A732" s="29" t="n"/>
      <c r="B732" s="30" t="n"/>
      <c r="C732" s="27" t="n"/>
      <c r="D732" s="32" t="n"/>
      <c r="E732" s="33" t="n"/>
      <c r="F732" s="36" t="n"/>
      <c r="G732" s="33" t="n"/>
      <c r="H732" s="20" t="str">
        <f>IF(AND(ISNUMBER(E732),ISNUMBER(F732)),E732*F732,"")</f>
        <v/>
      </c>
      <c r="I732" s="38" t="str">
        <f>IF(A732="","",IFERROR(IF(N(INDEX('交易记录'!$G$5:$G$304,MATCH(A732,'交易记录'!$A$5:$A$304,0)))&gt;0,INDEX('交易记录'!$G$5:$G$304,MATCH(A732,'交易记录'!$A$5:$A$304,0)),1),1))</f>
        <v/>
      </c>
      <c r="J732" s="41" t="str">
        <f>IF(ISNUMBER(H732),ROUND('参数'!$C$11+H732*I732*'参数'!$C$12+F732*'参数'!$C$13,2),"")</f>
        <v/>
      </c>
      <c r="K732" s="22" t="n"/>
      <c r="L732" s="20" t="str">
        <f>IF(ISNUMBER(K732),K732,IF(ISNUMBER(H732),J732,""))</f>
        <v/>
      </c>
      <c r="M732" s="46" t="str">
        <f>IF(AND(ISNUMBER(E732),ISNUMBER(G732),ISNUMBER(F732)),(E732-G732)*IF(D732="卖",-1,1)*F732*I732,"")</f>
        <v/>
      </c>
      <c r="N732" s="38" t="str">
        <f>IF(A732="","",IFERROR(T(INDEX('交易记录'!$C$5:$C$304,MATCH(A732,'交易记录'!$A$5:$A$304,0))),"编号没找到"))</f>
        <v/>
      </c>
      <c r="O732" s="31" t="n"/>
    </row>
    <row r="733">
      <c r="A733" s="29" t="n"/>
      <c r="B733" s="30" t="n"/>
      <c r="C733" s="27" t="n"/>
      <c r="D733" s="32" t="n"/>
      <c r="E733" s="33" t="n"/>
      <c r="F733" s="36" t="n"/>
      <c r="G733" s="33" t="n"/>
      <c r="H733" s="20" t="str">
        <f>IF(AND(ISNUMBER(E733),ISNUMBER(F733)),E733*F733,"")</f>
        <v/>
      </c>
      <c r="I733" s="38" t="str">
        <f>IF(A733="","",IFERROR(IF(N(INDEX('交易记录'!$G$5:$G$304,MATCH(A733,'交易记录'!$A$5:$A$304,0)))&gt;0,INDEX('交易记录'!$G$5:$G$304,MATCH(A733,'交易记录'!$A$5:$A$304,0)),1),1))</f>
        <v/>
      </c>
      <c r="J733" s="41" t="str">
        <f>IF(ISNUMBER(H733),ROUND('参数'!$C$11+H733*I733*'参数'!$C$12+F733*'参数'!$C$13,2),"")</f>
        <v/>
      </c>
      <c r="K733" s="22" t="n"/>
      <c r="L733" s="20" t="str">
        <f>IF(ISNUMBER(K733),K733,IF(ISNUMBER(H733),J733,""))</f>
        <v/>
      </c>
      <c r="M733" s="46" t="str">
        <f>IF(AND(ISNUMBER(E733),ISNUMBER(G733),ISNUMBER(F733)),(E733-G733)*IF(D733="卖",-1,1)*F733*I733,"")</f>
        <v/>
      </c>
      <c r="N733" s="38" t="str">
        <f>IF(A733="","",IFERROR(T(INDEX('交易记录'!$C$5:$C$304,MATCH(A733,'交易记录'!$A$5:$A$304,0))),"编号没找到"))</f>
        <v/>
      </c>
      <c r="O733" s="31" t="n"/>
    </row>
    <row r="734">
      <c r="A734" s="29" t="n"/>
      <c r="B734" s="30" t="n"/>
      <c r="C734" s="27" t="n"/>
      <c r="D734" s="32" t="n"/>
      <c r="E734" s="33" t="n"/>
      <c r="F734" s="36" t="n"/>
      <c r="G734" s="33" t="n"/>
      <c r="H734" s="20" t="str">
        <f>IF(AND(ISNUMBER(E734),ISNUMBER(F734)),E734*F734,"")</f>
        <v/>
      </c>
      <c r="I734" s="38" t="str">
        <f>IF(A734="","",IFERROR(IF(N(INDEX('交易记录'!$G$5:$G$304,MATCH(A734,'交易记录'!$A$5:$A$304,0)))&gt;0,INDEX('交易记录'!$G$5:$G$304,MATCH(A734,'交易记录'!$A$5:$A$304,0)),1),1))</f>
        <v/>
      </c>
      <c r="J734" s="41" t="str">
        <f>IF(ISNUMBER(H734),ROUND('参数'!$C$11+H734*I734*'参数'!$C$12+F734*'参数'!$C$13,2),"")</f>
        <v/>
      </c>
      <c r="K734" s="22" t="n"/>
      <c r="L734" s="20" t="str">
        <f>IF(ISNUMBER(K734),K734,IF(ISNUMBER(H734),J734,""))</f>
        <v/>
      </c>
      <c r="M734" s="46" t="str">
        <f>IF(AND(ISNUMBER(E734),ISNUMBER(G734),ISNUMBER(F734)),(E734-G734)*IF(D734="卖",-1,1)*F734*I734,"")</f>
        <v/>
      </c>
      <c r="N734" s="38" t="str">
        <f>IF(A734="","",IFERROR(T(INDEX('交易记录'!$C$5:$C$304,MATCH(A734,'交易记录'!$A$5:$A$304,0))),"编号没找到"))</f>
        <v/>
      </c>
      <c r="O734" s="31" t="n"/>
    </row>
    <row r="735">
      <c r="A735" s="29" t="n"/>
      <c r="B735" s="30" t="n"/>
      <c r="C735" s="27" t="n"/>
      <c r="D735" s="32" t="n"/>
      <c r="E735" s="33" t="n"/>
      <c r="F735" s="36" t="n"/>
      <c r="G735" s="33" t="n"/>
      <c r="H735" s="20" t="str">
        <f>IF(AND(ISNUMBER(E735),ISNUMBER(F735)),E735*F735,"")</f>
        <v/>
      </c>
      <c r="I735" s="38" t="str">
        <f>IF(A735="","",IFERROR(IF(N(INDEX('交易记录'!$G$5:$G$304,MATCH(A735,'交易记录'!$A$5:$A$304,0)))&gt;0,INDEX('交易记录'!$G$5:$G$304,MATCH(A735,'交易记录'!$A$5:$A$304,0)),1),1))</f>
        <v/>
      </c>
      <c r="J735" s="41" t="str">
        <f>IF(ISNUMBER(H735),ROUND('参数'!$C$11+H735*I735*'参数'!$C$12+F735*'参数'!$C$13,2),"")</f>
        <v/>
      </c>
      <c r="K735" s="22" t="n"/>
      <c r="L735" s="20" t="str">
        <f>IF(ISNUMBER(K735),K735,IF(ISNUMBER(H735),J735,""))</f>
        <v/>
      </c>
      <c r="M735" s="46" t="str">
        <f>IF(AND(ISNUMBER(E735),ISNUMBER(G735),ISNUMBER(F735)),(E735-G735)*IF(D735="卖",-1,1)*F735*I735,"")</f>
        <v/>
      </c>
      <c r="N735" s="38" t="str">
        <f>IF(A735="","",IFERROR(T(INDEX('交易记录'!$C$5:$C$304,MATCH(A735,'交易记录'!$A$5:$A$304,0))),"编号没找到"))</f>
        <v/>
      </c>
      <c r="O735" s="31" t="n"/>
    </row>
    <row r="736">
      <c r="A736" s="29" t="n"/>
      <c r="B736" s="30" t="n"/>
      <c r="C736" s="27" t="n"/>
      <c r="D736" s="32" t="n"/>
      <c r="E736" s="33" t="n"/>
      <c r="F736" s="36" t="n"/>
      <c r="G736" s="33" t="n"/>
      <c r="H736" s="20" t="str">
        <f>IF(AND(ISNUMBER(E736),ISNUMBER(F736)),E736*F736,"")</f>
        <v/>
      </c>
      <c r="I736" s="38" t="str">
        <f>IF(A736="","",IFERROR(IF(N(INDEX('交易记录'!$G$5:$G$304,MATCH(A736,'交易记录'!$A$5:$A$304,0)))&gt;0,INDEX('交易记录'!$G$5:$G$304,MATCH(A736,'交易记录'!$A$5:$A$304,0)),1),1))</f>
        <v/>
      </c>
      <c r="J736" s="41" t="str">
        <f>IF(ISNUMBER(H736),ROUND('参数'!$C$11+H736*I736*'参数'!$C$12+F736*'参数'!$C$13,2),"")</f>
        <v/>
      </c>
      <c r="K736" s="22" t="n"/>
      <c r="L736" s="20" t="str">
        <f>IF(ISNUMBER(K736),K736,IF(ISNUMBER(H736),J736,""))</f>
        <v/>
      </c>
      <c r="M736" s="46" t="str">
        <f>IF(AND(ISNUMBER(E736),ISNUMBER(G736),ISNUMBER(F736)),(E736-G736)*IF(D736="卖",-1,1)*F736*I736,"")</f>
        <v/>
      </c>
      <c r="N736" s="38" t="str">
        <f>IF(A736="","",IFERROR(T(INDEX('交易记录'!$C$5:$C$304,MATCH(A736,'交易记录'!$A$5:$A$304,0))),"编号没找到"))</f>
        <v/>
      </c>
      <c r="O736" s="31" t="n"/>
    </row>
    <row r="737">
      <c r="A737" s="29" t="n"/>
      <c r="B737" s="30" t="n"/>
      <c r="C737" s="27" t="n"/>
      <c r="D737" s="32" t="n"/>
      <c r="E737" s="33" t="n"/>
      <c r="F737" s="36" t="n"/>
      <c r="G737" s="33" t="n"/>
      <c r="H737" s="20" t="str">
        <f>IF(AND(ISNUMBER(E737),ISNUMBER(F737)),E737*F737,"")</f>
        <v/>
      </c>
      <c r="I737" s="38" t="str">
        <f>IF(A737="","",IFERROR(IF(N(INDEX('交易记录'!$G$5:$G$304,MATCH(A737,'交易记录'!$A$5:$A$304,0)))&gt;0,INDEX('交易记录'!$G$5:$G$304,MATCH(A737,'交易记录'!$A$5:$A$304,0)),1),1))</f>
        <v/>
      </c>
      <c r="J737" s="41" t="str">
        <f>IF(ISNUMBER(H737),ROUND('参数'!$C$11+H737*I737*'参数'!$C$12+F737*'参数'!$C$13,2),"")</f>
        <v/>
      </c>
      <c r="K737" s="22" t="n"/>
      <c r="L737" s="20" t="str">
        <f>IF(ISNUMBER(K737),K737,IF(ISNUMBER(H737),J737,""))</f>
        <v/>
      </c>
      <c r="M737" s="46" t="str">
        <f>IF(AND(ISNUMBER(E737),ISNUMBER(G737),ISNUMBER(F737)),(E737-G737)*IF(D737="卖",-1,1)*F737*I737,"")</f>
        <v/>
      </c>
      <c r="N737" s="38" t="str">
        <f>IF(A737="","",IFERROR(T(INDEX('交易记录'!$C$5:$C$304,MATCH(A737,'交易记录'!$A$5:$A$304,0))),"编号没找到"))</f>
        <v/>
      </c>
      <c r="O737" s="31" t="n"/>
    </row>
    <row r="738">
      <c r="A738" s="29" t="n"/>
      <c r="B738" s="30" t="n"/>
      <c r="C738" s="27" t="n"/>
      <c r="D738" s="32" t="n"/>
      <c r="E738" s="33" t="n"/>
      <c r="F738" s="36" t="n"/>
      <c r="G738" s="33" t="n"/>
      <c r="H738" s="20" t="str">
        <f>IF(AND(ISNUMBER(E738),ISNUMBER(F738)),E738*F738,"")</f>
        <v/>
      </c>
      <c r="I738" s="38" t="str">
        <f>IF(A738="","",IFERROR(IF(N(INDEX('交易记录'!$G$5:$G$304,MATCH(A738,'交易记录'!$A$5:$A$304,0)))&gt;0,INDEX('交易记录'!$G$5:$G$304,MATCH(A738,'交易记录'!$A$5:$A$304,0)),1),1))</f>
        <v/>
      </c>
      <c r="J738" s="41" t="str">
        <f>IF(ISNUMBER(H738),ROUND('参数'!$C$11+H738*I738*'参数'!$C$12+F738*'参数'!$C$13,2),"")</f>
        <v/>
      </c>
      <c r="K738" s="22" t="n"/>
      <c r="L738" s="20" t="str">
        <f>IF(ISNUMBER(K738),K738,IF(ISNUMBER(H738),J738,""))</f>
        <v/>
      </c>
      <c r="M738" s="46" t="str">
        <f>IF(AND(ISNUMBER(E738),ISNUMBER(G738),ISNUMBER(F738)),(E738-G738)*IF(D738="卖",-1,1)*F738*I738,"")</f>
        <v/>
      </c>
      <c r="N738" s="38" t="str">
        <f>IF(A738="","",IFERROR(T(INDEX('交易记录'!$C$5:$C$304,MATCH(A738,'交易记录'!$A$5:$A$304,0))),"编号没找到"))</f>
        <v/>
      </c>
      <c r="O738" s="31" t="n"/>
    </row>
    <row r="739">
      <c r="A739" s="29" t="n"/>
      <c r="B739" s="30" t="n"/>
      <c r="C739" s="27" t="n"/>
      <c r="D739" s="32" t="n"/>
      <c r="E739" s="33" t="n"/>
      <c r="F739" s="36" t="n"/>
      <c r="G739" s="33" t="n"/>
      <c r="H739" s="20" t="str">
        <f>IF(AND(ISNUMBER(E739),ISNUMBER(F739)),E739*F739,"")</f>
        <v/>
      </c>
      <c r="I739" s="38" t="str">
        <f>IF(A739="","",IFERROR(IF(N(INDEX('交易记录'!$G$5:$G$304,MATCH(A739,'交易记录'!$A$5:$A$304,0)))&gt;0,INDEX('交易记录'!$G$5:$G$304,MATCH(A739,'交易记录'!$A$5:$A$304,0)),1),1))</f>
        <v/>
      </c>
      <c r="J739" s="41" t="str">
        <f>IF(ISNUMBER(H739),ROUND('参数'!$C$11+H739*I739*'参数'!$C$12+F739*'参数'!$C$13,2),"")</f>
        <v/>
      </c>
      <c r="K739" s="22" t="n"/>
      <c r="L739" s="20" t="str">
        <f>IF(ISNUMBER(K739),K739,IF(ISNUMBER(H739),J739,""))</f>
        <v/>
      </c>
      <c r="M739" s="46" t="str">
        <f>IF(AND(ISNUMBER(E739),ISNUMBER(G739),ISNUMBER(F739)),(E739-G739)*IF(D739="卖",-1,1)*F739*I739,"")</f>
        <v/>
      </c>
      <c r="N739" s="38" t="str">
        <f>IF(A739="","",IFERROR(T(INDEX('交易记录'!$C$5:$C$304,MATCH(A739,'交易记录'!$A$5:$A$304,0))),"编号没找到"))</f>
        <v/>
      </c>
      <c r="O739" s="31" t="n"/>
    </row>
    <row r="740">
      <c r="A740" s="29" t="n"/>
      <c r="B740" s="30" t="n"/>
      <c r="C740" s="27" t="n"/>
      <c r="D740" s="32" t="n"/>
      <c r="E740" s="33" t="n"/>
      <c r="F740" s="36" t="n"/>
      <c r="G740" s="33" t="n"/>
      <c r="H740" s="20" t="str">
        <f>IF(AND(ISNUMBER(E740),ISNUMBER(F740)),E740*F740,"")</f>
        <v/>
      </c>
      <c r="I740" s="38" t="str">
        <f>IF(A740="","",IFERROR(IF(N(INDEX('交易记录'!$G$5:$G$304,MATCH(A740,'交易记录'!$A$5:$A$304,0)))&gt;0,INDEX('交易记录'!$G$5:$G$304,MATCH(A740,'交易记录'!$A$5:$A$304,0)),1),1))</f>
        <v/>
      </c>
      <c r="J740" s="41" t="str">
        <f>IF(ISNUMBER(H740),ROUND('参数'!$C$11+H740*I740*'参数'!$C$12+F740*'参数'!$C$13,2),"")</f>
        <v/>
      </c>
      <c r="K740" s="22" t="n"/>
      <c r="L740" s="20" t="str">
        <f>IF(ISNUMBER(K740),K740,IF(ISNUMBER(H740),J740,""))</f>
        <v/>
      </c>
      <c r="M740" s="46" t="str">
        <f>IF(AND(ISNUMBER(E740),ISNUMBER(G740),ISNUMBER(F740)),(E740-G740)*IF(D740="卖",-1,1)*F740*I740,"")</f>
        <v/>
      </c>
      <c r="N740" s="38" t="str">
        <f>IF(A740="","",IFERROR(T(INDEX('交易记录'!$C$5:$C$304,MATCH(A740,'交易记录'!$A$5:$A$304,0))),"编号没找到"))</f>
        <v/>
      </c>
      <c r="O740" s="31" t="n"/>
    </row>
    <row r="741">
      <c r="A741" s="29" t="n"/>
      <c r="B741" s="30" t="n"/>
      <c r="C741" s="27" t="n"/>
      <c r="D741" s="32" t="n"/>
      <c r="E741" s="33" t="n"/>
      <c r="F741" s="36" t="n"/>
      <c r="G741" s="33" t="n"/>
      <c r="H741" s="20" t="str">
        <f>IF(AND(ISNUMBER(E741),ISNUMBER(F741)),E741*F741,"")</f>
        <v/>
      </c>
      <c r="I741" s="38" t="str">
        <f>IF(A741="","",IFERROR(IF(N(INDEX('交易记录'!$G$5:$G$304,MATCH(A741,'交易记录'!$A$5:$A$304,0)))&gt;0,INDEX('交易记录'!$G$5:$G$304,MATCH(A741,'交易记录'!$A$5:$A$304,0)),1),1))</f>
        <v/>
      </c>
      <c r="J741" s="41" t="str">
        <f>IF(ISNUMBER(H741),ROUND('参数'!$C$11+H741*I741*'参数'!$C$12+F741*'参数'!$C$13,2),"")</f>
        <v/>
      </c>
      <c r="K741" s="22" t="n"/>
      <c r="L741" s="20" t="str">
        <f>IF(ISNUMBER(K741),K741,IF(ISNUMBER(H741),J741,""))</f>
        <v/>
      </c>
      <c r="M741" s="46" t="str">
        <f>IF(AND(ISNUMBER(E741),ISNUMBER(G741),ISNUMBER(F741)),(E741-G741)*IF(D741="卖",-1,1)*F741*I741,"")</f>
        <v/>
      </c>
      <c r="N741" s="38" t="str">
        <f>IF(A741="","",IFERROR(T(INDEX('交易记录'!$C$5:$C$304,MATCH(A741,'交易记录'!$A$5:$A$304,0))),"编号没找到"))</f>
        <v/>
      </c>
      <c r="O741" s="31" t="n"/>
    </row>
    <row r="742">
      <c r="A742" s="29" t="n"/>
      <c r="B742" s="30" t="n"/>
      <c r="C742" s="27" t="n"/>
      <c r="D742" s="32" t="n"/>
      <c r="E742" s="33" t="n"/>
      <c r="F742" s="36" t="n"/>
      <c r="G742" s="33" t="n"/>
      <c r="H742" s="20" t="str">
        <f>IF(AND(ISNUMBER(E742),ISNUMBER(F742)),E742*F742,"")</f>
        <v/>
      </c>
      <c r="I742" s="38" t="str">
        <f>IF(A742="","",IFERROR(IF(N(INDEX('交易记录'!$G$5:$G$304,MATCH(A742,'交易记录'!$A$5:$A$304,0)))&gt;0,INDEX('交易记录'!$G$5:$G$304,MATCH(A742,'交易记录'!$A$5:$A$304,0)),1),1))</f>
        <v/>
      </c>
      <c r="J742" s="41" t="str">
        <f>IF(ISNUMBER(H742),ROUND('参数'!$C$11+H742*I742*'参数'!$C$12+F742*'参数'!$C$13,2),"")</f>
        <v/>
      </c>
      <c r="K742" s="22" t="n"/>
      <c r="L742" s="20" t="str">
        <f>IF(ISNUMBER(K742),K742,IF(ISNUMBER(H742),J742,""))</f>
        <v/>
      </c>
      <c r="M742" s="46" t="str">
        <f>IF(AND(ISNUMBER(E742),ISNUMBER(G742),ISNUMBER(F742)),(E742-G742)*IF(D742="卖",-1,1)*F742*I742,"")</f>
        <v/>
      </c>
      <c r="N742" s="38" t="str">
        <f>IF(A742="","",IFERROR(T(INDEX('交易记录'!$C$5:$C$304,MATCH(A742,'交易记录'!$A$5:$A$304,0))),"编号没找到"))</f>
        <v/>
      </c>
      <c r="O742" s="31" t="n"/>
    </row>
    <row r="743">
      <c r="A743" s="29" t="n"/>
      <c r="B743" s="30" t="n"/>
      <c r="C743" s="27" t="n"/>
      <c r="D743" s="32" t="n"/>
      <c r="E743" s="33" t="n"/>
      <c r="F743" s="36" t="n"/>
      <c r="G743" s="33" t="n"/>
      <c r="H743" s="20" t="str">
        <f>IF(AND(ISNUMBER(E743),ISNUMBER(F743)),E743*F743,"")</f>
        <v/>
      </c>
      <c r="I743" s="38" t="str">
        <f>IF(A743="","",IFERROR(IF(N(INDEX('交易记录'!$G$5:$G$304,MATCH(A743,'交易记录'!$A$5:$A$304,0)))&gt;0,INDEX('交易记录'!$G$5:$G$304,MATCH(A743,'交易记录'!$A$5:$A$304,0)),1),1))</f>
        <v/>
      </c>
      <c r="J743" s="41" t="str">
        <f>IF(ISNUMBER(H743),ROUND('参数'!$C$11+H743*I743*'参数'!$C$12+F743*'参数'!$C$13,2),"")</f>
        <v/>
      </c>
      <c r="K743" s="22" t="n"/>
      <c r="L743" s="20" t="str">
        <f>IF(ISNUMBER(K743),K743,IF(ISNUMBER(H743),J743,""))</f>
        <v/>
      </c>
      <c r="M743" s="46" t="str">
        <f>IF(AND(ISNUMBER(E743),ISNUMBER(G743),ISNUMBER(F743)),(E743-G743)*IF(D743="卖",-1,1)*F743*I743,"")</f>
        <v/>
      </c>
      <c r="N743" s="38" t="str">
        <f>IF(A743="","",IFERROR(T(INDEX('交易记录'!$C$5:$C$304,MATCH(A743,'交易记录'!$A$5:$A$304,0))),"编号没找到"))</f>
        <v/>
      </c>
      <c r="O743" s="31" t="n"/>
    </row>
    <row r="744">
      <c r="A744" s="29" t="n"/>
      <c r="B744" s="30" t="n"/>
      <c r="C744" s="27" t="n"/>
      <c r="D744" s="32" t="n"/>
      <c r="E744" s="33" t="n"/>
      <c r="F744" s="36" t="n"/>
      <c r="G744" s="33" t="n"/>
      <c r="H744" s="20" t="str">
        <f>IF(AND(ISNUMBER(E744),ISNUMBER(F744)),E744*F744,"")</f>
        <v/>
      </c>
      <c r="I744" s="38" t="str">
        <f>IF(A744="","",IFERROR(IF(N(INDEX('交易记录'!$G$5:$G$304,MATCH(A744,'交易记录'!$A$5:$A$304,0)))&gt;0,INDEX('交易记录'!$G$5:$G$304,MATCH(A744,'交易记录'!$A$5:$A$304,0)),1),1))</f>
        <v/>
      </c>
      <c r="J744" s="41" t="str">
        <f>IF(ISNUMBER(H744),ROUND('参数'!$C$11+H744*I744*'参数'!$C$12+F744*'参数'!$C$13,2),"")</f>
        <v/>
      </c>
      <c r="K744" s="22" t="n"/>
      <c r="L744" s="20" t="str">
        <f>IF(ISNUMBER(K744),K744,IF(ISNUMBER(H744),J744,""))</f>
        <v/>
      </c>
      <c r="M744" s="46" t="str">
        <f>IF(AND(ISNUMBER(E744),ISNUMBER(G744),ISNUMBER(F744)),(E744-G744)*IF(D744="卖",-1,1)*F744*I744,"")</f>
        <v/>
      </c>
      <c r="N744" s="38" t="str">
        <f>IF(A744="","",IFERROR(T(INDEX('交易记录'!$C$5:$C$304,MATCH(A744,'交易记录'!$A$5:$A$304,0))),"编号没找到"))</f>
        <v/>
      </c>
      <c r="O744" s="31" t="n"/>
    </row>
    <row r="745">
      <c r="A745" s="29" t="n"/>
      <c r="B745" s="30" t="n"/>
      <c r="C745" s="27" t="n"/>
      <c r="D745" s="32" t="n"/>
      <c r="E745" s="33" t="n"/>
      <c r="F745" s="36" t="n"/>
      <c r="G745" s="33" t="n"/>
      <c r="H745" s="20" t="str">
        <f>IF(AND(ISNUMBER(E745),ISNUMBER(F745)),E745*F745,"")</f>
        <v/>
      </c>
      <c r="I745" s="38" t="str">
        <f>IF(A745="","",IFERROR(IF(N(INDEX('交易记录'!$G$5:$G$304,MATCH(A745,'交易记录'!$A$5:$A$304,0)))&gt;0,INDEX('交易记录'!$G$5:$G$304,MATCH(A745,'交易记录'!$A$5:$A$304,0)),1),1))</f>
        <v/>
      </c>
      <c r="J745" s="41" t="str">
        <f>IF(ISNUMBER(H745),ROUND('参数'!$C$11+H745*I745*'参数'!$C$12+F745*'参数'!$C$13,2),"")</f>
        <v/>
      </c>
      <c r="K745" s="22" t="n"/>
      <c r="L745" s="20" t="str">
        <f>IF(ISNUMBER(K745),K745,IF(ISNUMBER(H745),J745,""))</f>
        <v/>
      </c>
      <c r="M745" s="46" t="str">
        <f>IF(AND(ISNUMBER(E745),ISNUMBER(G745),ISNUMBER(F745)),(E745-G745)*IF(D745="卖",-1,1)*F745*I745,"")</f>
        <v/>
      </c>
      <c r="N745" s="38" t="str">
        <f>IF(A745="","",IFERROR(T(INDEX('交易记录'!$C$5:$C$304,MATCH(A745,'交易记录'!$A$5:$A$304,0))),"编号没找到"))</f>
        <v/>
      </c>
      <c r="O745" s="31" t="n"/>
    </row>
    <row r="746">
      <c r="A746" s="29" t="n"/>
      <c r="B746" s="30" t="n"/>
      <c r="C746" s="27" t="n"/>
      <c r="D746" s="32" t="n"/>
      <c r="E746" s="33" t="n"/>
      <c r="F746" s="36" t="n"/>
      <c r="G746" s="33" t="n"/>
      <c r="H746" s="20" t="str">
        <f>IF(AND(ISNUMBER(E746),ISNUMBER(F746)),E746*F746,"")</f>
        <v/>
      </c>
      <c r="I746" s="38" t="str">
        <f>IF(A746="","",IFERROR(IF(N(INDEX('交易记录'!$G$5:$G$304,MATCH(A746,'交易记录'!$A$5:$A$304,0)))&gt;0,INDEX('交易记录'!$G$5:$G$304,MATCH(A746,'交易记录'!$A$5:$A$304,0)),1),1))</f>
        <v/>
      </c>
      <c r="J746" s="41" t="str">
        <f>IF(ISNUMBER(H746),ROUND('参数'!$C$11+H746*I746*'参数'!$C$12+F746*'参数'!$C$13,2),"")</f>
        <v/>
      </c>
      <c r="K746" s="22" t="n"/>
      <c r="L746" s="20" t="str">
        <f>IF(ISNUMBER(K746),K746,IF(ISNUMBER(H746),J746,""))</f>
        <v/>
      </c>
      <c r="M746" s="46" t="str">
        <f>IF(AND(ISNUMBER(E746),ISNUMBER(G746),ISNUMBER(F746)),(E746-G746)*IF(D746="卖",-1,1)*F746*I746,"")</f>
        <v/>
      </c>
      <c r="N746" s="38" t="str">
        <f>IF(A746="","",IFERROR(T(INDEX('交易记录'!$C$5:$C$304,MATCH(A746,'交易记录'!$A$5:$A$304,0))),"编号没找到"))</f>
        <v/>
      </c>
      <c r="O746" s="31" t="n"/>
    </row>
    <row r="747">
      <c r="A747" s="29" t="n"/>
      <c r="B747" s="30" t="n"/>
      <c r="C747" s="27" t="n"/>
      <c r="D747" s="32" t="n"/>
      <c r="E747" s="33" t="n"/>
      <c r="F747" s="36" t="n"/>
      <c r="G747" s="33" t="n"/>
      <c r="H747" s="20" t="str">
        <f>IF(AND(ISNUMBER(E747),ISNUMBER(F747)),E747*F747,"")</f>
        <v/>
      </c>
      <c r="I747" s="38" t="str">
        <f>IF(A747="","",IFERROR(IF(N(INDEX('交易记录'!$G$5:$G$304,MATCH(A747,'交易记录'!$A$5:$A$304,0)))&gt;0,INDEX('交易记录'!$G$5:$G$304,MATCH(A747,'交易记录'!$A$5:$A$304,0)),1),1))</f>
        <v/>
      </c>
      <c r="J747" s="41" t="str">
        <f>IF(ISNUMBER(H747),ROUND('参数'!$C$11+H747*I747*'参数'!$C$12+F747*'参数'!$C$13,2),"")</f>
        <v/>
      </c>
      <c r="K747" s="22" t="n"/>
      <c r="L747" s="20" t="str">
        <f>IF(ISNUMBER(K747),K747,IF(ISNUMBER(H747),J747,""))</f>
        <v/>
      </c>
      <c r="M747" s="46" t="str">
        <f>IF(AND(ISNUMBER(E747),ISNUMBER(G747),ISNUMBER(F747)),(E747-G747)*IF(D747="卖",-1,1)*F747*I747,"")</f>
        <v/>
      </c>
      <c r="N747" s="38" t="str">
        <f>IF(A747="","",IFERROR(T(INDEX('交易记录'!$C$5:$C$304,MATCH(A747,'交易记录'!$A$5:$A$304,0))),"编号没找到"))</f>
        <v/>
      </c>
      <c r="O747" s="31" t="n"/>
    </row>
    <row r="748">
      <c r="A748" s="29" t="n"/>
      <c r="B748" s="30" t="n"/>
      <c r="C748" s="27" t="n"/>
      <c r="D748" s="32" t="n"/>
      <c r="E748" s="33" t="n"/>
      <c r="F748" s="36" t="n"/>
      <c r="G748" s="33" t="n"/>
      <c r="H748" s="20" t="str">
        <f>IF(AND(ISNUMBER(E748),ISNUMBER(F748)),E748*F748,"")</f>
        <v/>
      </c>
      <c r="I748" s="38" t="str">
        <f>IF(A748="","",IFERROR(IF(N(INDEX('交易记录'!$G$5:$G$304,MATCH(A748,'交易记录'!$A$5:$A$304,0)))&gt;0,INDEX('交易记录'!$G$5:$G$304,MATCH(A748,'交易记录'!$A$5:$A$304,0)),1),1))</f>
        <v/>
      </c>
      <c r="J748" s="41" t="str">
        <f>IF(ISNUMBER(H748),ROUND('参数'!$C$11+H748*I748*'参数'!$C$12+F748*'参数'!$C$13,2),"")</f>
        <v/>
      </c>
      <c r="K748" s="22" t="n"/>
      <c r="L748" s="20" t="str">
        <f>IF(ISNUMBER(K748),K748,IF(ISNUMBER(H748),J748,""))</f>
        <v/>
      </c>
      <c r="M748" s="46" t="str">
        <f>IF(AND(ISNUMBER(E748),ISNUMBER(G748),ISNUMBER(F748)),(E748-G748)*IF(D748="卖",-1,1)*F748*I748,"")</f>
        <v/>
      </c>
      <c r="N748" s="38" t="str">
        <f>IF(A748="","",IFERROR(T(INDEX('交易记录'!$C$5:$C$304,MATCH(A748,'交易记录'!$A$5:$A$304,0))),"编号没找到"))</f>
        <v/>
      </c>
      <c r="O748" s="31" t="n"/>
    </row>
    <row r="749">
      <c r="A749" s="29" t="n"/>
      <c r="B749" s="30" t="n"/>
      <c r="C749" s="27" t="n"/>
      <c r="D749" s="32" t="n"/>
      <c r="E749" s="33" t="n"/>
      <c r="F749" s="36" t="n"/>
      <c r="G749" s="33" t="n"/>
      <c r="H749" s="20" t="str">
        <f>IF(AND(ISNUMBER(E749),ISNUMBER(F749)),E749*F749,"")</f>
        <v/>
      </c>
      <c r="I749" s="38" t="str">
        <f>IF(A749="","",IFERROR(IF(N(INDEX('交易记录'!$G$5:$G$304,MATCH(A749,'交易记录'!$A$5:$A$304,0)))&gt;0,INDEX('交易记录'!$G$5:$G$304,MATCH(A749,'交易记录'!$A$5:$A$304,0)),1),1))</f>
        <v/>
      </c>
      <c r="J749" s="41" t="str">
        <f>IF(ISNUMBER(H749),ROUND('参数'!$C$11+H749*I749*'参数'!$C$12+F749*'参数'!$C$13,2),"")</f>
        <v/>
      </c>
      <c r="K749" s="22" t="n"/>
      <c r="L749" s="20" t="str">
        <f>IF(ISNUMBER(K749),K749,IF(ISNUMBER(H749),J749,""))</f>
        <v/>
      </c>
      <c r="M749" s="46" t="str">
        <f>IF(AND(ISNUMBER(E749),ISNUMBER(G749),ISNUMBER(F749)),(E749-G749)*IF(D749="卖",-1,1)*F749*I749,"")</f>
        <v/>
      </c>
      <c r="N749" s="38" t="str">
        <f>IF(A749="","",IFERROR(T(INDEX('交易记录'!$C$5:$C$304,MATCH(A749,'交易记录'!$A$5:$A$304,0))),"编号没找到"))</f>
        <v/>
      </c>
      <c r="O749" s="31" t="n"/>
    </row>
    <row r="750">
      <c r="A750" s="29" t="n"/>
      <c r="B750" s="30" t="n"/>
      <c r="C750" s="27" t="n"/>
      <c r="D750" s="32" t="n"/>
      <c r="E750" s="33" t="n"/>
      <c r="F750" s="36" t="n"/>
      <c r="G750" s="33" t="n"/>
      <c r="H750" s="20" t="str">
        <f>IF(AND(ISNUMBER(E750),ISNUMBER(F750)),E750*F750,"")</f>
        <v/>
      </c>
      <c r="I750" s="38" t="str">
        <f>IF(A750="","",IFERROR(IF(N(INDEX('交易记录'!$G$5:$G$304,MATCH(A750,'交易记录'!$A$5:$A$304,0)))&gt;0,INDEX('交易记录'!$G$5:$G$304,MATCH(A750,'交易记录'!$A$5:$A$304,0)),1),1))</f>
        <v/>
      </c>
      <c r="J750" s="41" t="str">
        <f>IF(ISNUMBER(H750),ROUND('参数'!$C$11+H750*I750*'参数'!$C$12+F750*'参数'!$C$13,2),"")</f>
        <v/>
      </c>
      <c r="K750" s="22" t="n"/>
      <c r="L750" s="20" t="str">
        <f>IF(ISNUMBER(K750),K750,IF(ISNUMBER(H750),J750,""))</f>
        <v/>
      </c>
      <c r="M750" s="46" t="str">
        <f>IF(AND(ISNUMBER(E750),ISNUMBER(G750),ISNUMBER(F750)),(E750-G750)*IF(D750="卖",-1,1)*F750*I750,"")</f>
        <v/>
      </c>
      <c r="N750" s="38" t="str">
        <f>IF(A750="","",IFERROR(T(INDEX('交易记录'!$C$5:$C$304,MATCH(A750,'交易记录'!$A$5:$A$304,0))),"编号没找到"))</f>
        <v/>
      </c>
      <c r="O750" s="31" t="n"/>
    </row>
    <row r="751">
      <c r="A751" s="29" t="n"/>
      <c r="B751" s="30" t="n"/>
      <c r="C751" s="27" t="n"/>
      <c r="D751" s="32" t="n"/>
      <c r="E751" s="33" t="n"/>
      <c r="F751" s="36" t="n"/>
      <c r="G751" s="33" t="n"/>
      <c r="H751" s="20" t="str">
        <f>IF(AND(ISNUMBER(E751),ISNUMBER(F751)),E751*F751,"")</f>
        <v/>
      </c>
      <c r="I751" s="38" t="str">
        <f>IF(A751="","",IFERROR(IF(N(INDEX('交易记录'!$G$5:$G$304,MATCH(A751,'交易记录'!$A$5:$A$304,0)))&gt;0,INDEX('交易记录'!$G$5:$G$304,MATCH(A751,'交易记录'!$A$5:$A$304,0)),1),1))</f>
        <v/>
      </c>
      <c r="J751" s="41" t="str">
        <f>IF(ISNUMBER(H751),ROUND('参数'!$C$11+H751*I751*'参数'!$C$12+F751*'参数'!$C$13,2),"")</f>
        <v/>
      </c>
      <c r="K751" s="22" t="n"/>
      <c r="L751" s="20" t="str">
        <f>IF(ISNUMBER(K751),K751,IF(ISNUMBER(H751),J751,""))</f>
        <v/>
      </c>
      <c r="M751" s="46" t="str">
        <f>IF(AND(ISNUMBER(E751),ISNUMBER(G751),ISNUMBER(F751)),(E751-G751)*IF(D751="卖",-1,1)*F751*I751,"")</f>
        <v/>
      </c>
      <c r="N751" s="38" t="str">
        <f>IF(A751="","",IFERROR(T(INDEX('交易记录'!$C$5:$C$304,MATCH(A751,'交易记录'!$A$5:$A$304,0))),"编号没找到"))</f>
        <v/>
      </c>
      <c r="O751" s="31" t="n"/>
    </row>
    <row r="752">
      <c r="A752" s="29" t="n"/>
      <c r="B752" s="30" t="n"/>
      <c r="C752" s="27" t="n"/>
      <c r="D752" s="32" t="n"/>
      <c r="E752" s="33" t="n"/>
      <c r="F752" s="36" t="n"/>
      <c r="G752" s="33" t="n"/>
      <c r="H752" s="20" t="str">
        <f>IF(AND(ISNUMBER(E752),ISNUMBER(F752)),E752*F752,"")</f>
        <v/>
      </c>
      <c r="I752" s="38" t="str">
        <f>IF(A752="","",IFERROR(IF(N(INDEX('交易记录'!$G$5:$G$304,MATCH(A752,'交易记录'!$A$5:$A$304,0)))&gt;0,INDEX('交易记录'!$G$5:$G$304,MATCH(A752,'交易记录'!$A$5:$A$304,0)),1),1))</f>
        <v/>
      </c>
      <c r="J752" s="41" t="str">
        <f>IF(ISNUMBER(H752),ROUND('参数'!$C$11+H752*I752*'参数'!$C$12+F752*'参数'!$C$13,2),"")</f>
        <v/>
      </c>
      <c r="K752" s="22" t="n"/>
      <c r="L752" s="20" t="str">
        <f>IF(ISNUMBER(K752),K752,IF(ISNUMBER(H752),J752,""))</f>
        <v/>
      </c>
      <c r="M752" s="46" t="str">
        <f>IF(AND(ISNUMBER(E752),ISNUMBER(G752),ISNUMBER(F752)),(E752-G752)*IF(D752="卖",-1,1)*F752*I752,"")</f>
        <v/>
      </c>
      <c r="N752" s="38" t="str">
        <f>IF(A752="","",IFERROR(T(INDEX('交易记录'!$C$5:$C$304,MATCH(A752,'交易记录'!$A$5:$A$304,0))),"编号没找到"))</f>
        <v/>
      </c>
      <c r="O752" s="31" t="n"/>
    </row>
    <row r="753">
      <c r="A753" s="29" t="n"/>
      <c r="B753" s="30" t="n"/>
      <c r="C753" s="27" t="n"/>
      <c r="D753" s="32" t="n"/>
      <c r="E753" s="33" t="n"/>
      <c r="F753" s="36" t="n"/>
      <c r="G753" s="33" t="n"/>
      <c r="H753" s="20" t="str">
        <f>IF(AND(ISNUMBER(E753),ISNUMBER(F753)),E753*F753,"")</f>
        <v/>
      </c>
      <c r="I753" s="38" t="str">
        <f>IF(A753="","",IFERROR(IF(N(INDEX('交易记录'!$G$5:$G$304,MATCH(A753,'交易记录'!$A$5:$A$304,0)))&gt;0,INDEX('交易记录'!$G$5:$G$304,MATCH(A753,'交易记录'!$A$5:$A$304,0)),1),1))</f>
        <v/>
      </c>
      <c r="J753" s="41" t="str">
        <f>IF(ISNUMBER(H753),ROUND('参数'!$C$11+H753*I753*'参数'!$C$12+F753*'参数'!$C$13,2),"")</f>
        <v/>
      </c>
      <c r="K753" s="22" t="n"/>
      <c r="L753" s="20" t="str">
        <f>IF(ISNUMBER(K753),K753,IF(ISNUMBER(H753),J753,""))</f>
        <v/>
      </c>
      <c r="M753" s="46" t="str">
        <f>IF(AND(ISNUMBER(E753),ISNUMBER(G753),ISNUMBER(F753)),(E753-G753)*IF(D753="卖",-1,1)*F753*I753,"")</f>
        <v/>
      </c>
      <c r="N753" s="38" t="str">
        <f>IF(A753="","",IFERROR(T(INDEX('交易记录'!$C$5:$C$304,MATCH(A753,'交易记录'!$A$5:$A$304,0))),"编号没找到"))</f>
        <v/>
      </c>
      <c r="O753" s="31" t="n"/>
    </row>
    <row r="754">
      <c r="A754" s="29" t="n"/>
      <c r="B754" s="30" t="n"/>
      <c r="C754" s="27" t="n"/>
      <c r="D754" s="32" t="n"/>
      <c r="E754" s="33" t="n"/>
      <c r="F754" s="36" t="n"/>
      <c r="G754" s="33" t="n"/>
      <c r="H754" s="20" t="str">
        <f>IF(AND(ISNUMBER(E754),ISNUMBER(F754)),E754*F754,"")</f>
        <v/>
      </c>
      <c r="I754" s="38" t="str">
        <f>IF(A754="","",IFERROR(IF(N(INDEX('交易记录'!$G$5:$G$304,MATCH(A754,'交易记录'!$A$5:$A$304,0)))&gt;0,INDEX('交易记录'!$G$5:$G$304,MATCH(A754,'交易记录'!$A$5:$A$304,0)),1),1))</f>
        <v/>
      </c>
      <c r="J754" s="41" t="str">
        <f>IF(ISNUMBER(H754),ROUND('参数'!$C$11+H754*I754*'参数'!$C$12+F754*'参数'!$C$13,2),"")</f>
        <v/>
      </c>
      <c r="K754" s="22" t="n"/>
      <c r="L754" s="20" t="str">
        <f>IF(ISNUMBER(K754),K754,IF(ISNUMBER(H754),J754,""))</f>
        <v/>
      </c>
      <c r="M754" s="46" t="str">
        <f>IF(AND(ISNUMBER(E754),ISNUMBER(G754),ISNUMBER(F754)),(E754-G754)*IF(D754="卖",-1,1)*F754*I754,"")</f>
        <v/>
      </c>
      <c r="N754" s="38" t="str">
        <f>IF(A754="","",IFERROR(T(INDEX('交易记录'!$C$5:$C$304,MATCH(A754,'交易记录'!$A$5:$A$304,0))),"编号没找到"))</f>
        <v/>
      </c>
      <c r="O754" s="31" t="n"/>
    </row>
    <row r="755">
      <c r="A755" s="29" t="n"/>
      <c r="B755" s="30" t="n"/>
      <c r="C755" s="27" t="n"/>
      <c r="D755" s="32" t="n"/>
      <c r="E755" s="33" t="n"/>
      <c r="F755" s="36" t="n"/>
      <c r="G755" s="33" t="n"/>
      <c r="H755" s="20" t="str">
        <f>IF(AND(ISNUMBER(E755),ISNUMBER(F755)),E755*F755,"")</f>
        <v/>
      </c>
      <c r="I755" s="38" t="str">
        <f>IF(A755="","",IFERROR(IF(N(INDEX('交易记录'!$G$5:$G$304,MATCH(A755,'交易记录'!$A$5:$A$304,0)))&gt;0,INDEX('交易记录'!$G$5:$G$304,MATCH(A755,'交易记录'!$A$5:$A$304,0)),1),1))</f>
        <v/>
      </c>
      <c r="J755" s="41" t="str">
        <f>IF(ISNUMBER(H755),ROUND('参数'!$C$11+H755*I755*'参数'!$C$12+F755*'参数'!$C$13,2),"")</f>
        <v/>
      </c>
      <c r="K755" s="22" t="n"/>
      <c r="L755" s="20" t="str">
        <f>IF(ISNUMBER(K755),K755,IF(ISNUMBER(H755),J755,""))</f>
        <v/>
      </c>
      <c r="M755" s="46" t="str">
        <f>IF(AND(ISNUMBER(E755),ISNUMBER(G755),ISNUMBER(F755)),(E755-G755)*IF(D755="卖",-1,1)*F755*I755,"")</f>
        <v/>
      </c>
      <c r="N755" s="38" t="str">
        <f>IF(A755="","",IFERROR(T(INDEX('交易记录'!$C$5:$C$304,MATCH(A755,'交易记录'!$A$5:$A$304,0))),"编号没找到"))</f>
        <v/>
      </c>
      <c r="O755" s="31" t="n"/>
    </row>
    <row r="756">
      <c r="A756" s="29" t="n"/>
      <c r="B756" s="30" t="n"/>
      <c r="C756" s="27" t="n"/>
      <c r="D756" s="32" t="n"/>
      <c r="E756" s="33" t="n"/>
      <c r="F756" s="36" t="n"/>
      <c r="G756" s="33" t="n"/>
      <c r="H756" s="20" t="str">
        <f>IF(AND(ISNUMBER(E756),ISNUMBER(F756)),E756*F756,"")</f>
        <v/>
      </c>
      <c r="I756" s="38" t="str">
        <f>IF(A756="","",IFERROR(IF(N(INDEX('交易记录'!$G$5:$G$304,MATCH(A756,'交易记录'!$A$5:$A$304,0)))&gt;0,INDEX('交易记录'!$G$5:$G$304,MATCH(A756,'交易记录'!$A$5:$A$304,0)),1),1))</f>
        <v/>
      </c>
      <c r="J756" s="41" t="str">
        <f>IF(ISNUMBER(H756),ROUND('参数'!$C$11+H756*I756*'参数'!$C$12+F756*'参数'!$C$13,2),"")</f>
        <v/>
      </c>
      <c r="K756" s="22" t="n"/>
      <c r="L756" s="20" t="str">
        <f>IF(ISNUMBER(K756),K756,IF(ISNUMBER(H756),J756,""))</f>
        <v/>
      </c>
      <c r="M756" s="46" t="str">
        <f>IF(AND(ISNUMBER(E756),ISNUMBER(G756),ISNUMBER(F756)),(E756-G756)*IF(D756="卖",-1,1)*F756*I756,"")</f>
        <v/>
      </c>
      <c r="N756" s="38" t="str">
        <f>IF(A756="","",IFERROR(T(INDEX('交易记录'!$C$5:$C$304,MATCH(A756,'交易记录'!$A$5:$A$304,0))),"编号没找到"))</f>
        <v/>
      </c>
      <c r="O756" s="31" t="n"/>
    </row>
    <row r="757">
      <c r="A757" s="29" t="n"/>
      <c r="B757" s="30" t="n"/>
      <c r="C757" s="27" t="n"/>
      <c r="D757" s="32" t="n"/>
      <c r="E757" s="33" t="n"/>
      <c r="F757" s="36" t="n"/>
      <c r="G757" s="33" t="n"/>
      <c r="H757" s="20" t="str">
        <f>IF(AND(ISNUMBER(E757),ISNUMBER(F757)),E757*F757,"")</f>
        <v/>
      </c>
      <c r="I757" s="38" t="str">
        <f>IF(A757="","",IFERROR(IF(N(INDEX('交易记录'!$G$5:$G$304,MATCH(A757,'交易记录'!$A$5:$A$304,0)))&gt;0,INDEX('交易记录'!$G$5:$G$304,MATCH(A757,'交易记录'!$A$5:$A$304,0)),1),1))</f>
        <v/>
      </c>
      <c r="J757" s="41" t="str">
        <f>IF(ISNUMBER(H757),ROUND('参数'!$C$11+H757*I757*'参数'!$C$12+F757*'参数'!$C$13,2),"")</f>
        <v/>
      </c>
      <c r="K757" s="22" t="n"/>
      <c r="L757" s="20" t="str">
        <f>IF(ISNUMBER(K757),K757,IF(ISNUMBER(H757),J757,""))</f>
        <v/>
      </c>
      <c r="M757" s="46" t="str">
        <f>IF(AND(ISNUMBER(E757),ISNUMBER(G757),ISNUMBER(F757)),(E757-G757)*IF(D757="卖",-1,1)*F757*I757,"")</f>
        <v/>
      </c>
      <c r="N757" s="38" t="str">
        <f>IF(A757="","",IFERROR(T(INDEX('交易记录'!$C$5:$C$304,MATCH(A757,'交易记录'!$A$5:$A$304,0))),"编号没找到"))</f>
        <v/>
      </c>
      <c r="O757" s="31" t="n"/>
    </row>
    <row r="758">
      <c r="A758" s="29" t="n"/>
      <c r="B758" s="30" t="n"/>
      <c r="C758" s="27" t="n"/>
      <c r="D758" s="32" t="n"/>
      <c r="E758" s="33" t="n"/>
      <c r="F758" s="36" t="n"/>
      <c r="G758" s="33" t="n"/>
      <c r="H758" s="20" t="str">
        <f>IF(AND(ISNUMBER(E758),ISNUMBER(F758)),E758*F758,"")</f>
        <v/>
      </c>
      <c r="I758" s="38" t="str">
        <f>IF(A758="","",IFERROR(IF(N(INDEX('交易记录'!$G$5:$G$304,MATCH(A758,'交易记录'!$A$5:$A$304,0)))&gt;0,INDEX('交易记录'!$G$5:$G$304,MATCH(A758,'交易记录'!$A$5:$A$304,0)),1),1))</f>
        <v/>
      </c>
      <c r="J758" s="41" t="str">
        <f>IF(ISNUMBER(H758),ROUND('参数'!$C$11+H758*I758*'参数'!$C$12+F758*'参数'!$C$13,2),"")</f>
        <v/>
      </c>
      <c r="K758" s="22" t="n"/>
      <c r="L758" s="20" t="str">
        <f>IF(ISNUMBER(K758),K758,IF(ISNUMBER(H758),J758,""))</f>
        <v/>
      </c>
      <c r="M758" s="46" t="str">
        <f>IF(AND(ISNUMBER(E758),ISNUMBER(G758),ISNUMBER(F758)),(E758-G758)*IF(D758="卖",-1,1)*F758*I758,"")</f>
        <v/>
      </c>
      <c r="N758" s="38" t="str">
        <f>IF(A758="","",IFERROR(T(INDEX('交易记录'!$C$5:$C$304,MATCH(A758,'交易记录'!$A$5:$A$304,0))),"编号没找到"))</f>
        <v/>
      </c>
      <c r="O758" s="31" t="n"/>
    </row>
    <row r="759">
      <c r="A759" s="29" t="n"/>
      <c r="B759" s="30" t="n"/>
      <c r="C759" s="27" t="n"/>
      <c r="D759" s="32" t="n"/>
      <c r="E759" s="33" t="n"/>
      <c r="F759" s="36" t="n"/>
      <c r="G759" s="33" t="n"/>
      <c r="H759" s="20" t="str">
        <f>IF(AND(ISNUMBER(E759),ISNUMBER(F759)),E759*F759,"")</f>
        <v/>
      </c>
      <c r="I759" s="38" t="str">
        <f>IF(A759="","",IFERROR(IF(N(INDEX('交易记录'!$G$5:$G$304,MATCH(A759,'交易记录'!$A$5:$A$304,0)))&gt;0,INDEX('交易记录'!$G$5:$G$304,MATCH(A759,'交易记录'!$A$5:$A$304,0)),1),1))</f>
        <v/>
      </c>
      <c r="J759" s="41" t="str">
        <f>IF(ISNUMBER(H759),ROUND('参数'!$C$11+H759*I759*'参数'!$C$12+F759*'参数'!$C$13,2),"")</f>
        <v/>
      </c>
      <c r="K759" s="22" t="n"/>
      <c r="L759" s="20" t="str">
        <f>IF(ISNUMBER(K759),K759,IF(ISNUMBER(H759),J759,""))</f>
        <v/>
      </c>
      <c r="M759" s="46" t="str">
        <f>IF(AND(ISNUMBER(E759),ISNUMBER(G759),ISNUMBER(F759)),(E759-G759)*IF(D759="卖",-1,1)*F759*I759,"")</f>
        <v/>
      </c>
      <c r="N759" s="38" t="str">
        <f>IF(A759="","",IFERROR(T(INDEX('交易记录'!$C$5:$C$304,MATCH(A759,'交易记录'!$A$5:$A$304,0))),"编号没找到"))</f>
        <v/>
      </c>
      <c r="O759" s="31" t="n"/>
    </row>
    <row r="760">
      <c r="A760" s="29" t="n"/>
      <c r="B760" s="30" t="n"/>
      <c r="C760" s="27" t="n"/>
      <c r="D760" s="32" t="n"/>
      <c r="E760" s="33" t="n"/>
      <c r="F760" s="36" t="n"/>
      <c r="G760" s="33" t="n"/>
      <c r="H760" s="20" t="str">
        <f>IF(AND(ISNUMBER(E760),ISNUMBER(F760)),E760*F760,"")</f>
        <v/>
      </c>
      <c r="I760" s="38" t="str">
        <f>IF(A760="","",IFERROR(IF(N(INDEX('交易记录'!$G$5:$G$304,MATCH(A760,'交易记录'!$A$5:$A$304,0)))&gt;0,INDEX('交易记录'!$G$5:$G$304,MATCH(A760,'交易记录'!$A$5:$A$304,0)),1),1))</f>
        <v/>
      </c>
      <c r="J760" s="41" t="str">
        <f>IF(ISNUMBER(H760),ROUND('参数'!$C$11+H760*I760*'参数'!$C$12+F760*'参数'!$C$13,2),"")</f>
        <v/>
      </c>
      <c r="K760" s="22" t="n"/>
      <c r="L760" s="20" t="str">
        <f>IF(ISNUMBER(K760),K760,IF(ISNUMBER(H760),J760,""))</f>
        <v/>
      </c>
      <c r="M760" s="46" t="str">
        <f>IF(AND(ISNUMBER(E760),ISNUMBER(G760),ISNUMBER(F760)),(E760-G760)*IF(D760="卖",-1,1)*F760*I760,"")</f>
        <v/>
      </c>
      <c r="N760" s="38" t="str">
        <f>IF(A760="","",IFERROR(T(INDEX('交易记录'!$C$5:$C$304,MATCH(A760,'交易记录'!$A$5:$A$304,0))),"编号没找到"))</f>
        <v/>
      </c>
      <c r="O760" s="31" t="n"/>
    </row>
    <row r="761">
      <c r="A761" s="29" t="n"/>
      <c r="B761" s="30" t="n"/>
      <c r="C761" s="27" t="n"/>
      <c r="D761" s="32" t="n"/>
      <c r="E761" s="33" t="n"/>
      <c r="F761" s="36" t="n"/>
      <c r="G761" s="33" t="n"/>
      <c r="H761" s="20" t="str">
        <f>IF(AND(ISNUMBER(E761),ISNUMBER(F761)),E761*F761,"")</f>
        <v/>
      </c>
      <c r="I761" s="38" t="str">
        <f>IF(A761="","",IFERROR(IF(N(INDEX('交易记录'!$G$5:$G$304,MATCH(A761,'交易记录'!$A$5:$A$304,0)))&gt;0,INDEX('交易记录'!$G$5:$G$304,MATCH(A761,'交易记录'!$A$5:$A$304,0)),1),1))</f>
        <v/>
      </c>
      <c r="J761" s="41" t="str">
        <f>IF(ISNUMBER(H761),ROUND('参数'!$C$11+H761*I761*'参数'!$C$12+F761*'参数'!$C$13,2),"")</f>
        <v/>
      </c>
      <c r="K761" s="22" t="n"/>
      <c r="L761" s="20" t="str">
        <f>IF(ISNUMBER(K761),K761,IF(ISNUMBER(H761),J761,""))</f>
        <v/>
      </c>
      <c r="M761" s="46" t="str">
        <f>IF(AND(ISNUMBER(E761),ISNUMBER(G761),ISNUMBER(F761)),(E761-G761)*IF(D761="卖",-1,1)*F761*I761,"")</f>
        <v/>
      </c>
      <c r="N761" s="38" t="str">
        <f>IF(A761="","",IFERROR(T(INDEX('交易记录'!$C$5:$C$304,MATCH(A761,'交易记录'!$A$5:$A$304,0))),"编号没找到"))</f>
        <v/>
      </c>
      <c r="O761" s="31" t="n"/>
    </row>
    <row r="762">
      <c r="A762" s="29" t="n"/>
      <c r="B762" s="30" t="n"/>
      <c r="C762" s="27" t="n"/>
      <c r="D762" s="32" t="n"/>
      <c r="E762" s="33" t="n"/>
      <c r="F762" s="36" t="n"/>
      <c r="G762" s="33" t="n"/>
      <c r="H762" s="20" t="str">
        <f>IF(AND(ISNUMBER(E762),ISNUMBER(F762)),E762*F762,"")</f>
        <v/>
      </c>
      <c r="I762" s="38" t="str">
        <f>IF(A762="","",IFERROR(IF(N(INDEX('交易记录'!$G$5:$G$304,MATCH(A762,'交易记录'!$A$5:$A$304,0)))&gt;0,INDEX('交易记录'!$G$5:$G$304,MATCH(A762,'交易记录'!$A$5:$A$304,0)),1),1))</f>
        <v/>
      </c>
      <c r="J762" s="41" t="str">
        <f>IF(ISNUMBER(H762),ROUND('参数'!$C$11+H762*I762*'参数'!$C$12+F762*'参数'!$C$13,2),"")</f>
        <v/>
      </c>
      <c r="K762" s="22" t="n"/>
      <c r="L762" s="20" t="str">
        <f>IF(ISNUMBER(K762),K762,IF(ISNUMBER(H762),J762,""))</f>
        <v/>
      </c>
      <c r="M762" s="46" t="str">
        <f>IF(AND(ISNUMBER(E762),ISNUMBER(G762),ISNUMBER(F762)),(E762-G762)*IF(D762="卖",-1,1)*F762*I762,"")</f>
        <v/>
      </c>
      <c r="N762" s="38" t="str">
        <f>IF(A762="","",IFERROR(T(INDEX('交易记录'!$C$5:$C$304,MATCH(A762,'交易记录'!$A$5:$A$304,0))),"编号没找到"))</f>
        <v/>
      </c>
      <c r="O762" s="31" t="n"/>
    </row>
    <row r="763">
      <c r="A763" s="29" t="n"/>
      <c r="B763" s="30" t="n"/>
      <c r="C763" s="27" t="n"/>
      <c r="D763" s="32" t="n"/>
      <c r="E763" s="33" t="n"/>
      <c r="F763" s="36" t="n"/>
      <c r="G763" s="33" t="n"/>
      <c r="H763" s="20" t="str">
        <f>IF(AND(ISNUMBER(E763),ISNUMBER(F763)),E763*F763,"")</f>
        <v/>
      </c>
      <c r="I763" s="38" t="str">
        <f>IF(A763="","",IFERROR(IF(N(INDEX('交易记录'!$G$5:$G$304,MATCH(A763,'交易记录'!$A$5:$A$304,0)))&gt;0,INDEX('交易记录'!$G$5:$G$304,MATCH(A763,'交易记录'!$A$5:$A$304,0)),1),1))</f>
        <v/>
      </c>
      <c r="J763" s="41" t="str">
        <f>IF(ISNUMBER(H763),ROUND('参数'!$C$11+H763*I763*'参数'!$C$12+F763*'参数'!$C$13,2),"")</f>
        <v/>
      </c>
      <c r="K763" s="22" t="n"/>
      <c r="L763" s="20" t="str">
        <f>IF(ISNUMBER(K763),K763,IF(ISNUMBER(H763),J763,""))</f>
        <v/>
      </c>
      <c r="M763" s="46" t="str">
        <f>IF(AND(ISNUMBER(E763),ISNUMBER(G763),ISNUMBER(F763)),(E763-G763)*IF(D763="卖",-1,1)*F763*I763,"")</f>
        <v/>
      </c>
      <c r="N763" s="38" t="str">
        <f>IF(A763="","",IFERROR(T(INDEX('交易记录'!$C$5:$C$304,MATCH(A763,'交易记录'!$A$5:$A$304,0))),"编号没找到"))</f>
        <v/>
      </c>
      <c r="O763" s="31" t="n"/>
    </row>
    <row r="764">
      <c r="A764" s="29" t="n"/>
      <c r="B764" s="30" t="n"/>
      <c r="C764" s="27" t="n"/>
      <c r="D764" s="32" t="n"/>
      <c r="E764" s="33" t="n"/>
      <c r="F764" s="36" t="n"/>
      <c r="G764" s="33" t="n"/>
      <c r="H764" s="20" t="str">
        <f>IF(AND(ISNUMBER(E764),ISNUMBER(F764)),E764*F764,"")</f>
        <v/>
      </c>
      <c r="I764" s="38" t="str">
        <f>IF(A764="","",IFERROR(IF(N(INDEX('交易记录'!$G$5:$G$304,MATCH(A764,'交易记录'!$A$5:$A$304,0)))&gt;0,INDEX('交易记录'!$G$5:$G$304,MATCH(A764,'交易记录'!$A$5:$A$304,0)),1),1))</f>
        <v/>
      </c>
      <c r="J764" s="41" t="str">
        <f>IF(ISNUMBER(H764),ROUND('参数'!$C$11+H764*I764*'参数'!$C$12+F764*'参数'!$C$13,2),"")</f>
        <v/>
      </c>
      <c r="K764" s="22" t="n"/>
      <c r="L764" s="20" t="str">
        <f>IF(ISNUMBER(K764),K764,IF(ISNUMBER(H764),J764,""))</f>
        <v/>
      </c>
      <c r="M764" s="46" t="str">
        <f>IF(AND(ISNUMBER(E764),ISNUMBER(G764),ISNUMBER(F764)),(E764-G764)*IF(D764="卖",-1,1)*F764*I764,"")</f>
        <v/>
      </c>
      <c r="N764" s="38" t="str">
        <f>IF(A764="","",IFERROR(T(INDEX('交易记录'!$C$5:$C$304,MATCH(A764,'交易记录'!$A$5:$A$304,0))),"编号没找到"))</f>
        <v/>
      </c>
      <c r="O764" s="31" t="n"/>
    </row>
    <row r="765">
      <c r="A765" s="29" t="n"/>
      <c r="B765" s="30" t="n"/>
      <c r="C765" s="27" t="n"/>
      <c r="D765" s="32" t="n"/>
      <c r="E765" s="33" t="n"/>
      <c r="F765" s="36" t="n"/>
      <c r="G765" s="33" t="n"/>
      <c r="H765" s="20" t="str">
        <f>IF(AND(ISNUMBER(E765),ISNUMBER(F765)),E765*F765,"")</f>
        <v/>
      </c>
      <c r="I765" s="38" t="str">
        <f>IF(A765="","",IFERROR(IF(N(INDEX('交易记录'!$G$5:$G$304,MATCH(A765,'交易记录'!$A$5:$A$304,0)))&gt;0,INDEX('交易记录'!$G$5:$G$304,MATCH(A765,'交易记录'!$A$5:$A$304,0)),1),1))</f>
        <v/>
      </c>
      <c r="J765" s="41" t="str">
        <f>IF(ISNUMBER(H765),ROUND('参数'!$C$11+H765*I765*'参数'!$C$12+F765*'参数'!$C$13,2),"")</f>
        <v/>
      </c>
      <c r="K765" s="22" t="n"/>
      <c r="L765" s="20" t="str">
        <f>IF(ISNUMBER(K765),K765,IF(ISNUMBER(H765),J765,""))</f>
        <v/>
      </c>
      <c r="M765" s="46" t="str">
        <f>IF(AND(ISNUMBER(E765),ISNUMBER(G765),ISNUMBER(F765)),(E765-G765)*IF(D765="卖",-1,1)*F765*I765,"")</f>
        <v/>
      </c>
      <c r="N765" s="38" t="str">
        <f>IF(A765="","",IFERROR(T(INDEX('交易记录'!$C$5:$C$304,MATCH(A765,'交易记录'!$A$5:$A$304,0))),"编号没找到"))</f>
        <v/>
      </c>
      <c r="O765" s="31" t="n"/>
    </row>
    <row r="766">
      <c r="A766" s="29" t="n"/>
      <c r="B766" s="30" t="n"/>
      <c r="C766" s="27" t="n"/>
      <c r="D766" s="32" t="n"/>
      <c r="E766" s="33" t="n"/>
      <c r="F766" s="36" t="n"/>
      <c r="G766" s="33" t="n"/>
      <c r="H766" s="20" t="str">
        <f>IF(AND(ISNUMBER(E766),ISNUMBER(F766)),E766*F766,"")</f>
        <v/>
      </c>
      <c r="I766" s="38" t="str">
        <f>IF(A766="","",IFERROR(IF(N(INDEX('交易记录'!$G$5:$G$304,MATCH(A766,'交易记录'!$A$5:$A$304,0)))&gt;0,INDEX('交易记录'!$G$5:$G$304,MATCH(A766,'交易记录'!$A$5:$A$304,0)),1),1))</f>
        <v/>
      </c>
      <c r="J766" s="41" t="str">
        <f>IF(ISNUMBER(H766),ROUND('参数'!$C$11+H766*I766*'参数'!$C$12+F766*'参数'!$C$13,2),"")</f>
        <v/>
      </c>
      <c r="K766" s="22" t="n"/>
      <c r="L766" s="20" t="str">
        <f>IF(ISNUMBER(K766),K766,IF(ISNUMBER(H766),J766,""))</f>
        <v/>
      </c>
      <c r="M766" s="46" t="str">
        <f>IF(AND(ISNUMBER(E766),ISNUMBER(G766),ISNUMBER(F766)),(E766-G766)*IF(D766="卖",-1,1)*F766*I766,"")</f>
        <v/>
      </c>
      <c r="N766" s="38" t="str">
        <f>IF(A766="","",IFERROR(T(INDEX('交易记录'!$C$5:$C$304,MATCH(A766,'交易记录'!$A$5:$A$304,0))),"编号没找到"))</f>
        <v/>
      </c>
      <c r="O766" s="31" t="n"/>
    </row>
    <row r="767">
      <c r="A767" s="29" t="n"/>
      <c r="B767" s="30" t="n"/>
      <c r="C767" s="27" t="n"/>
      <c r="D767" s="32" t="n"/>
      <c r="E767" s="33" t="n"/>
      <c r="F767" s="36" t="n"/>
      <c r="G767" s="33" t="n"/>
      <c r="H767" s="20" t="str">
        <f>IF(AND(ISNUMBER(E767),ISNUMBER(F767)),E767*F767,"")</f>
        <v/>
      </c>
      <c r="I767" s="38" t="str">
        <f>IF(A767="","",IFERROR(IF(N(INDEX('交易记录'!$G$5:$G$304,MATCH(A767,'交易记录'!$A$5:$A$304,0)))&gt;0,INDEX('交易记录'!$G$5:$G$304,MATCH(A767,'交易记录'!$A$5:$A$304,0)),1),1))</f>
        <v/>
      </c>
      <c r="J767" s="41" t="str">
        <f>IF(ISNUMBER(H767),ROUND('参数'!$C$11+H767*I767*'参数'!$C$12+F767*'参数'!$C$13,2),"")</f>
        <v/>
      </c>
      <c r="K767" s="22" t="n"/>
      <c r="L767" s="20" t="str">
        <f>IF(ISNUMBER(K767),K767,IF(ISNUMBER(H767),J767,""))</f>
        <v/>
      </c>
      <c r="M767" s="46" t="str">
        <f>IF(AND(ISNUMBER(E767),ISNUMBER(G767),ISNUMBER(F767)),(E767-G767)*IF(D767="卖",-1,1)*F767*I767,"")</f>
        <v/>
      </c>
      <c r="N767" s="38" t="str">
        <f>IF(A767="","",IFERROR(T(INDEX('交易记录'!$C$5:$C$304,MATCH(A767,'交易记录'!$A$5:$A$304,0))),"编号没找到"))</f>
        <v/>
      </c>
      <c r="O767" s="31" t="n"/>
    </row>
    <row r="768">
      <c r="A768" s="29" t="n"/>
      <c r="B768" s="30" t="n"/>
      <c r="C768" s="27" t="n"/>
      <c r="D768" s="32" t="n"/>
      <c r="E768" s="33" t="n"/>
      <c r="F768" s="36" t="n"/>
      <c r="G768" s="33" t="n"/>
      <c r="H768" s="20" t="str">
        <f>IF(AND(ISNUMBER(E768),ISNUMBER(F768)),E768*F768,"")</f>
        <v/>
      </c>
      <c r="I768" s="38" t="str">
        <f>IF(A768="","",IFERROR(IF(N(INDEX('交易记录'!$G$5:$G$304,MATCH(A768,'交易记录'!$A$5:$A$304,0)))&gt;0,INDEX('交易记录'!$G$5:$G$304,MATCH(A768,'交易记录'!$A$5:$A$304,0)),1),1))</f>
        <v/>
      </c>
      <c r="J768" s="41" t="str">
        <f>IF(ISNUMBER(H768),ROUND('参数'!$C$11+H768*I768*'参数'!$C$12+F768*'参数'!$C$13,2),"")</f>
        <v/>
      </c>
      <c r="K768" s="22" t="n"/>
      <c r="L768" s="20" t="str">
        <f>IF(ISNUMBER(K768),K768,IF(ISNUMBER(H768),J768,""))</f>
        <v/>
      </c>
      <c r="M768" s="46" t="str">
        <f>IF(AND(ISNUMBER(E768),ISNUMBER(G768),ISNUMBER(F768)),(E768-G768)*IF(D768="卖",-1,1)*F768*I768,"")</f>
        <v/>
      </c>
      <c r="N768" s="38" t="str">
        <f>IF(A768="","",IFERROR(T(INDEX('交易记录'!$C$5:$C$304,MATCH(A768,'交易记录'!$A$5:$A$304,0))),"编号没找到"))</f>
        <v/>
      </c>
      <c r="O768" s="31" t="n"/>
    </row>
    <row r="769">
      <c r="A769" s="29" t="n"/>
      <c r="B769" s="30" t="n"/>
      <c r="C769" s="27" t="n"/>
      <c r="D769" s="32" t="n"/>
      <c r="E769" s="33" t="n"/>
      <c r="F769" s="36" t="n"/>
      <c r="G769" s="33" t="n"/>
      <c r="H769" s="20" t="str">
        <f>IF(AND(ISNUMBER(E769),ISNUMBER(F769)),E769*F769,"")</f>
        <v/>
      </c>
      <c r="I769" s="38" t="str">
        <f>IF(A769="","",IFERROR(IF(N(INDEX('交易记录'!$G$5:$G$304,MATCH(A769,'交易记录'!$A$5:$A$304,0)))&gt;0,INDEX('交易记录'!$G$5:$G$304,MATCH(A769,'交易记录'!$A$5:$A$304,0)),1),1))</f>
        <v/>
      </c>
      <c r="J769" s="41" t="str">
        <f>IF(ISNUMBER(H769),ROUND('参数'!$C$11+H769*I769*'参数'!$C$12+F769*'参数'!$C$13,2),"")</f>
        <v/>
      </c>
      <c r="K769" s="22" t="n"/>
      <c r="L769" s="20" t="str">
        <f>IF(ISNUMBER(K769),K769,IF(ISNUMBER(H769),J769,""))</f>
        <v/>
      </c>
      <c r="M769" s="46" t="str">
        <f>IF(AND(ISNUMBER(E769),ISNUMBER(G769),ISNUMBER(F769)),(E769-G769)*IF(D769="卖",-1,1)*F769*I769,"")</f>
        <v/>
      </c>
      <c r="N769" s="38" t="str">
        <f>IF(A769="","",IFERROR(T(INDEX('交易记录'!$C$5:$C$304,MATCH(A769,'交易记录'!$A$5:$A$304,0))),"编号没找到"))</f>
        <v/>
      </c>
      <c r="O769" s="31" t="n"/>
    </row>
    <row r="770">
      <c r="A770" s="29" t="n"/>
      <c r="B770" s="30" t="n"/>
      <c r="C770" s="27" t="n"/>
      <c r="D770" s="32" t="n"/>
      <c r="E770" s="33" t="n"/>
      <c r="F770" s="36" t="n"/>
      <c r="G770" s="33" t="n"/>
      <c r="H770" s="20" t="str">
        <f>IF(AND(ISNUMBER(E770),ISNUMBER(F770)),E770*F770,"")</f>
        <v/>
      </c>
      <c r="I770" s="38" t="str">
        <f>IF(A770="","",IFERROR(IF(N(INDEX('交易记录'!$G$5:$G$304,MATCH(A770,'交易记录'!$A$5:$A$304,0)))&gt;0,INDEX('交易记录'!$G$5:$G$304,MATCH(A770,'交易记录'!$A$5:$A$304,0)),1),1))</f>
        <v/>
      </c>
      <c r="J770" s="41" t="str">
        <f>IF(ISNUMBER(H770),ROUND('参数'!$C$11+H770*I770*'参数'!$C$12+F770*'参数'!$C$13,2),"")</f>
        <v/>
      </c>
      <c r="K770" s="22" t="n"/>
      <c r="L770" s="20" t="str">
        <f>IF(ISNUMBER(K770),K770,IF(ISNUMBER(H770),J770,""))</f>
        <v/>
      </c>
      <c r="M770" s="46" t="str">
        <f>IF(AND(ISNUMBER(E770),ISNUMBER(G770),ISNUMBER(F770)),(E770-G770)*IF(D770="卖",-1,1)*F770*I770,"")</f>
        <v/>
      </c>
      <c r="N770" s="38" t="str">
        <f>IF(A770="","",IFERROR(T(INDEX('交易记录'!$C$5:$C$304,MATCH(A770,'交易记录'!$A$5:$A$304,0))),"编号没找到"))</f>
        <v/>
      </c>
      <c r="O770" s="31" t="n"/>
    </row>
    <row r="771">
      <c r="A771" s="29" t="n"/>
      <c r="B771" s="30" t="n"/>
      <c r="C771" s="27" t="n"/>
      <c r="D771" s="32" t="n"/>
      <c r="E771" s="33" t="n"/>
      <c r="F771" s="36" t="n"/>
      <c r="G771" s="33" t="n"/>
      <c r="H771" s="20" t="str">
        <f>IF(AND(ISNUMBER(E771),ISNUMBER(F771)),E771*F771,"")</f>
        <v/>
      </c>
      <c r="I771" s="38" t="str">
        <f>IF(A771="","",IFERROR(IF(N(INDEX('交易记录'!$G$5:$G$304,MATCH(A771,'交易记录'!$A$5:$A$304,0)))&gt;0,INDEX('交易记录'!$G$5:$G$304,MATCH(A771,'交易记录'!$A$5:$A$304,0)),1),1))</f>
        <v/>
      </c>
      <c r="J771" s="41" t="str">
        <f>IF(ISNUMBER(H771),ROUND('参数'!$C$11+H771*I771*'参数'!$C$12+F771*'参数'!$C$13,2),"")</f>
        <v/>
      </c>
      <c r="K771" s="22" t="n"/>
      <c r="L771" s="20" t="str">
        <f>IF(ISNUMBER(K771),K771,IF(ISNUMBER(H771),J771,""))</f>
        <v/>
      </c>
      <c r="M771" s="46" t="str">
        <f>IF(AND(ISNUMBER(E771),ISNUMBER(G771),ISNUMBER(F771)),(E771-G771)*IF(D771="卖",-1,1)*F771*I771,"")</f>
        <v/>
      </c>
      <c r="N771" s="38" t="str">
        <f>IF(A771="","",IFERROR(T(INDEX('交易记录'!$C$5:$C$304,MATCH(A771,'交易记录'!$A$5:$A$304,0))),"编号没找到"))</f>
        <v/>
      </c>
      <c r="O771" s="31" t="n"/>
    </row>
    <row r="772">
      <c r="A772" s="29" t="n"/>
      <c r="B772" s="30" t="n"/>
      <c r="C772" s="27" t="n"/>
      <c r="D772" s="32" t="n"/>
      <c r="E772" s="33" t="n"/>
      <c r="F772" s="36" t="n"/>
      <c r="G772" s="33" t="n"/>
      <c r="H772" s="20" t="str">
        <f>IF(AND(ISNUMBER(E772),ISNUMBER(F772)),E772*F772,"")</f>
        <v/>
      </c>
      <c r="I772" s="38" t="str">
        <f>IF(A772="","",IFERROR(IF(N(INDEX('交易记录'!$G$5:$G$304,MATCH(A772,'交易记录'!$A$5:$A$304,0)))&gt;0,INDEX('交易记录'!$G$5:$G$304,MATCH(A772,'交易记录'!$A$5:$A$304,0)),1),1))</f>
        <v/>
      </c>
      <c r="J772" s="41" t="str">
        <f>IF(ISNUMBER(H772),ROUND('参数'!$C$11+H772*I772*'参数'!$C$12+F772*'参数'!$C$13,2),"")</f>
        <v/>
      </c>
      <c r="K772" s="22" t="n"/>
      <c r="L772" s="20" t="str">
        <f>IF(ISNUMBER(K772),K772,IF(ISNUMBER(H772),J772,""))</f>
        <v/>
      </c>
      <c r="M772" s="46" t="str">
        <f>IF(AND(ISNUMBER(E772),ISNUMBER(G772),ISNUMBER(F772)),(E772-G772)*IF(D772="卖",-1,1)*F772*I772,"")</f>
        <v/>
      </c>
      <c r="N772" s="38" t="str">
        <f>IF(A772="","",IFERROR(T(INDEX('交易记录'!$C$5:$C$304,MATCH(A772,'交易记录'!$A$5:$A$304,0))),"编号没找到"))</f>
        <v/>
      </c>
      <c r="O772" s="31" t="n"/>
    </row>
    <row r="773">
      <c r="A773" s="29" t="n"/>
      <c r="B773" s="30" t="n"/>
      <c r="C773" s="27" t="n"/>
      <c r="D773" s="32" t="n"/>
      <c r="E773" s="33" t="n"/>
      <c r="F773" s="36" t="n"/>
      <c r="G773" s="33" t="n"/>
      <c r="H773" s="20" t="str">
        <f>IF(AND(ISNUMBER(E773),ISNUMBER(F773)),E773*F773,"")</f>
        <v/>
      </c>
      <c r="I773" s="38" t="str">
        <f>IF(A773="","",IFERROR(IF(N(INDEX('交易记录'!$G$5:$G$304,MATCH(A773,'交易记录'!$A$5:$A$304,0)))&gt;0,INDEX('交易记录'!$G$5:$G$304,MATCH(A773,'交易记录'!$A$5:$A$304,0)),1),1))</f>
        <v/>
      </c>
      <c r="J773" s="41" t="str">
        <f>IF(ISNUMBER(H773),ROUND('参数'!$C$11+H773*I773*'参数'!$C$12+F773*'参数'!$C$13,2),"")</f>
        <v/>
      </c>
      <c r="K773" s="22" t="n"/>
      <c r="L773" s="20" t="str">
        <f>IF(ISNUMBER(K773),K773,IF(ISNUMBER(H773),J773,""))</f>
        <v/>
      </c>
      <c r="M773" s="46" t="str">
        <f>IF(AND(ISNUMBER(E773),ISNUMBER(G773),ISNUMBER(F773)),(E773-G773)*IF(D773="卖",-1,1)*F773*I773,"")</f>
        <v/>
      </c>
      <c r="N773" s="38" t="str">
        <f>IF(A773="","",IFERROR(T(INDEX('交易记录'!$C$5:$C$304,MATCH(A773,'交易记录'!$A$5:$A$304,0))),"编号没找到"))</f>
        <v/>
      </c>
      <c r="O773" s="31" t="n"/>
    </row>
    <row r="774">
      <c r="A774" s="29" t="n"/>
      <c r="B774" s="30" t="n"/>
      <c r="C774" s="27" t="n"/>
      <c r="D774" s="32" t="n"/>
      <c r="E774" s="33" t="n"/>
      <c r="F774" s="36" t="n"/>
      <c r="G774" s="33" t="n"/>
      <c r="H774" s="20" t="str">
        <f>IF(AND(ISNUMBER(E774),ISNUMBER(F774)),E774*F774,"")</f>
        <v/>
      </c>
      <c r="I774" s="38" t="str">
        <f>IF(A774="","",IFERROR(IF(N(INDEX('交易记录'!$G$5:$G$304,MATCH(A774,'交易记录'!$A$5:$A$304,0)))&gt;0,INDEX('交易记录'!$G$5:$G$304,MATCH(A774,'交易记录'!$A$5:$A$304,0)),1),1))</f>
        <v/>
      </c>
      <c r="J774" s="41" t="str">
        <f>IF(ISNUMBER(H774),ROUND('参数'!$C$11+H774*I774*'参数'!$C$12+F774*'参数'!$C$13,2),"")</f>
        <v/>
      </c>
      <c r="K774" s="22" t="n"/>
      <c r="L774" s="20" t="str">
        <f>IF(ISNUMBER(K774),K774,IF(ISNUMBER(H774),J774,""))</f>
        <v/>
      </c>
      <c r="M774" s="46" t="str">
        <f>IF(AND(ISNUMBER(E774),ISNUMBER(G774),ISNUMBER(F774)),(E774-G774)*IF(D774="卖",-1,1)*F774*I774,"")</f>
        <v/>
      </c>
      <c r="N774" s="38" t="str">
        <f>IF(A774="","",IFERROR(T(INDEX('交易记录'!$C$5:$C$304,MATCH(A774,'交易记录'!$A$5:$A$304,0))),"编号没找到"))</f>
        <v/>
      </c>
      <c r="O774" s="31" t="n"/>
    </row>
    <row r="775">
      <c r="A775" s="29" t="n"/>
      <c r="B775" s="30" t="n"/>
      <c r="C775" s="27" t="n"/>
      <c r="D775" s="32" t="n"/>
      <c r="E775" s="33" t="n"/>
      <c r="F775" s="36" t="n"/>
      <c r="G775" s="33" t="n"/>
      <c r="H775" s="20" t="str">
        <f>IF(AND(ISNUMBER(E775),ISNUMBER(F775)),E775*F775,"")</f>
        <v/>
      </c>
      <c r="I775" s="38" t="str">
        <f>IF(A775="","",IFERROR(IF(N(INDEX('交易记录'!$G$5:$G$304,MATCH(A775,'交易记录'!$A$5:$A$304,0)))&gt;0,INDEX('交易记录'!$G$5:$G$304,MATCH(A775,'交易记录'!$A$5:$A$304,0)),1),1))</f>
        <v/>
      </c>
      <c r="J775" s="41" t="str">
        <f>IF(ISNUMBER(H775),ROUND('参数'!$C$11+H775*I775*'参数'!$C$12+F775*'参数'!$C$13,2),"")</f>
        <v/>
      </c>
      <c r="K775" s="22" t="n"/>
      <c r="L775" s="20" t="str">
        <f>IF(ISNUMBER(K775),K775,IF(ISNUMBER(H775),J775,""))</f>
        <v/>
      </c>
      <c r="M775" s="46" t="str">
        <f>IF(AND(ISNUMBER(E775),ISNUMBER(G775),ISNUMBER(F775)),(E775-G775)*IF(D775="卖",-1,1)*F775*I775,"")</f>
        <v/>
      </c>
      <c r="N775" s="38" t="str">
        <f>IF(A775="","",IFERROR(T(INDEX('交易记录'!$C$5:$C$304,MATCH(A775,'交易记录'!$A$5:$A$304,0))),"编号没找到"))</f>
        <v/>
      </c>
      <c r="O775" s="31" t="n"/>
    </row>
    <row r="776">
      <c r="A776" s="29" t="n"/>
      <c r="B776" s="30" t="n"/>
      <c r="C776" s="27" t="n"/>
      <c r="D776" s="32" t="n"/>
      <c r="E776" s="33" t="n"/>
      <c r="F776" s="36" t="n"/>
      <c r="G776" s="33" t="n"/>
      <c r="H776" s="20" t="str">
        <f>IF(AND(ISNUMBER(E776),ISNUMBER(F776)),E776*F776,"")</f>
        <v/>
      </c>
      <c r="I776" s="38" t="str">
        <f>IF(A776="","",IFERROR(IF(N(INDEX('交易记录'!$G$5:$G$304,MATCH(A776,'交易记录'!$A$5:$A$304,0)))&gt;0,INDEX('交易记录'!$G$5:$G$304,MATCH(A776,'交易记录'!$A$5:$A$304,0)),1),1))</f>
        <v/>
      </c>
      <c r="J776" s="41" t="str">
        <f>IF(ISNUMBER(H776),ROUND('参数'!$C$11+H776*I776*'参数'!$C$12+F776*'参数'!$C$13,2),"")</f>
        <v/>
      </c>
      <c r="K776" s="22" t="n"/>
      <c r="L776" s="20" t="str">
        <f>IF(ISNUMBER(K776),K776,IF(ISNUMBER(H776),J776,""))</f>
        <v/>
      </c>
      <c r="M776" s="46" t="str">
        <f>IF(AND(ISNUMBER(E776),ISNUMBER(G776),ISNUMBER(F776)),(E776-G776)*IF(D776="卖",-1,1)*F776*I776,"")</f>
        <v/>
      </c>
      <c r="N776" s="38" t="str">
        <f>IF(A776="","",IFERROR(T(INDEX('交易记录'!$C$5:$C$304,MATCH(A776,'交易记录'!$A$5:$A$304,0))),"编号没找到"))</f>
        <v/>
      </c>
      <c r="O776" s="31" t="n"/>
    </row>
    <row r="777">
      <c r="A777" s="29" t="n"/>
      <c r="B777" s="30" t="n"/>
      <c r="C777" s="27" t="n"/>
      <c r="D777" s="32" t="n"/>
      <c r="E777" s="33" t="n"/>
      <c r="F777" s="36" t="n"/>
      <c r="G777" s="33" t="n"/>
      <c r="H777" s="20" t="str">
        <f>IF(AND(ISNUMBER(E777),ISNUMBER(F777)),E777*F777,"")</f>
        <v/>
      </c>
      <c r="I777" s="38" t="str">
        <f>IF(A777="","",IFERROR(IF(N(INDEX('交易记录'!$G$5:$G$304,MATCH(A777,'交易记录'!$A$5:$A$304,0)))&gt;0,INDEX('交易记录'!$G$5:$G$304,MATCH(A777,'交易记录'!$A$5:$A$304,0)),1),1))</f>
        <v/>
      </c>
      <c r="J777" s="41" t="str">
        <f>IF(ISNUMBER(H777),ROUND('参数'!$C$11+H777*I777*'参数'!$C$12+F777*'参数'!$C$13,2),"")</f>
        <v/>
      </c>
      <c r="K777" s="22" t="n"/>
      <c r="L777" s="20" t="str">
        <f>IF(ISNUMBER(K777),K777,IF(ISNUMBER(H777),J777,""))</f>
        <v/>
      </c>
      <c r="M777" s="46" t="str">
        <f>IF(AND(ISNUMBER(E777),ISNUMBER(G777),ISNUMBER(F777)),(E777-G777)*IF(D777="卖",-1,1)*F777*I777,"")</f>
        <v/>
      </c>
      <c r="N777" s="38" t="str">
        <f>IF(A777="","",IFERROR(T(INDEX('交易记录'!$C$5:$C$304,MATCH(A777,'交易记录'!$A$5:$A$304,0))),"编号没找到"))</f>
        <v/>
      </c>
      <c r="O777" s="31" t="n"/>
    </row>
    <row r="778">
      <c r="A778" s="29" t="n"/>
      <c r="B778" s="30" t="n"/>
      <c r="C778" s="27" t="n"/>
      <c r="D778" s="32" t="n"/>
      <c r="E778" s="33" t="n"/>
      <c r="F778" s="36" t="n"/>
      <c r="G778" s="33" t="n"/>
      <c r="H778" s="20" t="str">
        <f>IF(AND(ISNUMBER(E778),ISNUMBER(F778)),E778*F778,"")</f>
        <v/>
      </c>
      <c r="I778" s="38" t="str">
        <f>IF(A778="","",IFERROR(IF(N(INDEX('交易记录'!$G$5:$G$304,MATCH(A778,'交易记录'!$A$5:$A$304,0)))&gt;0,INDEX('交易记录'!$G$5:$G$304,MATCH(A778,'交易记录'!$A$5:$A$304,0)),1),1))</f>
        <v/>
      </c>
      <c r="J778" s="41" t="str">
        <f>IF(ISNUMBER(H778),ROUND('参数'!$C$11+H778*I778*'参数'!$C$12+F778*'参数'!$C$13,2),"")</f>
        <v/>
      </c>
      <c r="K778" s="22" t="n"/>
      <c r="L778" s="20" t="str">
        <f>IF(ISNUMBER(K778),K778,IF(ISNUMBER(H778),J778,""))</f>
        <v/>
      </c>
      <c r="M778" s="46" t="str">
        <f>IF(AND(ISNUMBER(E778),ISNUMBER(G778),ISNUMBER(F778)),(E778-G778)*IF(D778="卖",-1,1)*F778*I778,"")</f>
        <v/>
      </c>
      <c r="N778" s="38" t="str">
        <f>IF(A778="","",IFERROR(T(INDEX('交易记录'!$C$5:$C$304,MATCH(A778,'交易记录'!$A$5:$A$304,0))),"编号没找到"))</f>
        <v/>
      </c>
      <c r="O778" s="31" t="n"/>
    </row>
    <row r="779">
      <c r="A779" s="29" t="n"/>
      <c r="B779" s="30" t="n"/>
      <c r="C779" s="27" t="n"/>
      <c r="D779" s="32" t="n"/>
      <c r="E779" s="33" t="n"/>
      <c r="F779" s="36" t="n"/>
      <c r="G779" s="33" t="n"/>
      <c r="H779" s="20" t="str">
        <f>IF(AND(ISNUMBER(E779),ISNUMBER(F779)),E779*F779,"")</f>
        <v/>
      </c>
      <c r="I779" s="38" t="str">
        <f>IF(A779="","",IFERROR(IF(N(INDEX('交易记录'!$G$5:$G$304,MATCH(A779,'交易记录'!$A$5:$A$304,0)))&gt;0,INDEX('交易记录'!$G$5:$G$304,MATCH(A779,'交易记录'!$A$5:$A$304,0)),1),1))</f>
        <v/>
      </c>
      <c r="J779" s="41" t="str">
        <f>IF(ISNUMBER(H779),ROUND('参数'!$C$11+H779*I779*'参数'!$C$12+F779*'参数'!$C$13,2),"")</f>
        <v/>
      </c>
      <c r="K779" s="22" t="n"/>
      <c r="L779" s="20" t="str">
        <f>IF(ISNUMBER(K779),K779,IF(ISNUMBER(H779),J779,""))</f>
        <v/>
      </c>
      <c r="M779" s="46" t="str">
        <f>IF(AND(ISNUMBER(E779),ISNUMBER(G779),ISNUMBER(F779)),(E779-G779)*IF(D779="卖",-1,1)*F779*I779,"")</f>
        <v/>
      </c>
      <c r="N779" s="38" t="str">
        <f>IF(A779="","",IFERROR(T(INDEX('交易记录'!$C$5:$C$304,MATCH(A779,'交易记录'!$A$5:$A$304,0))),"编号没找到"))</f>
        <v/>
      </c>
      <c r="O779" s="31" t="n"/>
    </row>
    <row r="780">
      <c r="A780" s="29" t="n"/>
      <c r="B780" s="30" t="n"/>
      <c r="C780" s="27" t="n"/>
      <c r="D780" s="32" t="n"/>
      <c r="E780" s="33" t="n"/>
      <c r="F780" s="36" t="n"/>
      <c r="G780" s="33" t="n"/>
      <c r="H780" s="20" t="str">
        <f>IF(AND(ISNUMBER(E780),ISNUMBER(F780)),E780*F780,"")</f>
        <v/>
      </c>
      <c r="I780" s="38" t="str">
        <f>IF(A780="","",IFERROR(IF(N(INDEX('交易记录'!$G$5:$G$304,MATCH(A780,'交易记录'!$A$5:$A$304,0)))&gt;0,INDEX('交易记录'!$G$5:$G$304,MATCH(A780,'交易记录'!$A$5:$A$304,0)),1),1))</f>
        <v/>
      </c>
      <c r="J780" s="41" t="str">
        <f>IF(ISNUMBER(H780),ROUND('参数'!$C$11+H780*I780*'参数'!$C$12+F780*'参数'!$C$13,2),"")</f>
        <v/>
      </c>
      <c r="K780" s="22" t="n"/>
      <c r="L780" s="20" t="str">
        <f>IF(ISNUMBER(K780),K780,IF(ISNUMBER(H780),J780,""))</f>
        <v/>
      </c>
      <c r="M780" s="46" t="str">
        <f>IF(AND(ISNUMBER(E780),ISNUMBER(G780),ISNUMBER(F780)),(E780-G780)*IF(D780="卖",-1,1)*F780*I780,"")</f>
        <v/>
      </c>
      <c r="N780" s="38" t="str">
        <f>IF(A780="","",IFERROR(T(INDEX('交易记录'!$C$5:$C$304,MATCH(A780,'交易记录'!$A$5:$A$304,0))),"编号没找到"))</f>
        <v/>
      </c>
      <c r="O780" s="31" t="n"/>
    </row>
    <row r="781">
      <c r="A781" s="29" t="n"/>
      <c r="B781" s="30" t="n"/>
      <c r="C781" s="27" t="n"/>
      <c r="D781" s="32" t="n"/>
      <c r="E781" s="33" t="n"/>
      <c r="F781" s="36" t="n"/>
      <c r="G781" s="33" t="n"/>
      <c r="H781" s="20" t="str">
        <f>IF(AND(ISNUMBER(E781),ISNUMBER(F781)),E781*F781,"")</f>
        <v/>
      </c>
      <c r="I781" s="38" t="str">
        <f>IF(A781="","",IFERROR(IF(N(INDEX('交易记录'!$G$5:$G$304,MATCH(A781,'交易记录'!$A$5:$A$304,0)))&gt;0,INDEX('交易记录'!$G$5:$G$304,MATCH(A781,'交易记录'!$A$5:$A$304,0)),1),1))</f>
        <v/>
      </c>
      <c r="J781" s="41" t="str">
        <f>IF(ISNUMBER(H781),ROUND('参数'!$C$11+H781*I781*'参数'!$C$12+F781*'参数'!$C$13,2),"")</f>
        <v/>
      </c>
      <c r="K781" s="22" t="n"/>
      <c r="L781" s="20" t="str">
        <f>IF(ISNUMBER(K781),K781,IF(ISNUMBER(H781),J781,""))</f>
        <v/>
      </c>
      <c r="M781" s="46" t="str">
        <f>IF(AND(ISNUMBER(E781),ISNUMBER(G781),ISNUMBER(F781)),(E781-G781)*IF(D781="卖",-1,1)*F781*I781,"")</f>
        <v/>
      </c>
      <c r="N781" s="38" t="str">
        <f>IF(A781="","",IFERROR(T(INDEX('交易记录'!$C$5:$C$304,MATCH(A781,'交易记录'!$A$5:$A$304,0))),"编号没找到"))</f>
        <v/>
      </c>
      <c r="O781" s="31" t="n"/>
    </row>
    <row r="782">
      <c r="A782" s="29" t="n"/>
      <c r="B782" s="30" t="n"/>
      <c r="C782" s="27" t="n"/>
      <c r="D782" s="32" t="n"/>
      <c r="E782" s="33" t="n"/>
      <c r="F782" s="36" t="n"/>
      <c r="G782" s="33" t="n"/>
      <c r="H782" s="20" t="str">
        <f>IF(AND(ISNUMBER(E782),ISNUMBER(F782)),E782*F782,"")</f>
        <v/>
      </c>
      <c r="I782" s="38" t="str">
        <f>IF(A782="","",IFERROR(IF(N(INDEX('交易记录'!$G$5:$G$304,MATCH(A782,'交易记录'!$A$5:$A$304,0)))&gt;0,INDEX('交易记录'!$G$5:$G$304,MATCH(A782,'交易记录'!$A$5:$A$304,0)),1),1))</f>
        <v/>
      </c>
      <c r="J782" s="41" t="str">
        <f>IF(ISNUMBER(H782),ROUND('参数'!$C$11+H782*I782*'参数'!$C$12+F782*'参数'!$C$13,2),"")</f>
        <v/>
      </c>
      <c r="K782" s="22" t="n"/>
      <c r="L782" s="20" t="str">
        <f>IF(ISNUMBER(K782),K782,IF(ISNUMBER(H782),J782,""))</f>
        <v/>
      </c>
      <c r="M782" s="46" t="str">
        <f>IF(AND(ISNUMBER(E782),ISNUMBER(G782),ISNUMBER(F782)),(E782-G782)*IF(D782="卖",-1,1)*F782*I782,"")</f>
        <v/>
      </c>
      <c r="N782" s="38" t="str">
        <f>IF(A782="","",IFERROR(T(INDEX('交易记录'!$C$5:$C$304,MATCH(A782,'交易记录'!$A$5:$A$304,0))),"编号没找到"))</f>
        <v/>
      </c>
      <c r="O782" s="31" t="n"/>
    </row>
    <row r="783">
      <c r="A783" s="29" t="n"/>
      <c r="B783" s="30" t="n"/>
      <c r="C783" s="27" t="n"/>
      <c r="D783" s="32" t="n"/>
      <c r="E783" s="33" t="n"/>
      <c r="F783" s="36" t="n"/>
      <c r="G783" s="33" t="n"/>
      <c r="H783" s="20" t="str">
        <f>IF(AND(ISNUMBER(E783),ISNUMBER(F783)),E783*F783,"")</f>
        <v/>
      </c>
      <c r="I783" s="38" t="str">
        <f>IF(A783="","",IFERROR(IF(N(INDEX('交易记录'!$G$5:$G$304,MATCH(A783,'交易记录'!$A$5:$A$304,0)))&gt;0,INDEX('交易记录'!$G$5:$G$304,MATCH(A783,'交易记录'!$A$5:$A$304,0)),1),1))</f>
        <v/>
      </c>
      <c r="J783" s="41" t="str">
        <f>IF(ISNUMBER(H783),ROUND('参数'!$C$11+H783*I783*'参数'!$C$12+F783*'参数'!$C$13,2),"")</f>
        <v/>
      </c>
      <c r="K783" s="22" t="n"/>
      <c r="L783" s="20" t="str">
        <f>IF(ISNUMBER(K783),K783,IF(ISNUMBER(H783),J783,""))</f>
        <v/>
      </c>
      <c r="M783" s="46" t="str">
        <f>IF(AND(ISNUMBER(E783),ISNUMBER(G783),ISNUMBER(F783)),(E783-G783)*IF(D783="卖",-1,1)*F783*I783,"")</f>
        <v/>
      </c>
      <c r="N783" s="38" t="str">
        <f>IF(A783="","",IFERROR(T(INDEX('交易记录'!$C$5:$C$304,MATCH(A783,'交易记录'!$A$5:$A$304,0))),"编号没找到"))</f>
        <v/>
      </c>
      <c r="O783" s="31" t="n"/>
    </row>
    <row r="784">
      <c r="A784" s="29" t="n"/>
      <c r="B784" s="30" t="n"/>
      <c r="C784" s="27" t="n"/>
      <c r="D784" s="32" t="n"/>
      <c r="E784" s="33" t="n"/>
      <c r="F784" s="36" t="n"/>
      <c r="G784" s="33" t="n"/>
      <c r="H784" s="20" t="str">
        <f>IF(AND(ISNUMBER(E784),ISNUMBER(F784)),E784*F784,"")</f>
        <v/>
      </c>
      <c r="I784" s="38" t="str">
        <f>IF(A784="","",IFERROR(IF(N(INDEX('交易记录'!$G$5:$G$304,MATCH(A784,'交易记录'!$A$5:$A$304,0)))&gt;0,INDEX('交易记录'!$G$5:$G$304,MATCH(A784,'交易记录'!$A$5:$A$304,0)),1),1))</f>
        <v/>
      </c>
      <c r="J784" s="41" t="str">
        <f>IF(ISNUMBER(H784),ROUND('参数'!$C$11+H784*I784*'参数'!$C$12+F784*'参数'!$C$13,2),"")</f>
        <v/>
      </c>
      <c r="K784" s="22" t="n"/>
      <c r="L784" s="20" t="str">
        <f>IF(ISNUMBER(K784),K784,IF(ISNUMBER(H784),J784,""))</f>
        <v/>
      </c>
      <c r="M784" s="46" t="str">
        <f>IF(AND(ISNUMBER(E784),ISNUMBER(G784),ISNUMBER(F784)),(E784-G784)*IF(D784="卖",-1,1)*F784*I784,"")</f>
        <v/>
      </c>
      <c r="N784" s="38" t="str">
        <f>IF(A784="","",IFERROR(T(INDEX('交易记录'!$C$5:$C$304,MATCH(A784,'交易记录'!$A$5:$A$304,0))),"编号没找到"))</f>
        <v/>
      </c>
      <c r="O784" s="31" t="n"/>
    </row>
    <row r="785">
      <c r="A785" s="29" t="n"/>
      <c r="B785" s="30" t="n"/>
      <c r="C785" s="27" t="n"/>
      <c r="D785" s="32" t="n"/>
      <c r="E785" s="33" t="n"/>
      <c r="F785" s="36" t="n"/>
      <c r="G785" s="33" t="n"/>
      <c r="H785" s="20" t="str">
        <f>IF(AND(ISNUMBER(E785),ISNUMBER(F785)),E785*F785,"")</f>
        <v/>
      </c>
      <c r="I785" s="38" t="str">
        <f>IF(A785="","",IFERROR(IF(N(INDEX('交易记录'!$G$5:$G$304,MATCH(A785,'交易记录'!$A$5:$A$304,0)))&gt;0,INDEX('交易记录'!$G$5:$G$304,MATCH(A785,'交易记录'!$A$5:$A$304,0)),1),1))</f>
        <v/>
      </c>
      <c r="J785" s="41" t="str">
        <f>IF(ISNUMBER(H785),ROUND('参数'!$C$11+H785*I785*'参数'!$C$12+F785*'参数'!$C$13,2),"")</f>
        <v/>
      </c>
      <c r="K785" s="22" t="n"/>
      <c r="L785" s="20" t="str">
        <f>IF(ISNUMBER(K785),K785,IF(ISNUMBER(H785),J785,""))</f>
        <v/>
      </c>
      <c r="M785" s="46" t="str">
        <f>IF(AND(ISNUMBER(E785),ISNUMBER(G785),ISNUMBER(F785)),(E785-G785)*IF(D785="卖",-1,1)*F785*I785,"")</f>
        <v/>
      </c>
      <c r="N785" s="38" t="str">
        <f>IF(A785="","",IFERROR(T(INDEX('交易记录'!$C$5:$C$304,MATCH(A785,'交易记录'!$A$5:$A$304,0))),"编号没找到"))</f>
        <v/>
      </c>
      <c r="O785" s="31" t="n"/>
    </row>
    <row r="786">
      <c r="A786" s="29" t="n"/>
      <c r="B786" s="30" t="n"/>
      <c r="C786" s="27" t="n"/>
      <c r="D786" s="32" t="n"/>
      <c r="E786" s="33" t="n"/>
      <c r="F786" s="36" t="n"/>
      <c r="G786" s="33" t="n"/>
      <c r="H786" s="20" t="str">
        <f>IF(AND(ISNUMBER(E786),ISNUMBER(F786)),E786*F786,"")</f>
        <v/>
      </c>
      <c r="I786" s="38" t="str">
        <f>IF(A786="","",IFERROR(IF(N(INDEX('交易记录'!$G$5:$G$304,MATCH(A786,'交易记录'!$A$5:$A$304,0)))&gt;0,INDEX('交易记录'!$G$5:$G$304,MATCH(A786,'交易记录'!$A$5:$A$304,0)),1),1))</f>
        <v/>
      </c>
      <c r="J786" s="41" t="str">
        <f>IF(ISNUMBER(H786),ROUND('参数'!$C$11+H786*I786*'参数'!$C$12+F786*'参数'!$C$13,2),"")</f>
        <v/>
      </c>
      <c r="K786" s="22" t="n"/>
      <c r="L786" s="20" t="str">
        <f>IF(ISNUMBER(K786),K786,IF(ISNUMBER(H786),J786,""))</f>
        <v/>
      </c>
      <c r="M786" s="46" t="str">
        <f>IF(AND(ISNUMBER(E786),ISNUMBER(G786),ISNUMBER(F786)),(E786-G786)*IF(D786="卖",-1,1)*F786*I786,"")</f>
        <v/>
      </c>
      <c r="N786" s="38" t="str">
        <f>IF(A786="","",IFERROR(T(INDEX('交易记录'!$C$5:$C$304,MATCH(A786,'交易记录'!$A$5:$A$304,0))),"编号没找到"))</f>
        <v/>
      </c>
      <c r="O786" s="31" t="n"/>
    </row>
    <row r="787">
      <c r="A787" s="29" t="n"/>
      <c r="B787" s="30" t="n"/>
      <c r="C787" s="27" t="n"/>
      <c r="D787" s="32" t="n"/>
      <c r="E787" s="33" t="n"/>
      <c r="F787" s="36" t="n"/>
      <c r="G787" s="33" t="n"/>
      <c r="H787" s="20" t="str">
        <f>IF(AND(ISNUMBER(E787),ISNUMBER(F787)),E787*F787,"")</f>
        <v/>
      </c>
      <c r="I787" s="38" t="str">
        <f>IF(A787="","",IFERROR(IF(N(INDEX('交易记录'!$G$5:$G$304,MATCH(A787,'交易记录'!$A$5:$A$304,0)))&gt;0,INDEX('交易记录'!$G$5:$G$304,MATCH(A787,'交易记录'!$A$5:$A$304,0)),1),1))</f>
        <v/>
      </c>
      <c r="J787" s="41" t="str">
        <f>IF(ISNUMBER(H787),ROUND('参数'!$C$11+H787*I787*'参数'!$C$12+F787*'参数'!$C$13,2),"")</f>
        <v/>
      </c>
      <c r="K787" s="22" t="n"/>
      <c r="L787" s="20" t="str">
        <f>IF(ISNUMBER(K787),K787,IF(ISNUMBER(H787),J787,""))</f>
        <v/>
      </c>
      <c r="M787" s="46" t="str">
        <f>IF(AND(ISNUMBER(E787),ISNUMBER(G787),ISNUMBER(F787)),(E787-G787)*IF(D787="卖",-1,1)*F787*I787,"")</f>
        <v/>
      </c>
      <c r="N787" s="38" t="str">
        <f>IF(A787="","",IFERROR(T(INDEX('交易记录'!$C$5:$C$304,MATCH(A787,'交易记录'!$A$5:$A$304,0))),"编号没找到"))</f>
        <v/>
      </c>
      <c r="O787" s="31" t="n"/>
    </row>
    <row r="788">
      <c r="A788" s="29" t="n"/>
      <c r="B788" s="30" t="n"/>
      <c r="C788" s="27" t="n"/>
      <c r="D788" s="32" t="n"/>
      <c r="E788" s="33" t="n"/>
      <c r="F788" s="36" t="n"/>
      <c r="G788" s="33" t="n"/>
      <c r="H788" s="20" t="str">
        <f>IF(AND(ISNUMBER(E788),ISNUMBER(F788)),E788*F788,"")</f>
        <v/>
      </c>
      <c r="I788" s="38" t="str">
        <f>IF(A788="","",IFERROR(IF(N(INDEX('交易记录'!$G$5:$G$304,MATCH(A788,'交易记录'!$A$5:$A$304,0)))&gt;0,INDEX('交易记录'!$G$5:$G$304,MATCH(A788,'交易记录'!$A$5:$A$304,0)),1),1))</f>
        <v/>
      </c>
      <c r="J788" s="41" t="str">
        <f>IF(ISNUMBER(H788),ROUND('参数'!$C$11+H788*I788*'参数'!$C$12+F788*'参数'!$C$13,2),"")</f>
        <v/>
      </c>
      <c r="K788" s="22" t="n"/>
      <c r="L788" s="20" t="str">
        <f>IF(ISNUMBER(K788),K788,IF(ISNUMBER(H788),J788,""))</f>
        <v/>
      </c>
      <c r="M788" s="46" t="str">
        <f>IF(AND(ISNUMBER(E788),ISNUMBER(G788),ISNUMBER(F788)),(E788-G788)*IF(D788="卖",-1,1)*F788*I788,"")</f>
        <v/>
      </c>
      <c r="N788" s="38" t="str">
        <f>IF(A788="","",IFERROR(T(INDEX('交易记录'!$C$5:$C$304,MATCH(A788,'交易记录'!$A$5:$A$304,0))),"编号没找到"))</f>
        <v/>
      </c>
      <c r="O788" s="31" t="n"/>
    </row>
    <row r="789">
      <c r="A789" s="29" t="n"/>
      <c r="B789" s="30" t="n"/>
      <c r="C789" s="27" t="n"/>
      <c r="D789" s="32" t="n"/>
      <c r="E789" s="33" t="n"/>
      <c r="F789" s="36" t="n"/>
      <c r="G789" s="33" t="n"/>
      <c r="H789" s="20" t="str">
        <f>IF(AND(ISNUMBER(E789),ISNUMBER(F789)),E789*F789,"")</f>
        <v/>
      </c>
      <c r="I789" s="38" t="str">
        <f>IF(A789="","",IFERROR(IF(N(INDEX('交易记录'!$G$5:$G$304,MATCH(A789,'交易记录'!$A$5:$A$304,0)))&gt;0,INDEX('交易记录'!$G$5:$G$304,MATCH(A789,'交易记录'!$A$5:$A$304,0)),1),1))</f>
        <v/>
      </c>
      <c r="J789" s="41" t="str">
        <f>IF(ISNUMBER(H789),ROUND('参数'!$C$11+H789*I789*'参数'!$C$12+F789*'参数'!$C$13,2),"")</f>
        <v/>
      </c>
      <c r="K789" s="22" t="n"/>
      <c r="L789" s="20" t="str">
        <f>IF(ISNUMBER(K789),K789,IF(ISNUMBER(H789),J789,""))</f>
        <v/>
      </c>
      <c r="M789" s="46" t="str">
        <f>IF(AND(ISNUMBER(E789),ISNUMBER(G789),ISNUMBER(F789)),(E789-G789)*IF(D789="卖",-1,1)*F789*I789,"")</f>
        <v/>
      </c>
      <c r="N789" s="38" t="str">
        <f>IF(A789="","",IFERROR(T(INDEX('交易记录'!$C$5:$C$304,MATCH(A789,'交易记录'!$A$5:$A$304,0))),"编号没找到"))</f>
        <v/>
      </c>
      <c r="O789" s="31" t="n"/>
    </row>
    <row r="790">
      <c r="A790" s="29" t="n"/>
      <c r="B790" s="30" t="n"/>
      <c r="C790" s="27" t="n"/>
      <c r="D790" s="32" t="n"/>
      <c r="E790" s="33" t="n"/>
      <c r="F790" s="36" t="n"/>
      <c r="G790" s="33" t="n"/>
      <c r="H790" s="20" t="str">
        <f>IF(AND(ISNUMBER(E790),ISNUMBER(F790)),E790*F790,"")</f>
        <v/>
      </c>
      <c r="I790" s="38" t="str">
        <f>IF(A790="","",IFERROR(IF(N(INDEX('交易记录'!$G$5:$G$304,MATCH(A790,'交易记录'!$A$5:$A$304,0)))&gt;0,INDEX('交易记录'!$G$5:$G$304,MATCH(A790,'交易记录'!$A$5:$A$304,0)),1),1))</f>
        <v/>
      </c>
      <c r="J790" s="41" t="str">
        <f>IF(ISNUMBER(H790),ROUND('参数'!$C$11+H790*I790*'参数'!$C$12+F790*'参数'!$C$13,2),"")</f>
        <v/>
      </c>
      <c r="K790" s="22" t="n"/>
      <c r="L790" s="20" t="str">
        <f>IF(ISNUMBER(K790),K790,IF(ISNUMBER(H790),J790,""))</f>
        <v/>
      </c>
      <c r="M790" s="46" t="str">
        <f>IF(AND(ISNUMBER(E790),ISNUMBER(G790),ISNUMBER(F790)),(E790-G790)*IF(D790="卖",-1,1)*F790*I790,"")</f>
        <v/>
      </c>
      <c r="N790" s="38" t="str">
        <f>IF(A790="","",IFERROR(T(INDEX('交易记录'!$C$5:$C$304,MATCH(A790,'交易记录'!$A$5:$A$304,0))),"编号没找到"))</f>
        <v/>
      </c>
      <c r="O790" s="31" t="n"/>
    </row>
    <row r="791">
      <c r="A791" s="29" t="n"/>
      <c r="B791" s="30" t="n"/>
      <c r="C791" s="27" t="n"/>
      <c r="D791" s="32" t="n"/>
      <c r="E791" s="33" t="n"/>
      <c r="F791" s="36" t="n"/>
      <c r="G791" s="33" t="n"/>
      <c r="H791" s="20" t="str">
        <f>IF(AND(ISNUMBER(E791),ISNUMBER(F791)),E791*F791,"")</f>
        <v/>
      </c>
      <c r="I791" s="38" t="str">
        <f>IF(A791="","",IFERROR(IF(N(INDEX('交易记录'!$G$5:$G$304,MATCH(A791,'交易记录'!$A$5:$A$304,0)))&gt;0,INDEX('交易记录'!$G$5:$G$304,MATCH(A791,'交易记录'!$A$5:$A$304,0)),1),1))</f>
        <v/>
      </c>
      <c r="J791" s="41" t="str">
        <f>IF(ISNUMBER(H791),ROUND('参数'!$C$11+H791*I791*'参数'!$C$12+F791*'参数'!$C$13,2),"")</f>
        <v/>
      </c>
      <c r="K791" s="22" t="n"/>
      <c r="L791" s="20" t="str">
        <f>IF(ISNUMBER(K791),K791,IF(ISNUMBER(H791),J791,""))</f>
        <v/>
      </c>
      <c r="M791" s="46" t="str">
        <f>IF(AND(ISNUMBER(E791),ISNUMBER(G791),ISNUMBER(F791)),(E791-G791)*IF(D791="卖",-1,1)*F791*I791,"")</f>
        <v/>
      </c>
      <c r="N791" s="38" t="str">
        <f>IF(A791="","",IFERROR(T(INDEX('交易记录'!$C$5:$C$304,MATCH(A791,'交易记录'!$A$5:$A$304,0))),"编号没找到"))</f>
        <v/>
      </c>
      <c r="O791" s="31" t="n"/>
    </row>
    <row r="792">
      <c r="A792" s="29" t="n"/>
      <c r="B792" s="30" t="n"/>
      <c r="C792" s="27" t="n"/>
      <c r="D792" s="32" t="n"/>
      <c r="E792" s="33" t="n"/>
      <c r="F792" s="36" t="n"/>
      <c r="G792" s="33" t="n"/>
      <c r="H792" s="20" t="str">
        <f>IF(AND(ISNUMBER(E792),ISNUMBER(F792)),E792*F792,"")</f>
        <v/>
      </c>
      <c r="I792" s="38" t="str">
        <f>IF(A792="","",IFERROR(IF(N(INDEX('交易记录'!$G$5:$G$304,MATCH(A792,'交易记录'!$A$5:$A$304,0)))&gt;0,INDEX('交易记录'!$G$5:$G$304,MATCH(A792,'交易记录'!$A$5:$A$304,0)),1),1))</f>
        <v/>
      </c>
      <c r="J792" s="41" t="str">
        <f>IF(ISNUMBER(H792),ROUND('参数'!$C$11+H792*I792*'参数'!$C$12+F792*'参数'!$C$13,2),"")</f>
        <v/>
      </c>
      <c r="K792" s="22" t="n"/>
      <c r="L792" s="20" t="str">
        <f>IF(ISNUMBER(K792),K792,IF(ISNUMBER(H792),J792,""))</f>
        <v/>
      </c>
      <c r="M792" s="46" t="str">
        <f>IF(AND(ISNUMBER(E792),ISNUMBER(G792),ISNUMBER(F792)),(E792-G792)*IF(D792="卖",-1,1)*F792*I792,"")</f>
        <v/>
      </c>
      <c r="N792" s="38" t="str">
        <f>IF(A792="","",IFERROR(T(INDEX('交易记录'!$C$5:$C$304,MATCH(A792,'交易记录'!$A$5:$A$304,0))),"编号没找到"))</f>
        <v/>
      </c>
      <c r="O792" s="31" t="n"/>
    </row>
    <row r="793">
      <c r="A793" s="29" t="n"/>
      <c r="B793" s="30" t="n"/>
      <c r="C793" s="27" t="n"/>
      <c r="D793" s="32" t="n"/>
      <c r="E793" s="33" t="n"/>
      <c r="F793" s="36" t="n"/>
      <c r="G793" s="33" t="n"/>
      <c r="H793" s="20" t="str">
        <f>IF(AND(ISNUMBER(E793),ISNUMBER(F793)),E793*F793,"")</f>
        <v/>
      </c>
      <c r="I793" s="38" t="str">
        <f>IF(A793="","",IFERROR(IF(N(INDEX('交易记录'!$G$5:$G$304,MATCH(A793,'交易记录'!$A$5:$A$304,0)))&gt;0,INDEX('交易记录'!$G$5:$G$304,MATCH(A793,'交易记录'!$A$5:$A$304,0)),1),1))</f>
        <v/>
      </c>
      <c r="J793" s="41" t="str">
        <f>IF(ISNUMBER(H793),ROUND('参数'!$C$11+H793*I793*'参数'!$C$12+F793*'参数'!$C$13,2),"")</f>
        <v/>
      </c>
      <c r="K793" s="22" t="n"/>
      <c r="L793" s="20" t="str">
        <f>IF(ISNUMBER(K793),K793,IF(ISNUMBER(H793),J793,""))</f>
        <v/>
      </c>
      <c r="M793" s="46" t="str">
        <f>IF(AND(ISNUMBER(E793),ISNUMBER(G793),ISNUMBER(F793)),(E793-G793)*IF(D793="卖",-1,1)*F793*I793,"")</f>
        <v/>
      </c>
      <c r="N793" s="38" t="str">
        <f>IF(A793="","",IFERROR(T(INDEX('交易记录'!$C$5:$C$304,MATCH(A793,'交易记录'!$A$5:$A$304,0))),"编号没找到"))</f>
        <v/>
      </c>
      <c r="O793" s="31" t="n"/>
    </row>
    <row r="794">
      <c r="A794" s="29" t="n"/>
      <c r="B794" s="30" t="n"/>
      <c r="C794" s="27" t="n"/>
      <c r="D794" s="32" t="n"/>
      <c r="E794" s="33" t="n"/>
      <c r="F794" s="36" t="n"/>
      <c r="G794" s="33" t="n"/>
      <c r="H794" s="20" t="str">
        <f>IF(AND(ISNUMBER(E794),ISNUMBER(F794)),E794*F794,"")</f>
        <v/>
      </c>
      <c r="I794" s="38" t="str">
        <f>IF(A794="","",IFERROR(IF(N(INDEX('交易记录'!$G$5:$G$304,MATCH(A794,'交易记录'!$A$5:$A$304,0)))&gt;0,INDEX('交易记录'!$G$5:$G$304,MATCH(A794,'交易记录'!$A$5:$A$304,0)),1),1))</f>
        <v/>
      </c>
      <c r="J794" s="41" t="str">
        <f>IF(ISNUMBER(H794),ROUND('参数'!$C$11+H794*I794*'参数'!$C$12+F794*'参数'!$C$13,2),"")</f>
        <v/>
      </c>
      <c r="K794" s="22" t="n"/>
      <c r="L794" s="20" t="str">
        <f>IF(ISNUMBER(K794),K794,IF(ISNUMBER(H794),J794,""))</f>
        <v/>
      </c>
      <c r="M794" s="46" t="str">
        <f>IF(AND(ISNUMBER(E794),ISNUMBER(G794),ISNUMBER(F794)),(E794-G794)*IF(D794="卖",-1,1)*F794*I794,"")</f>
        <v/>
      </c>
      <c r="N794" s="38" t="str">
        <f>IF(A794="","",IFERROR(T(INDEX('交易记录'!$C$5:$C$304,MATCH(A794,'交易记录'!$A$5:$A$304,0))),"编号没找到"))</f>
        <v/>
      </c>
      <c r="O794" s="31" t="n"/>
    </row>
    <row r="795">
      <c r="A795" s="29" t="n"/>
      <c r="B795" s="30" t="n"/>
      <c r="C795" s="27" t="n"/>
      <c r="D795" s="32" t="n"/>
      <c r="E795" s="33" t="n"/>
      <c r="F795" s="36" t="n"/>
      <c r="G795" s="33" t="n"/>
      <c r="H795" s="20" t="str">
        <f>IF(AND(ISNUMBER(E795),ISNUMBER(F795)),E795*F795,"")</f>
        <v/>
      </c>
      <c r="I795" s="38" t="str">
        <f>IF(A795="","",IFERROR(IF(N(INDEX('交易记录'!$G$5:$G$304,MATCH(A795,'交易记录'!$A$5:$A$304,0)))&gt;0,INDEX('交易记录'!$G$5:$G$304,MATCH(A795,'交易记录'!$A$5:$A$304,0)),1),1))</f>
        <v/>
      </c>
      <c r="J795" s="41" t="str">
        <f>IF(ISNUMBER(H795),ROUND('参数'!$C$11+H795*I795*'参数'!$C$12+F795*'参数'!$C$13,2),"")</f>
        <v/>
      </c>
      <c r="K795" s="22" t="n"/>
      <c r="L795" s="20" t="str">
        <f>IF(ISNUMBER(K795),K795,IF(ISNUMBER(H795),J795,""))</f>
        <v/>
      </c>
      <c r="M795" s="46" t="str">
        <f>IF(AND(ISNUMBER(E795),ISNUMBER(G795),ISNUMBER(F795)),(E795-G795)*IF(D795="卖",-1,1)*F795*I795,"")</f>
        <v/>
      </c>
      <c r="N795" s="38" t="str">
        <f>IF(A795="","",IFERROR(T(INDEX('交易记录'!$C$5:$C$304,MATCH(A795,'交易记录'!$A$5:$A$304,0))),"编号没找到"))</f>
        <v/>
      </c>
      <c r="O795" s="31" t="n"/>
    </row>
    <row r="796">
      <c r="A796" s="29" t="n"/>
      <c r="B796" s="30" t="n"/>
      <c r="C796" s="27" t="n"/>
      <c r="D796" s="32" t="n"/>
      <c r="E796" s="33" t="n"/>
      <c r="F796" s="36" t="n"/>
      <c r="G796" s="33" t="n"/>
      <c r="H796" s="20" t="str">
        <f>IF(AND(ISNUMBER(E796),ISNUMBER(F796)),E796*F796,"")</f>
        <v/>
      </c>
      <c r="I796" s="38" t="str">
        <f>IF(A796="","",IFERROR(IF(N(INDEX('交易记录'!$G$5:$G$304,MATCH(A796,'交易记录'!$A$5:$A$304,0)))&gt;0,INDEX('交易记录'!$G$5:$G$304,MATCH(A796,'交易记录'!$A$5:$A$304,0)),1),1))</f>
        <v/>
      </c>
      <c r="J796" s="41" t="str">
        <f>IF(ISNUMBER(H796),ROUND('参数'!$C$11+H796*I796*'参数'!$C$12+F796*'参数'!$C$13,2),"")</f>
        <v/>
      </c>
      <c r="K796" s="22" t="n"/>
      <c r="L796" s="20" t="str">
        <f>IF(ISNUMBER(K796),K796,IF(ISNUMBER(H796),J796,""))</f>
        <v/>
      </c>
      <c r="M796" s="46" t="str">
        <f>IF(AND(ISNUMBER(E796),ISNUMBER(G796),ISNUMBER(F796)),(E796-G796)*IF(D796="卖",-1,1)*F796*I796,"")</f>
        <v/>
      </c>
      <c r="N796" s="38" t="str">
        <f>IF(A796="","",IFERROR(T(INDEX('交易记录'!$C$5:$C$304,MATCH(A796,'交易记录'!$A$5:$A$304,0))),"编号没找到"))</f>
        <v/>
      </c>
      <c r="O796" s="31" t="n"/>
    </row>
    <row r="797">
      <c r="A797" s="29" t="n"/>
      <c r="B797" s="30" t="n"/>
      <c r="C797" s="27" t="n"/>
      <c r="D797" s="32" t="n"/>
      <c r="E797" s="33" t="n"/>
      <c r="F797" s="36" t="n"/>
      <c r="G797" s="33" t="n"/>
      <c r="H797" s="20" t="str">
        <f>IF(AND(ISNUMBER(E797),ISNUMBER(F797)),E797*F797,"")</f>
        <v/>
      </c>
      <c r="I797" s="38" t="str">
        <f>IF(A797="","",IFERROR(IF(N(INDEX('交易记录'!$G$5:$G$304,MATCH(A797,'交易记录'!$A$5:$A$304,0)))&gt;0,INDEX('交易记录'!$G$5:$G$304,MATCH(A797,'交易记录'!$A$5:$A$304,0)),1),1))</f>
        <v/>
      </c>
      <c r="J797" s="41" t="str">
        <f>IF(ISNUMBER(H797),ROUND('参数'!$C$11+H797*I797*'参数'!$C$12+F797*'参数'!$C$13,2),"")</f>
        <v/>
      </c>
      <c r="K797" s="22" t="n"/>
      <c r="L797" s="20" t="str">
        <f>IF(ISNUMBER(K797),K797,IF(ISNUMBER(H797),J797,""))</f>
        <v/>
      </c>
      <c r="M797" s="46" t="str">
        <f>IF(AND(ISNUMBER(E797),ISNUMBER(G797),ISNUMBER(F797)),(E797-G797)*IF(D797="卖",-1,1)*F797*I797,"")</f>
        <v/>
      </c>
      <c r="N797" s="38" t="str">
        <f>IF(A797="","",IFERROR(T(INDEX('交易记录'!$C$5:$C$304,MATCH(A797,'交易记录'!$A$5:$A$304,0))),"编号没找到"))</f>
        <v/>
      </c>
      <c r="O797" s="31" t="n"/>
    </row>
    <row r="798">
      <c r="A798" s="29" t="n"/>
      <c r="B798" s="30" t="n"/>
      <c r="C798" s="27" t="n"/>
      <c r="D798" s="32" t="n"/>
      <c r="E798" s="33" t="n"/>
      <c r="F798" s="36" t="n"/>
      <c r="G798" s="33" t="n"/>
      <c r="H798" s="20" t="str">
        <f>IF(AND(ISNUMBER(E798),ISNUMBER(F798)),E798*F798,"")</f>
        <v/>
      </c>
      <c r="I798" s="38" t="str">
        <f>IF(A798="","",IFERROR(IF(N(INDEX('交易记录'!$G$5:$G$304,MATCH(A798,'交易记录'!$A$5:$A$304,0)))&gt;0,INDEX('交易记录'!$G$5:$G$304,MATCH(A798,'交易记录'!$A$5:$A$304,0)),1),1))</f>
        <v/>
      </c>
      <c r="J798" s="41" t="str">
        <f>IF(ISNUMBER(H798),ROUND('参数'!$C$11+H798*I798*'参数'!$C$12+F798*'参数'!$C$13,2),"")</f>
        <v/>
      </c>
      <c r="K798" s="22" t="n"/>
      <c r="L798" s="20" t="str">
        <f>IF(ISNUMBER(K798),K798,IF(ISNUMBER(H798),J798,""))</f>
        <v/>
      </c>
      <c r="M798" s="46" t="str">
        <f>IF(AND(ISNUMBER(E798),ISNUMBER(G798),ISNUMBER(F798)),(E798-G798)*IF(D798="卖",-1,1)*F798*I798,"")</f>
        <v/>
      </c>
      <c r="N798" s="38" t="str">
        <f>IF(A798="","",IFERROR(T(INDEX('交易记录'!$C$5:$C$304,MATCH(A798,'交易记录'!$A$5:$A$304,0))),"编号没找到"))</f>
        <v/>
      </c>
      <c r="O798" s="31" t="n"/>
    </row>
    <row r="799">
      <c r="A799" s="29" t="n"/>
      <c r="B799" s="30" t="n"/>
      <c r="C799" s="27" t="n"/>
      <c r="D799" s="32" t="n"/>
      <c r="E799" s="33" t="n"/>
      <c r="F799" s="36" t="n"/>
      <c r="G799" s="33" t="n"/>
      <c r="H799" s="20" t="str">
        <f>IF(AND(ISNUMBER(E799),ISNUMBER(F799)),E799*F799,"")</f>
        <v/>
      </c>
      <c r="I799" s="38" t="str">
        <f>IF(A799="","",IFERROR(IF(N(INDEX('交易记录'!$G$5:$G$304,MATCH(A799,'交易记录'!$A$5:$A$304,0)))&gt;0,INDEX('交易记录'!$G$5:$G$304,MATCH(A799,'交易记录'!$A$5:$A$304,0)),1),1))</f>
        <v/>
      </c>
      <c r="J799" s="41" t="str">
        <f>IF(ISNUMBER(H799),ROUND('参数'!$C$11+H799*I799*'参数'!$C$12+F799*'参数'!$C$13,2),"")</f>
        <v/>
      </c>
      <c r="K799" s="22" t="n"/>
      <c r="L799" s="20" t="str">
        <f>IF(ISNUMBER(K799),K799,IF(ISNUMBER(H799),J799,""))</f>
        <v/>
      </c>
      <c r="M799" s="46" t="str">
        <f>IF(AND(ISNUMBER(E799),ISNUMBER(G799),ISNUMBER(F799)),(E799-G799)*IF(D799="卖",-1,1)*F799*I799,"")</f>
        <v/>
      </c>
      <c r="N799" s="38" t="str">
        <f>IF(A799="","",IFERROR(T(INDEX('交易记录'!$C$5:$C$304,MATCH(A799,'交易记录'!$A$5:$A$304,0))),"编号没找到"))</f>
        <v/>
      </c>
      <c r="O799" s="31" t="n"/>
    </row>
    <row r="800">
      <c r="A800" s="29" t="n"/>
      <c r="B800" s="30" t="n"/>
      <c r="C800" s="27" t="n"/>
      <c r="D800" s="32" t="n"/>
      <c r="E800" s="33" t="n"/>
      <c r="F800" s="36" t="n"/>
      <c r="G800" s="33" t="n"/>
      <c r="H800" s="20" t="str">
        <f>IF(AND(ISNUMBER(E800),ISNUMBER(F800)),E800*F800,"")</f>
        <v/>
      </c>
      <c r="I800" s="38" t="str">
        <f>IF(A800="","",IFERROR(IF(N(INDEX('交易记录'!$G$5:$G$304,MATCH(A800,'交易记录'!$A$5:$A$304,0)))&gt;0,INDEX('交易记录'!$G$5:$G$304,MATCH(A800,'交易记录'!$A$5:$A$304,0)),1),1))</f>
        <v/>
      </c>
      <c r="J800" s="41" t="str">
        <f>IF(ISNUMBER(H800),ROUND('参数'!$C$11+H800*I800*'参数'!$C$12+F800*'参数'!$C$13,2),"")</f>
        <v/>
      </c>
      <c r="K800" s="22" t="n"/>
      <c r="L800" s="20" t="str">
        <f>IF(ISNUMBER(K800),K800,IF(ISNUMBER(H800),J800,""))</f>
        <v/>
      </c>
      <c r="M800" s="46" t="str">
        <f>IF(AND(ISNUMBER(E800),ISNUMBER(G800),ISNUMBER(F800)),(E800-G800)*IF(D800="卖",-1,1)*F800*I800,"")</f>
        <v/>
      </c>
      <c r="N800" s="38" t="str">
        <f>IF(A800="","",IFERROR(T(INDEX('交易记录'!$C$5:$C$304,MATCH(A800,'交易记录'!$A$5:$A$304,0))),"编号没找到"))</f>
        <v/>
      </c>
      <c r="O800" s="31" t="n"/>
    </row>
    <row r="801">
      <c r="A801" s="29" t="n"/>
      <c r="B801" s="30" t="n"/>
      <c r="C801" s="27" t="n"/>
      <c r="D801" s="32" t="n"/>
      <c r="E801" s="33" t="n"/>
      <c r="F801" s="36" t="n"/>
      <c r="G801" s="33" t="n"/>
      <c r="H801" s="20" t="str">
        <f>IF(AND(ISNUMBER(E801),ISNUMBER(F801)),E801*F801,"")</f>
        <v/>
      </c>
      <c r="I801" s="38" t="str">
        <f>IF(A801="","",IFERROR(IF(N(INDEX('交易记录'!$G$5:$G$304,MATCH(A801,'交易记录'!$A$5:$A$304,0)))&gt;0,INDEX('交易记录'!$G$5:$G$304,MATCH(A801,'交易记录'!$A$5:$A$304,0)),1),1))</f>
        <v/>
      </c>
      <c r="J801" s="41" t="str">
        <f>IF(ISNUMBER(H801),ROUND('参数'!$C$11+H801*I801*'参数'!$C$12+F801*'参数'!$C$13,2),"")</f>
        <v/>
      </c>
      <c r="K801" s="22" t="n"/>
      <c r="L801" s="20" t="str">
        <f>IF(ISNUMBER(K801),K801,IF(ISNUMBER(H801),J801,""))</f>
        <v/>
      </c>
      <c r="M801" s="46" t="str">
        <f>IF(AND(ISNUMBER(E801),ISNUMBER(G801),ISNUMBER(F801)),(E801-G801)*IF(D801="卖",-1,1)*F801*I801,"")</f>
        <v/>
      </c>
      <c r="N801" s="38" t="str">
        <f>IF(A801="","",IFERROR(T(INDEX('交易记录'!$C$5:$C$304,MATCH(A801,'交易记录'!$A$5:$A$304,0))),"编号没找到"))</f>
        <v/>
      </c>
      <c r="O801" s="31" t="n"/>
    </row>
    <row r="802">
      <c r="A802" s="29" t="n"/>
      <c r="B802" s="30" t="n"/>
      <c r="C802" s="27" t="n"/>
      <c r="D802" s="32" t="n"/>
      <c r="E802" s="33" t="n"/>
      <c r="F802" s="36" t="n"/>
      <c r="G802" s="33" t="n"/>
      <c r="H802" s="20" t="str">
        <f>IF(AND(ISNUMBER(E802),ISNUMBER(F802)),E802*F802,"")</f>
        <v/>
      </c>
      <c r="I802" s="38" t="str">
        <f>IF(A802="","",IFERROR(IF(N(INDEX('交易记录'!$G$5:$G$304,MATCH(A802,'交易记录'!$A$5:$A$304,0)))&gt;0,INDEX('交易记录'!$G$5:$G$304,MATCH(A802,'交易记录'!$A$5:$A$304,0)),1),1))</f>
        <v/>
      </c>
      <c r="J802" s="41" t="str">
        <f>IF(ISNUMBER(H802),ROUND('参数'!$C$11+H802*I802*'参数'!$C$12+F802*'参数'!$C$13,2),"")</f>
        <v/>
      </c>
      <c r="K802" s="22" t="n"/>
      <c r="L802" s="20" t="str">
        <f>IF(ISNUMBER(K802),K802,IF(ISNUMBER(H802),J802,""))</f>
        <v/>
      </c>
      <c r="M802" s="46" t="str">
        <f>IF(AND(ISNUMBER(E802),ISNUMBER(G802),ISNUMBER(F802)),(E802-G802)*IF(D802="卖",-1,1)*F802*I802,"")</f>
        <v/>
      </c>
      <c r="N802" s="38" t="str">
        <f>IF(A802="","",IFERROR(T(INDEX('交易记录'!$C$5:$C$304,MATCH(A802,'交易记录'!$A$5:$A$304,0))),"编号没找到"))</f>
        <v/>
      </c>
      <c r="O802" s="31" t="n"/>
    </row>
    <row r="803">
      <c r="A803" s="29" t="n"/>
      <c r="B803" s="30" t="n"/>
      <c r="C803" s="27" t="n"/>
      <c r="D803" s="32" t="n"/>
      <c r="E803" s="33" t="n"/>
      <c r="F803" s="36" t="n"/>
      <c r="G803" s="33" t="n"/>
      <c r="H803" s="20" t="str">
        <f>IF(AND(ISNUMBER(E803),ISNUMBER(F803)),E803*F803,"")</f>
        <v/>
      </c>
      <c r="I803" s="38" t="str">
        <f>IF(A803="","",IFERROR(IF(N(INDEX('交易记录'!$G$5:$G$304,MATCH(A803,'交易记录'!$A$5:$A$304,0)))&gt;0,INDEX('交易记录'!$G$5:$G$304,MATCH(A803,'交易记录'!$A$5:$A$304,0)),1),1))</f>
        <v/>
      </c>
      <c r="J803" s="41" t="str">
        <f>IF(ISNUMBER(H803),ROUND('参数'!$C$11+H803*I803*'参数'!$C$12+F803*'参数'!$C$13,2),"")</f>
        <v/>
      </c>
      <c r="K803" s="22" t="n"/>
      <c r="L803" s="20" t="str">
        <f>IF(ISNUMBER(K803),K803,IF(ISNUMBER(H803),J803,""))</f>
        <v/>
      </c>
      <c r="M803" s="46" t="str">
        <f>IF(AND(ISNUMBER(E803),ISNUMBER(G803),ISNUMBER(F803)),(E803-G803)*IF(D803="卖",-1,1)*F803*I803,"")</f>
        <v/>
      </c>
      <c r="N803" s="38" t="str">
        <f>IF(A803="","",IFERROR(T(INDEX('交易记录'!$C$5:$C$304,MATCH(A803,'交易记录'!$A$5:$A$304,0))),"编号没找到"))</f>
        <v/>
      </c>
      <c r="O803" s="31" t="n"/>
    </row>
    <row r="804">
      <c r="A804" s="29" t="n"/>
      <c r="B804" s="30" t="n"/>
      <c r="C804" s="27" t="n"/>
      <c r="D804" s="32" t="n"/>
      <c r="E804" s="33" t="n"/>
      <c r="F804" s="36" t="n"/>
      <c r="G804" s="33" t="n"/>
      <c r="H804" s="20" t="str">
        <f>IF(AND(ISNUMBER(E804),ISNUMBER(F804)),E804*F804,"")</f>
        <v/>
      </c>
      <c r="I804" s="38" t="str">
        <f>IF(A804="","",IFERROR(IF(N(INDEX('交易记录'!$G$5:$G$304,MATCH(A804,'交易记录'!$A$5:$A$304,0)))&gt;0,INDEX('交易记录'!$G$5:$G$304,MATCH(A804,'交易记录'!$A$5:$A$304,0)),1),1))</f>
        <v/>
      </c>
      <c r="J804" s="41" t="str">
        <f>IF(ISNUMBER(H804),ROUND('参数'!$C$11+H804*I804*'参数'!$C$12+F804*'参数'!$C$13,2),"")</f>
        <v/>
      </c>
      <c r="K804" s="22" t="n"/>
      <c r="L804" s="20" t="str">
        <f>IF(ISNUMBER(K804),K804,IF(ISNUMBER(H804),J804,""))</f>
        <v/>
      </c>
      <c r="M804" s="46" t="str">
        <f>IF(AND(ISNUMBER(E804),ISNUMBER(G804),ISNUMBER(F804)),(E804-G804)*IF(D804="卖",-1,1)*F804*I804,"")</f>
        <v/>
      </c>
      <c r="N804" s="38" t="str">
        <f>IF(A804="","",IFERROR(T(INDEX('交易记录'!$C$5:$C$304,MATCH(A804,'交易记录'!$A$5:$A$304,0))),"编号没找到"))</f>
        <v/>
      </c>
      <c r="O804" s="31" t="n"/>
    </row>
  </sheetData>
  <mergeCells count="6">
    <mergeCell ref="N3:O3"/>
    <mergeCell ref="A2:O2"/>
    <mergeCell ref="A3:G3"/>
    <mergeCell ref="A1:L1"/>
    <mergeCell ref="M1:O1"/>
    <mergeCell ref="H3:M3"/>
  </mergeCells>
  <conditionalFormatting sqref="N5:N804">
    <cfRule type="cellIs" priority="1" operator="equal" dxfId="3">
      <formula>"编号没找到"</formula>
    </cfRule>
  </conditionalFormatting>
  <dataValidations count="3">
    <dataValidation sqref="A5:A804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8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804" showDropDown="0" showInputMessage="0" showErrorMessage="1" allowBlank="1" errorTitle="不在选项里" error="请从下拉里选；要加新选项，先去参数页的下拉选项里加。" type="list" errorStyle="stop">
      <formula1>'参数'!$H$22:$H$33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</worksheet>
</file>

<file path=xl/worksheets/sheet5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K26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0" customWidth="1" min="3" max="3"/>
    <col width="7" customWidth="1" min="4" max="4"/>
    <col width="7" customWidth="1" min="5" max="5"/>
    <col width="24" customWidth="1" min="6" max="6"/>
    <col width="6" customWidth="1" min="7" max="7"/>
    <col width="8" customWidth="1" min="8" max="8"/>
    <col width="9" customWidth="1" min="9" max="9"/>
    <col width="30" customWidth="1" min="10" max="10"/>
    <col width="16" customWidth="1" min="11" max="11"/>
  </cols>
  <sheetData>
    <row r="1" ht="30" customHeight="1">
      <c r="A1" s="13" t="inlineStr">
        <is>
          <t>每日记录：没交易的日子也写一行</t>
        </is>
      </c>
      <c r="I1" s="14" t="inlineStr">
        <is>
          <t>TradeLearn · XtradingTime 交易内训</t>
        </is>
      </c>
    </row>
    <row r="2" ht="20" customHeight="1">
      <c r="A2" s="2" t="inlineStr">
        <is>
          <t>收盘后或睡前写。空仓是按计划做出来的，也算执行；连续几天「没等到条件」，比连续几天乱下单好。</t>
        </is>
      </c>
    </row>
    <row r="3" ht="18" customHeight="1">
      <c r="A3" s="28" t="inlineStr">
        <is>
          <t>日期</t>
        </is>
      </c>
      <c r="B3" s="28" t="n"/>
      <c r="C3" s="28" t="inlineStr">
        <is>
          <t>今天</t>
        </is>
      </c>
      <c r="D3" s="28" t="n"/>
      <c r="E3" s="28" t="n"/>
      <c r="F3" s="28" t="n"/>
      <c r="G3" s="28" t="n"/>
      <c r="H3" s="28" t="n"/>
      <c r="I3" s="28" t="n"/>
      <c r="J3" s="28" t="inlineStr">
        <is>
          <t>明天</t>
        </is>
      </c>
      <c r="K3" s="28" t="n"/>
    </row>
    <row r="4" ht="41.8" customHeight="1">
      <c r="A4" s="25" t="inlineStr">
        <is>
          <t>日期</t>
        </is>
      </c>
      <c r="B4" s="25" t="inlineStr">
        <is>
          <t>星期</t>
        </is>
      </c>
      <c r="C4" s="25" t="inlineStr">
        <is>
          <t>今天做了什么</t>
        </is>
      </c>
      <c r="D4" s="25" t="inlineStr">
        <is>
          <t>看到几次机会</t>
        </is>
      </c>
      <c r="E4" s="25" t="inlineStr">
        <is>
          <t>下了几笔（自动）</t>
        </is>
      </c>
      <c r="F4" s="25" t="inlineStr">
        <is>
          <t>没做的原因（一句话）</t>
        </is>
      </c>
      <c r="G4" s="25" t="inlineStr">
        <is>
          <t>状态 1～5</t>
        </is>
      </c>
      <c r="H4" s="25" t="inlineStr">
        <is>
          <t>当日平仓净R</t>
        </is>
      </c>
      <c r="I4" s="25" t="inlineStr">
        <is>
          <t>停手线</t>
        </is>
      </c>
      <c r="J4" s="25" t="inlineStr">
        <is>
          <t>明天的条件（写成能检查的话）</t>
        </is>
      </c>
      <c r="K4" s="25" t="inlineStr">
        <is>
          <t>备注</t>
        </is>
      </c>
    </row>
    <row r="5">
      <c r="A5" s="30" t="n"/>
      <c r="B5" s="40" t="str">
        <f>IF(ISNUMBER(A5),"周"&amp;CHOOSE(WEEKDAY(A5,2),"一","二","三","四","五","六","日"),"")</f>
        <v/>
      </c>
      <c r="C5" s="32" t="n"/>
      <c r="D5" s="29" t="n"/>
      <c r="E5" s="47" t="str">
        <f>IF(ISNUMBER(A5),COUNTIFS('交易记录'!$B$5:$B$304,A5,'交易记录'!$Q$5:$Q$304,"已执行"),"")</f>
        <v/>
      </c>
      <c r="F5" s="31" t="n"/>
      <c r="G5" s="29" t="n"/>
      <c r="H5" s="48" t="str">
        <f>IF(NOT(ISNUMBER(A5)),"",IF(COUNTIFS('交易记录'!$S$5:$S$304,A5,'交易记录'!$Y$5:$Y$304,"已平仓")=0,"",SUMIFS('交易记录'!$AC$5:$AC$304,'交易记录'!$S$5:$S$304,A5,'交易记录'!$Y$5:$Y$304,"已平仓")))</f>
        <v/>
      </c>
      <c r="I5" s="40" t="str">
        <f>IF(NOT(ISNUMBER(H5)),"",IF(H5&lt;=-'参数'!$C$8,"触及停手线",""))</f>
        <v/>
      </c>
      <c r="J5" s="31" t="n"/>
      <c r="K5" s="31" t="n"/>
    </row>
    <row r="6">
      <c r="A6" s="30" t="n"/>
      <c r="B6" s="40" t="str">
        <f>IF(ISNUMBER(A6),"周"&amp;CHOOSE(WEEKDAY(A6,2),"一","二","三","四","五","六","日"),"")</f>
        <v/>
      </c>
      <c r="C6" s="32" t="n"/>
      <c r="D6" s="29" t="n"/>
      <c r="E6" s="47" t="str">
        <f>IF(ISNUMBER(A6),COUNTIFS('交易记录'!$B$5:$B$304,A6,'交易记录'!$Q$5:$Q$304,"已执行"),"")</f>
        <v/>
      </c>
      <c r="F6" s="31" t="n"/>
      <c r="G6" s="29" t="n"/>
      <c r="H6" s="48" t="str">
        <f>IF(NOT(ISNUMBER(A6)),"",IF(COUNTIFS('交易记录'!$S$5:$S$304,A6,'交易记录'!$Y$5:$Y$304,"已平仓")=0,"",SUMIFS('交易记录'!$AC$5:$AC$304,'交易记录'!$S$5:$S$304,A6,'交易记录'!$Y$5:$Y$304,"已平仓")))</f>
        <v/>
      </c>
      <c r="I6" s="40" t="str">
        <f>IF(NOT(ISNUMBER(H6)),"",IF(H6&lt;=-'参数'!$C$8,"触及停手线",""))</f>
        <v/>
      </c>
      <c r="J6" s="31" t="n"/>
      <c r="K6" s="31" t="n"/>
    </row>
    <row r="7">
      <c r="A7" s="30" t="n"/>
      <c r="B7" s="40" t="str">
        <f>IF(ISNUMBER(A7),"周"&amp;CHOOSE(WEEKDAY(A7,2),"一","二","三","四","五","六","日"),"")</f>
        <v/>
      </c>
      <c r="C7" s="32" t="n"/>
      <c r="D7" s="29" t="n"/>
      <c r="E7" s="47" t="str">
        <f>IF(ISNUMBER(A7),COUNTIFS('交易记录'!$B$5:$B$304,A7,'交易记录'!$Q$5:$Q$304,"已执行"),"")</f>
        <v/>
      </c>
      <c r="F7" s="31" t="n"/>
      <c r="G7" s="29" t="n"/>
      <c r="H7" s="48" t="str">
        <f>IF(NOT(ISNUMBER(A7)),"",IF(COUNTIFS('交易记录'!$S$5:$S$304,A7,'交易记录'!$Y$5:$Y$304,"已平仓")=0,"",SUMIFS('交易记录'!$AC$5:$AC$304,'交易记录'!$S$5:$S$304,A7,'交易记录'!$Y$5:$Y$304,"已平仓")))</f>
        <v/>
      </c>
      <c r="I7" s="40" t="str">
        <f>IF(NOT(ISNUMBER(H7)),"",IF(H7&lt;=-'参数'!$C$8,"触及停手线",""))</f>
        <v/>
      </c>
      <c r="J7" s="31" t="n"/>
      <c r="K7" s="31" t="n"/>
    </row>
    <row r="8">
      <c r="A8" s="30" t="n"/>
      <c r="B8" s="40" t="str">
        <f>IF(ISNUMBER(A8),"周"&amp;CHOOSE(WEEKDAY(A8,2),"一","二","三","四","五","六","日"),"")</f>
        <v/>
      </c>
      <c r="C8" s="32" t="n"/>
      <c r="D8" s="29" t="n"/>
      <c r="E8" s="47" t="str">
        <f>IF(ISNUMBER(A8),COUNTIFS('交易记录'!$B$5:$B$304,A8,'交易记录'!$Q$5:$Q$304,"已执行"),"")</f>
        <v/>
      </c>
      <c r="F8" s="31" t="n"/>
      <c r="G8" s="29" t="n"/>
      <c r="H8" s="48" t="str">
        <f>IF(NOT(ISNUMBER(A8)),"",IF(COUNTIFS('交易记录'!$S$5:$S$304,A8,'交易记录'!$Y$5:$Y$304,"已平仓")=0,"",SUMIFS('交易记录'!$AC$5:$AC$304,'交易记录'!$S$5:$S$304,A8,'交易记录'!$Y$5:$Y$304,"已平仓")))</f>
        <v/>
      </c>
      <c r="I8" s="40" t="str">
        <f>IF(NOT(ISNUMBER(H8)),"",IF(H8&lt;=-'参数'!$C$8,"触及停手线",""))</f>
        <v/>
      </c>
      <c r="J8" s="31" t="n"/>
      <c r="K8" s="31" t="n"/>
    </row>
    <row r="9">
      <c r="A9" s="30" t="n"/>
      <c r="B9" s="40" t="str">
        <f>IF(ISNUMBER(A9),"周"&amp;CHOOSE(WEEKDAY(A9,2),"一","二","三","四","五","六","日"),"")</f>
        <v/>
      </c>
      <c r="C9" s="32" t="n"/>
      <c r="D9" s="29" t="n"/>
      <c r="E9" s="47" t="str">
        <f>IF(ISNUMBER(A9),COUNTIFS('交易记录'!$B$5:$B$304,A9,'交易记录'!$Q$5:$Q$304,"已执行"),"")</f>
        <v/>
      </c>
      <c r="F9" s="31" t="n"/>
      <c r="G9" s="29" t="n"/>
      <c r="H9" s="48" t="str">
        <f>IF(NOT(ISNUMBER(A9)),"",IF(COUNTIFS('交易记录'!$S$5:$S$304,A9,'交易记录'!$Y$5:$Y$304,"已平仓")=0,"",SUMIFS('交易记录'!$AC$5:$AC$304,'交易记录'!$S$5:$S$304,A9,'交易记录'!$Y$5:$Y$304,"已平仓")))</f>
        <v/>
      </c>
      <c r="I9" s="40" t="str">
        <f>IF(NOT(ISNUMBER(H9)),"",IF(H9&lt;=-'参数'!$C$8,"触及停手线",""))</f>
        <v/>
      </c>
      <c r="J9" s="31" t="n"/>
      <c r="K9" s="31" t="n"/>
    </row>
    <row r="10">
      <c r="A10" s="30" t="n"/>
      <c r="B10" s="40" t="str">
        <f>IF(ISNUMBER(A10),"周"&amp;CHOOSE(WEEKDAY(A10,2),"一","二","三","四","五","六","日"),"")</f>
        <v/>
      </c>
      <c r="C10" s="32" t="n"/>
      <c r="D10" s="29" t="n"/>
      <c r="E10" s="47" t="str">
        <f>IF(ISNUMBER(A10),COUNTIFS('交易记录'!$B$5:$B$304,A10,'交易记录'!$Q$5:$Q$304,"已执行"),"")</f>
        <v/>
      </c>
      <c r="F10" s="31" t="n"/>
      <c r="G10" s="29" t="n"/>
      <c r="H10" s="48" t="str">
        <f>IF(NOT(ISNUMBER(A10)),"",IF(COUNTIFS('交易记录'!$S$5:$S$304,A10,'交易记录'!$Y$5:$Y$304,"已平仓")=0,"",SUMIFS('交易记录'!$AC$5:$AC$304,'交易记录'!$S$5:$S$304,A10,'交易记录'!$Y$5:$Y$304,"已平仓")))</f>
        <v/>
      </c>
      <c r="I10" s="40" t="str">
        <f>IF(NOT(ISNUMBER(H10)),"",IF(H10&lt;=-'参数'!$C$8,"触及停手线",""))</f>
        <v/>
      </c>
      <c r="J10" s="31" t="n"/>
      <c r="K10" s="31" t="n"/>
    </row>
    <row r="11">
      <c r="A11" s="30" t="n"/>
      <c r="B11" s="40" t="str">
        <f>IF(ISNUMBER(A11),"周"&amp;CHOOSE(WEEKDAY(A11,2),"一","二","三","四","五","六","日"),"")</f>
        <v/>
      </c>
      <c r="C11" s="32" t="n"/>
      <c r="D11" s="29" t="n"/>
      <c r="E11" s="47" t="str">
        <f>IF(ISNUMBER(A11),COUNTIFS('交易记录'!$B$5:$B$304,A11,'交易记录'!$Q$5:$Q$304,"已执行"),"")</f>
        <v/>
      </c>
      <c r="F11" s="31" t="n"/>
      <c r="G11" s="29" t="n"/>
      <c r="H11" s="48" t="str">
        <f>IF(NOT(ISNUMBER(A11)),"",IF(COUNTIFS('交易记录'!$S$5:$S$304,A11,'交易记录'!$Y$5:$Y$304,"已平仓")=0,"",SUMIFS('交易记录'!$AC$5:$AC$304,'交易记录'!$S$5:$S$304,A11,'交易记录'!$Y$5:$Y$304,"已平仓")))</f>
        <v/>
      </c>
      <c r="I11" s="40" t="str">
        <f>IF(NOT(ISNUMBER(H11)),"",IF(H11&lt;=-'参数'!$C$8,"触及停手线",""))</f>
        <v/>
      </c>
      <c r="J11" s="31" t="n"/>
      <c r="K11" s="31" t="n"/>
    </row>
    <row r="12">
      <c r="A12" s="30" t="n"/>
      <c r="B12" s="40" t="str">
        <f>IF(ISNUMBER(A12),"周"&amp;CHOOSE(WEEKDAY(A12,2),"一","二","三","四","五","六","日"),"")</f>
        <v/>
      </c>
      <c r="C12" s="32" t="n"/>
      <c r="D12" s="29" t="n"/>
      <c r="E12" s="47" t="str">
        <f>IF(ISNUMBER(A12),COUNTIFS('交易记录'!$B$5:$B$304,A12,'交易记录'!$Q$5:$Q$304,"已执行"),"")</f>
        <v/>
      </c>
      <c r="F12" s="31" t="n"/>
      <c r="G12" s="29" t="n"/>
      <c r="H12" s="48" t="str">
        <f>IF(NOT(ISNUMBER(A12)),"",IF(COUNTIFS('交易记录'!$S$5:$S$304,A12,'交易记录'!$Y$5:$Y$304,"已平仓")=0,"",SUMIFS('交易记录'!$AC$5:$AC$304,'交易记录'!$S$5:$S$304,A12,'交易记录'!$Y$5:$Y$304,"已平仓")))</f>
        <v/>
      </c>
      <c r="I12" s="40" t="str">
        <f>IF(NOT(ISNUMBER(H12)),"",IF(H12&lt;=-'参数'!$C$8,"触及停手线",""))</f>
        <v/>
      </c>
      <c r="J12" s="31" t="n"/>
      <c r="K12" s="31" t="n"/>
    </row>
    <row r="13">
      <c r="A13" s="30" t="n"/>
      <c r="B13" s="40" t="str">
        <f>IF(ISNUMBER(A13),"周"&amp;CHOOSE(WEEKDAY(A13,2),"一","二","三","四","五","六","日"),"")</f>
        <v/>
      </c>
      <c r="C13" s="32" t="n"/>
      <c r="D13" s="29" t="n"/>
      <c r="E13" s="47" t="str">
        <f>IF(ISNUMBER(A13),COUNTIFS('交易记录'!$B$5:$B$304,A13,'交易记录'!$Q$5:$Q$304,"已执行"),"")</f>
        <v/>
      </c>
      <c r="F13" s="31" t="n"/>
      <c r="G13" s="29" t="n"/>
      <c r="H13" s="48" t="str">
        <f>IF(NOT(ISNUMBER(A13)),"",IF(COUNTIFS('交易记录'!$S$5:$S$304,A13,'交易记录'!$Y$5:$Y$304,"已平仓")=0,"",SUMIFS('交易记录'!$AC$5:$AC$304,'交易记录'!$S$5:$S$304,A13,'交易记录'!$Y$5:$Y$304,"已平仓")))</f>
        <v/>
      </c>
      <c r="I13" s="40" t="str">
        <f>IF(NOT(ISNUMBER(H13)),"",IF(H13&lt;=-'参数'!$C$8,"触及停手线",""))</f>
        <v/>
      </c>
      <c r="J13" s="31" t="n"/>
      <c r="K13" s="31" t="n"/>
    </row>
    <row r="14">
      <c r="A14" s="30" t="n"/>
      <c r="B14" s="40" t="str">
        <f>IF(ISNUMBER(A14),"周"&amp;CHOOSE(WEEKDAY(A14,2),"一","二","三","四","五","六","日"),"")</f>
        <v/>
      </c>
      <c r="C14" s="32" t="n"/>
      <c r="D14" s="29" t="n"/>
      <c r="E14" s="47" t="str">
        <f>IF(ISNUMBER(A14),COUNTIFS('交易记录'!$B$5:$B$304,A14,'交易记录'!$Q$5:$Q$304,"已执行"),"")</f>
        <v/>
      </c>
      <c r="F14" s="31" t="n"/>
      <c r="G14" s="29" t="n"/>
      <c r="H14" s="48" t="str">
        <f>IF(NOT(ISNUMBER(A14)),"",IF(COUNTIFS('交易记录'!$S$5:$S$304,A14,'交易记录'!$Y$5:$Y$304,"已平仓")=0,"",SUMIFS('交易记录'!$AC$5:$AC$304,'交易记录'!$S$5:$S$304,A14,'交易记录'!$Y$5:$Y$304,"已平仓")))</f>
        <v/>
      </c>
      <c r="I14" s="40" t="str">
        <f>IF(NOT(ISNUMBER(H14)),"",IF(H14&lt;=-'参数'!$C$8,"触及停手线",""))</f>
        <v/>
      </c>
      <c r="J14" s="31" t="n"/>
      <c r="K14" s="31" t="n"/>
    </row>
    <row r="15">
      <c r="A15" s="30" t="n"/>
      <c r="B15" s="40" t="str">
        <f>IF(ISNUMBER(A15),"周"&amp;CHOOSE(WEEKDAY(A15,2),"一","二","三","四","五","六","日"),"")</f>
        <v/>
      </c>
      <c r="C15" s="32" t="n"/>
      <c r="D15" s="29" t="n"/>
      <c r="E15" s="47" t="str">
        <f>IF(ISNUMBER(A15),COUNTIFS('交易记录'!$B$5:$B$304,A15,'交易记录'!$Q$5:$Q$304,"已执行"),"")</f>
        <v/>
      </c>
      <c r="F15" s="31" t="n"/>
      <c r="G15" s="29" t="n"/>
      <c r="H15" s="48" t="str">
        <f>IF(NOT(ISNUMBER(A15)),"",IF(COUNTIFS('交易记录'!$S$5:$S$304,A15,'交易记录'!$Y$5:$Y$304,"已平仓")=0,"",SUMIFS('交易记录'!$AC$5:$AC$304,'交易记录'!$S$5:$S$304,A15,'交易记录'!$Y$5:$Y$304,"已平仓")))</f>
        <v/>
      </c>
      <c r="I15" s="40" t="str">
        <f>IF(NOT(ISNUMBER(H15)),"",IF(H15&lt;=-'参数'!$C$8,"触及停手线",""))</f>
        <v/>
      </c>
      <c r="J15" s="31" t="n"/>
      <c r="K15" s="31" t="n"/>
    </row>
    <row r="16">
      <c r="A16" s="30" t="n"/>
      <c r="B16" s="40" t="str">
        <f>IF(ISNUMBER(A16),"周"&amp;CHOOSE(WEEKDAY(A16,2),"一","二","三","四","五","六","日"),"")</f>
        <v/>
      </c>
      <c r="C16" s="32" t="n"/>
      <c r="D16" s="29" t="n"/>
      <c r="E16" s="47" t="str">
        <f>IF(ISNUMBER(A16),COUNTIFS('交易记录'!$B$5:$B$304,A16,'交易记录'!$Q$5:$Q$304,"已执行"),"")</f>
        <v/>
      </c>
      <c r="F16" s="31" t="n"/>
      <c r="G16" s="29" t="n"/>
      <c r="H16" s="48" t="str">
        <f>IF(NOT(ISNUMBER(A16)),"",IF(COUNTIFS('交易记录'!$S$5:$S$304,A16,'交易记录'!$Y$5:$Y$304,"已平仓")=0,"",SUMIFS('交易记录'!$AC$5:$AC$304,'交易记录'!$S$5:$S$304,A16,'交易记录'!$Y$5:$Y$304,"已平仓")))</f>
        <v/>
      </c>
      <c r="I16" s="40" t="str">
        <f>IF(NOT(ISNUMBER(H16)),"",IF(H16&lt;=-'参数'!$C$8,"触及停手线",""))</f>
        <v/>
      </c>
      <c r="J16" s="31" t="n"/>
      <c r="K16" s="31" t="n"/>
    </row>
    <row r="17">
      <c r="A17" s="30" t="n"/>
      <c r="B17" s="40" t="str">
        <f>IF(ISNUMBER(A17),"周"&amp;CHOOSE(WEEKDAY(A17,2),"一","二","三","四","五","六","日"),"")</f>
        <v/>
      </c>
      <c r="C17" s="32" t="n"/>
      <c r="D17" s="29" t="n"/>
      <c r="E17" s="47" t="str">
        <f>IF(ISNUMBER(A17),COUNTIFS('交易记录'!$B$5:$B$304,A17,'交易记录'!$Q$5:$Q$304,"已执行"),"")</f>
        <v/>
      </c>
      <c r="F17" s="31" t="n"/>
      <c r="G17" s="29" t="n"/>
      <c r="H17" s="48" t="str">
        <f>IF(NOT(ISNUMBER(A17)),"",IF(COUNTIFS('交易记录'!$S$5:$S$304,A17,'交易记录'!$Y$5:$Y$304,"已平仓")=0,"",SUMIFS('交易记录'!$AC$5:$AC$304,'交易记录'!$S$5:$S$304,A17,'交易记录'!$Y$5:$Y$304,"已平仓")))</f>
        <v/>
      </c>
      <c r="I17" s="40" t="str">
        <f>IF(NOT(ISNUMBER(H17)),"",IF(H17&lt;=-'参数'!$C$8,"触及停手线",""))</f>
        <v/>
      </c>
      <c r="J17" s="31" t="n"/>
      <c r="K17" s="31" t="n"/>
    </row>
    <row r="18">
      <c r="A18" s="30" t="n"/>
      <c r="B18" s="40" t="str">
        <f>IF(ISNUMBER(A18),"周"&amp;CHOOSE(WEEKDAY(A18,2),"一","二","三","四","五","六","日"),"")</f>
        <v/>
      </c>
      <c r="C18" s="32" t="n"/>
      <c r="D18" s="29" t="n"/>
      <c r="E18" s="47" t="str">
        <f>IF(ISNUMBER(A18),COUNTIFS('交易记录'!$B$5:$B$304,A18,'交易记录'!$Q$5:$Q$304,"已执行"),"")</f>
        <v/>
      </c>
      <c r="F18" s="31" t="n"/>
      <c r="G18" s="29" t="n"/>
      <c r="H18" s="48" t="str">
        <f>IF(NOT(ISNUMBER(A18)),"",IF(COUNTIFS('交易记录'!$S$5:$S$304,A18,'交易记录'!$Y$5:$Y$304,"已平仓")=0,"",SUMIFS('交易记录'!$AC$5:$AC$304,'交易记录'!$S$5:$S$304,A18,'交易记录'!$Y$5:$Y$304,"已平仓")))</f>
        <v/>
      </c>
      <c r="I18" s="40" t="str">
        <f>IF(NOT(ISNUMBER(H18)),"",IF(H18&lt;=-'参数'!$C$8,"触及停手线",""))</f>
        <v/>
      </c>
      <c r="J18" s="31" t="n"/>
      <c r="K18" s="31" t="n"/>
    </row>
    <row r="19">
      <c r="A19" s="30" t="n"/>
      <c r="B19" s="40" t="str">
        <f>IF(ISNUMBER(A19),"周"&amp;CHOOSE(WEEKDAY(A19,2),"一","二","三","四","五","六","日"),"")</f>
        <v/>
      </c>
      <c r="C19" s="32" t="n"/>
      <c r="D19" s="29" t="n"/>
      <c r="E19" s="47" t="str">
        <f>IF(ISNUMBER(A19),COUNTIFS('交易记录'!$B$5:$B$304,A19,'交易记录'!$Q$5:$Q$304,"已执行"),"")</f>
        <v/>
      </c>
      <c r="F19" s="31" t="n"/>
      <c r="G19" s="29" t="n"/>
      <c r="H19" s="48" t="str">
        <f>IF(NOT(ISNUMBER(A19)),"",IF(COUNTIFS('交易记录'!$S$5:$S$304,A19,'交易记录'!$Y$5:$Y$304,"已平仓")=0,"",SUMIFS('交易记录'!$AC$5:$AC$304,'交易记录'!$S$5:$S$304,A19,'交易记录'!$Y$5:$Y$304,"已平仓")))</f>
        <v/>
      </c>
      <c r="I19" s="40" t="str">
        <f>IF(NOT(ISNUMBER(H19)),"",IF(H19&lt;=-'参数'!$C$8,"触及停手线",""))</f>
        <v/>
      </c>
      <c r="J19" s="31" t="n"/>
      <c r="K19" s="31" t="n"/>
    </row>
    <row r="20">
      <c r="A20" s="30" t="n"/>
      <c r="B20" s="40" t="str">
        <f>IF(ISNUMBER(A20),"周"&amp;CHOOSE(WEEKDAY(A20,2),"一","二","三","四","五","六","日"),"")</f>
        <v/>
      </c>
      <c r="C20" s="32" t="n"/>
      <c r="D20" s="29" t="n"/>
      <c r="E20" s="47" t="str">
        <f>IF(ISNUMBER(A20),COUNTIFS('交易记录'!$B$5:$B$304,A20,'交易记录'!$Q$5:$Q$304,"已执行"),"")</f>
        <v/>
      </c>
      <c r="F20" s="31" t="n"/>
      <c r="G20" s="29" t="n"/>
      <c r="H20" s="48" t="str">
        <f>IF(NOT(ISNUMBER(A20)),"",IF(COUNTIFS('交易记录'!$S$5:$S$304,A20,'交易记录'!$Y$5:$Y$304,"已平仓")=0,"",SUMIFS('交易记录'!$AC$5:$AC$304,'交易记录'!$S$5:$S$304,A20,'交易记录'!$Y$5:$Y$304,"已平仓")))</f>
        <v/>
      </c>
      <c r="I20" s="40" t="str">
        <f>IF(NOT(ISNUMBER(H20)),"",IF(H20&lt;=-'参数'!$C$8,"触及停手线",""))</f>
        <v/>
      </c>
      <c r="J20" s="31" t="n"/>
      <c r="K20" s="31" t="n"/>
    </row>
    <row r="21">
      <c r="A21" s="30" t="n"/>
      <c r="B21" s="40" t="str">
        <f>IF(ISNUMBER(A21),"周"&amp;CHOOSE(WEEKDAY(A21,2),"一","二","三","四","五","六","日"),"")</f>
        <v/>
      </c>
      <c r="C21" s="32" t="n"/>
      <c r="D21" s="29" t="n"/>
      <c r="E21" s="47" t="str">
        <f>IF(ISNUMBER(A21),COUNTIFS('交易记录'!$B$5:$B$304,A21,'交易记录'!$Q$5:$Q$304,"已执行"),"")</f>
        <v/>
      </c>
      <c r="F21" s="31" t="n"/>
      <c r="G21" s="29" t="n"/>
      <c r="H21" s="48" t="str">
        <f>IF(NOT(ISNUMBER(A21)),"",IF(COUNTIFS('交易记录'!$S$5:$S$304,A21,'交易记录'!$Y$5:$Y$304,"已平仓")=0,"",SUMIFS('交易记录'!$AC$5:$AC$304,'交易记录'!$S$5:$S$304,A21,'交易记录'!$Y$5:$Y$304,"已平仓")))</f>
        <v/>
      </c>
      <c r="I21" s="40" t="str">
        <f>IF(NOT(ISNUMBER(H21)),"",IF(H21&lt;=-'参数'!$C$8,"触及停手线",""))</f>
        <v/>
      </c>
      <c r="J21" s="31" t="n"/>
      <c r="K21" s="31" t="n"/>
    </row>
    <row r="22">
      <c r="A22" s="30" t="n"/>
      <c r="B22" s="40" t="str">
        <f>IF(ISNUMBER(A22),"周"&amp;CHOOSE(WEEKDAY(A22,2),"一","二","三","四","五","六","日"),"")</f>
        <v/>
      </c>
      <c r="C22" s="32" t="n"/>
      <c r="D22" s="29" t="n"/>
      <c r="E22" s="47" t="str">
        <f>IF(ISNUMBER(A22),COUNTIFS('交易记录'!$B$5:$B$304,A22,'交易记录'!$Q$5:$Q$304,"已执行"),"")</f>
        <v/>
      </c>
      <c r="F22" s="31" t="n"/>
      <c r="G22" s="29" t="n"/>
      <c r="H22" s="48" t="str">
        <f>IF(NOT(ISNUMBER(A22)),"",IF(COUNTIFS('交易记录'!$S$5:$S$304,A22,'交易记录'!$Y$5:$Y$304,"已平仓")=0,"",SUMIFS('交易记录'!$AC$5:$AC$304,'交易记录'!$S$5:$S$304,A22,'交易记录'!$Y$5:$Y$304,"已平仓")))</f>
        <v/>
      </c>
      <c r="I22" s="40" t="str">
        <f>IF(NOT(ISNUMBER(H22)),"",IF(H22&lt;=-'参数'!$C$8,"触及停手线",""))</f>
        <v/>
      </c>
      <c r="J22" s="31" t="n"/>
      <c r="K22" s="31" t="n"/>
    </row>
    <row r="23">
      <c r="A23" s="30" t="n"/>
      <c r="B23" s="40" t="str">
        <f>IF(ISNUMBER(A23),"周"&amp;CHOOSE(WEEKDAY(A23,2),"一","二","三","四","五","六","日"),"")</f>
        <v/>
      </c>
      <c r="C23" s="32" t="n"/>
      <c r="D23" s="29" t="n"/>
      <c r="E23" s="47" t="str">
        <f>IF(ISNUMBER(A23),COUNTIFS('交易记录'!$B$5:$B$304,A23,'交易记录'!$Q$5:$Q$304,"已执行"),"")</f>
        <v/>
      </c>
      <c r="F23" s="31" t="n"/>
      <c r="G23" s="29" t="n"/>
      <c r="H23" s="48" t="str">
        <f>IF(NOT(ISNUMBER(A23)),"",IF(COUNTIFS('交易记录'!$S$5:$S$304,A23,'交易记录'!$Y$5:$Y$304,"已平仓")=0,"",SUMIFS('交易记录'!$AC$5:$AC$304,'交易记录'!$S$5:$S$304,A23,'交易记录'!$Y$5:$Y$304,"已平仓")))</f>
        <v/>
      </c>
      <c r="I23" s="40" t="str">
        <f>IF(NOT(ISNUMBER(H23)),"",IF(H23&lt;=-'参数'!$C$8,"触及停手线",""))</f>
        <v/>
      </c>
      <c r="J23" s="31" t="n"/>
      <c r="K23" s="31" t="n"/>
    </row>
    <row r="24">
      <c r="A24" s="30" t="n"/>
      <c r="B24" s="40" t="str">
        <f>IF(ISNUMBER(A24),"周"&amp;CHOOSE(WEEKDAY(A24,2),"一","二","三","四","五","六","日"),"")</f>
        <v/>
      </c>
      <c r="C24" s="32" t="n"/>
      <c r="D24" s="29" t="n"/>
      <c r="E24" s="47" t="str">
        <f>IF(ISNUMBER(A24),COUNTIFS('交易记录'!$B$5:$B$304,A24,'交易记录'!$Q$5:$Q$304,"已执行"),"")</f>
        <v/>
      </c>
      <c r="F24" s="31" t="n"/>
      <c r="G24" s="29" t="n"/>
      <c r="H24" s="48" t="str">
        <f>IF(NOT(ISNUMBER(A24)),"",IF(COUNTIFS('交易记录'!$S$5:$S$304,A24,'交易记录'!$Y$5:$Y$304,"已平仓")=0,"",SUMIFS('交易记录'!$AC$5:$AC$304,'交易记录'!$S$5:$S$304,A24,'交易记录'!$Y$5:$Y$304,"已平仓")))</f>
        <v/>
      </c>
      <c r="I24" s="40" t="str">
        <f>IF(NOT(ISNUMBER(H24)),"",IF(H24&lt;=-'参数'!$C$8,"触及停手线",""))</f>
        <v/>
      </c>
      <c r="J24" s="31" t="n"/>
      <c r="K24" s="31" t="n"/>
    </row>
    <row r="25">
      <c r="A25" s="30" t="n"/>
      <c r="B25" s="40" t="str">
        <f>IF(ISNUMBER(A25),"周"&amp;CHOOSE(WEEKDAY(A25,2),"一","二","三","四","五","六","日"),"")</f>
        <v/>
      </c>
      <c r="C25" s="32" t="n"/>
      <c r="D25" s="29" t="n"/>
      <c r="E25" s="47" t="str">
        <f>IF(ISNUMBER(A25),COUNTIFS('交易记录'!$B$5:$B$304,A25,'交易记录'!$Q$5:$Q$304,"已执行"),"")</f>
        <v/>
      </c>
      <c r="F25" s="31" t="n"/>
      <c r="G25" s="29" t="n"/>
      <c r="H25" s="48" t="str">
        <f>IF(NOT(ISNUMBER(A25)),"",IF(COUNTIFS('交易记录'!$S$5:$S$304,A25,'交易记录'!$Y$5:$Y$304,"已平仓")=0,"",SUMIFS('交易记录'!$AC$5:$AC$304,'交易记录'!$S$5:$S$304,A25,'交易记录'!$Y$5:$Y$304,"已平仓")))</f>
        <v/>
      </c>
      <c r="I25" s="40" t="str">
        <f>IF(NOT(ISNUMBER(H25)),"",IF(H25&lt;=-'参数'!$C$8,"触及停手线",""))</f>
        <v/>
      </c>
      <c r="J25" s="31" t="n"/>
      <c r="K25" s="31" t="n"/>
    </row>
    <row r="26">
      <c r="A26" s="30" t="n"/>
      <c r="B26" s="40" t="str">
        <f>IF(ISNUMBER(A26),"周"&amp;CHOOSE(WEEKDAY(A26,2),"一","二","三","四","五","六","日"),"")</f>
        <v/>
      </c>
      <c r="C26" s="32" t="n"/>
      <c r="D26" s="29" t="n"/>
      <c r="E26" s="47" t="str">
        <f>IF(ISNUMBER(A26),COUNTIFS('交易记录'!$B$5:$B$304,A26,'交易记录'!$Q$5:$Q$304,"已执行"),"")</f>
        <v/>
      </c>
      <c r="F26" s="31" t="n"/>
      <c r="G26" s="29" t="n"/>
      <c r="H26" s="48" t="str">
        <f>IF(NOT(ISNUMBER(A26)),"",IF(COUNTIFS('交易记录'!$S$5:$S$304,A26,'交易记录'!$Y$5:$Y$304,"已平仓")=0,"",SUMIFS('交易记录'!$AC$5:$AC$304,'交易记录'!$S$5:$S$304,A26,'交易记录'!$Y$5:$Y$304,"已平仓")))</f>
        <v/>
      </c>
      <c r="I26" s="40" t="str">
        <f>IF(NOT(ISNUMBER(H26)),"",IF(H26&lt;=-'参数'!$C$8,"触及停手线",""))</f>
        <v/>
      </c>
      <c r="J26" s="31" t="n"/>
      <c r="K26" s="31" t="n"/>
    </row>
    <row r="27">
      <c r="A27" s="30" t="n"/>
      <c r="B27" s="40" t="str">
        <f>IF(ISNUMBER(A27),"周"&amp;CHOOSE(WEEKDAY(A27,2),"一","二","三","四","五","六","日"),"")</f>
        <v/>
      </c>
      <c r="C27" s="32" t="n"/>
      <c r="D27" s="29" t="n"/>
      <c r="E27" s="47" t="str">
        <f>IF(ISNUMBER(A27),COUNTIFS('交易记录'!$B$5:$B$304,A27,'交易记录'!$Q$5:$Q$304,"已执行"),"")</f>
        <v/>
      </c>
      <c r="F27" s="31" t="n"/>
      <c r="G27" s="29" t="n"/>
      <c r="H27" s="48" t="str">
        <f>IF(NOT(ISNUMBER(A27)),"",IF(COUNTIFS('交易记录'!$S$5:$S$304,A27,'交易记录'!$Y$5:$Y$304,"已平仓")=0,"",SUMIFS('交易记录'!$AC$5:$AC$304,'交易记录'!$S$5:$S$304,A27,'交易记录'!$Y$5:$Y$304,"已平仓")))</f>
        <v/>
      </c>
      <c r="I27" s="40" t="str">
        <f>IF(NOT(ISNUMBER(H27)),"",IF(H27&lt;=-'参数'!$C$8,"触及停手线",""))</f>
        <v/>
      </c>
      <c r="J27" s="31" t="n"/>
      <c r="K27" s="31" t="n"/>
    </row>
    <row r="28">
      <c r="A28" s="30" t="n"/>
      <c r="B28" s="40" t="str">
        <f>IF(ISNUMBER(A28),"周"&amp;CHOOSE(WEEKDAY(A28,2),"一","二","三","四","五","六","日"),"")</f>
        <v/>
      </c>
      <c r="C28" s="32" t="n"/>
      <c r="D28" s="29" t="n"/>
      <c r="E28" s="47" t="str">
        <f>IF(ISNUMBER(A28),COUNTIFS('交易记录'!$B$5:$B$304,A28,'交易记录'!$Q$5:$Q$304,"已执行"),"")</f>
        <v/>
      </c>
      <c r="F28" s="31" t="n"/>
      <c r="G28" s="29" t="n"/>
      <c r="H28" s="48" t="str">
        <f>IF(NOT(ISNUMBER(A28)),"",IF(COUNTIFS('交易记录'!$S$5:$S$304,A28,'交易记录'!$Y$5:$Y$304,"已平仓")=0,"",SUMIFS('交易记录'!$AC$5:$AC$304,'交易记录'!$S$5:$S$304,A28,'交易记录'!$Y$5:$Y$304,"已平仓")))</f>
        <v/>
      </c>
      <c r="I28" s="40" t="str">
        <f>IF(NOT(ISNUMBER(H28)),"",IF(H28&lt;=-'参数'!$C$8,"触及停手线",""))</f>
        <v/>
      </c>
      <c r="J28" s="31" t="n"/>
      <c r="K28" s="31" t="n"/>
    </row>
    <row r="29">
      <c r="A29" s="30" t="n"/>
      <c r="B29" s="40" t="str">
        <f>IF(ISNUMBER(A29),"周"&amp;CHOOSE(WEEKDAY(A29,2),"一","二","三","四","五","六","日"),"")</f>
        <v/>
      </c>
      <c r="C29" s="32" t="n"/>
      <c r="D29" s="29" t="n"/>
      <c r="E29" s="47" t="str">
        <f>IF(ISNUMBER(A29),COUNTIFS('交易记录'!$B$5:$B$304,A29,'交易记录'!$Q$5:$Q$304,"已执行"),"")</f>
        <v/>
      </c>
      <c r="F29" s="31" t="n"/>
      <c r="G29" s="29" t="n"/>
      <c r="H29" s="48" t="str">
        <f>IF(NOT(ISNUMBER(A29)),"",IF(COUNTIFS('交易记录'!$S$5:$S$304,A29,'交易记录'!$Y$5:$Y$304,"已平仓")=0,"",SUMIFS('交易记录'!$AC$5:$AC$304,'交易记录'!$S$5:$S$304,A29,'交易记录'!$Y$5:$Y$304,"已平仓")))</f>
        <v/>
      </c>
      <c r="I29" s="40" t="str">
        <f>IF(NOT(ISNUMBER(H29)),"",IF(H29&lt;=-'参数'!$C$8,"触及停手线",""))</f>
        <v/>
      </c>
      <c r="J29" s="31" t="n"/>
      <c r="K29" s="31" t="n"/>
    </row>
    <row r="30">
      <c r="A30" s="30" t="n"/>
      <c r="B30" s="40" t="str">
        <f>IF(ISNUMBER(A30),"周"&amp;CHOOSE(WEEKDAY(A30,2),"一","二","三","四","五","六","日"),"")</f>
        <v/>
      </c>
      <c r="C30" s="32" t="n"/>
      <c r="D30" s="29" t="n"/>
      <c r="E30" s="47" t="str">
        <f>IF(ISNUMBER(A30),COUNTIFS('交易记录'!$B$5:$B$304,A30,'交易记录'!$Q$5:$Q$304,"已执行"),"")</f>
        <v/>
      </c>
      <c r="F30" s="31" t="n"/>
      <c r="G30" s="29" t="n"/>
      <c r="H30" s="48" t="str">
        <f>IF(NOT(ISNUMBER(A30)),"",IF(COUNTIFS('交易记录'!$S$5:$S$304,A30,'交易记录'!$Y$5:$Y$304,"已平仓")=0,"",SUMIFS('交易记录'!$AC$5:$AC$304,'交易记录'!$S$5:$S$304,A30,'交易记录'!$Y$5:$Y$304,"已平仓")))</f>
        <v/>
      </c>
      <c r="I30" s="40" t="str">
        <f>IF(NOT(ISNUMBER(H30)),"",IF(H30&lt;=-'参数'!$C$8,"触及停手线",""))</f>
        <v/>
      </c>
      <c r="J30" s="31" t="n"/>
      <c r="K30" s="31" t="n"/>
    </row>
    <row r="31">
      <c r="A31" s="30" t="n"/>
      <c r="B31" s="40" t="str">
        <f>IF(ISNUMBER(A31),"周"&amp;CHOOSE(WEEKDAY(A31,2),"一","二","三","四","五","六","日"),"")</f>
        <v/>
      </c>
      <c r="C31" s="32" t="n"/>
      <c r="D31" s="29" t="n"/>
      <c r="E31" s="47" t="str">
        <f>IF(ISNUMBER(A31),COUNTIFS('交易记录'!$B$5:$B$304,A31,'交易记录'!$Q$5:$Q$304,"已执行"),"")</f>
        <v/>
      </c>
      <c r="F31" s="31" t="n"/>
      <c r="G31" s="29" t="n"/>
      <c r="H31" s="48" t="str">
        <f>IF(NOT(ISNUMBER(A31)),"",IF(COUNTIFS('交易记录'!$S$5:$S$304,A31,'交易记录'!$Y$5:$Y$304,"已平仓")=0,"",SUMIFS('交易记录'!$AC$5:$AC$304,'交易记录'!$S$5:$S$304,A31,'交易记录'!$Y$5:$Y$304,"已平仓")))</f>
        <v/>
      </c>
      <c r="I31" s="40" t="str">
        <f>IF(NOT(ISNUMBER(H31)),"",IF(H31&lt;=-'参数'!$C$8,"触及停手线",""))</f>
        <v/>
      </c>
      <c r="J31" s="31" t="n"/>
      <c r="K31" s="31" t="n"/>
    </row>
    <row r="32">
      <c r="A32" s="30" t="n"/>
      <c r="B32" s="40" t="str">
        <f>IF(ISNUMBER(A32),"周"&amp;CHOOSE(WEEKDAY(A32,2),"一","二","三","四","五","六","日"),"")</f>
        <v/>
      </c>
      <c r="C32" s="32" t="n"/>
      <c r="D32" s="29" t="n"/>
      <c r="E32" s="47" t="str">
        <f>IF(ISNUMBER(A32),COUNTIFS('交易记录'!$B$5:$B$304,A32,'交易记录'!$Q$5:$Q$304,"已执行"),"")</f>
        <v/>
      </c>
      <c r="F32" s="31" t="n"/>
      <c r="G32" s="29" t="n"/>
      <c r="H32" s="48" t="str">
        <f>IF(NOT(ISNUMBER(A32)),"",IF(COUNTIFS('交易记录'!$S$5:$S$304,A32,'交易记录'!$Y$5:$Y$304,"已平仓")=0,"",SUMIFS('交易记录'!$AC$5:$AC$304,'交易记录'!$S$5:$S$304,A32,'交易记录'!$Y$5:$Y$304,"已平仓")))</f>
        <v/>
      </c>
      <c r="I32" s="40" t="str">
        <f>IF(NOT(ISNUMBER(H32)),"",IF(H32&lt;=-'参数'!$C$8,"触及停手线",""))</f>
        <v/>
      </c>
      <c r="J32" s="31" t="n"/>
      <c r="K32" s="31" t="n"/>
    </row>
    <row r="33">
      <c r="A33" s="30" t="n"/>
      <c r="B33" s="40" t="str">
        <f>IF(ISNUMBER(A33),"周"&amp;CHOOSE(WEEKDAY(A33,2),"一","二","三","四","五","六","日"),"")</f>
        <v/>
      </c>
      <c r="C33" s="32" t="n"/>
      <c r="D33" s="29" t="n"/>
      <c r="E33" s="47" t="str">
        <f>IF(ISNUMBER(A33),COUNTIFS('交易记录'!$B$5:$B$304,A33,'交易记录'!$Q$5:$Q$304,"已执行"),"")</f>
        <v/>
      </c>
      <c r="F33" s="31" t="n"/>
      <c r="G33" s="29" t="n"/>
      <c r="H33" s="48" t="str">
        <f>IF(NOT(ISNUMBER(A33)),"",IF(COUNTIFS('交易记录'!$S$5:$S$304,A33,'交易记录'!$Y$5:$Y$304,"已平仓")=0,"",SUMIFS('交易记录'!$AC$5:$AC$304,'交易记录'!$S$5:$S$304,A33,'交易记录'!$Y$5:$Y$304,"已平仓")))</f>
        <v/>
      </c>
      <c r="I33" s="40" t="str">
        <f>IF(NOT(ISNUMBER(H33)),"",IF(H33&lt;=-'参数'!$C$8,"触及停手线",""))</f>
        <v/>
      </c>
      <c r="J33" s="31" t="n"/>
      <c r="K33" s="31" t="n"/>
    </row>
    <row r="34">
      <c r="A34" s="30" t="n"/>
      <c r="B34" s="40" t="str">
        <f>IF(ISNUMBER(A34),"周"&amp;CHOOSE(WEEKDAY(A34,2),"一","二","三","四","五","六","日"),"")</f>
        <v/>
      </c>
      <c r="C34" s="32" t="n"/>
      <c r="D34" s="29" t="n"/>
      <c r="E34" s="47" t="str">
        <f>IF(ISNUMBER(A34),COUNTIFS('交易记录'!$B$5:$B$304,A34,'交易记录'!$Q$5:$Q$304,"已执行"),"")</f>
        <v/>
      </c>
      <c r="F34" s="31" t="n"/>
      <c r="G34" s="29" t="n"/>
      <c r="H34" s="48" t="str">
        <f>IF(NOT(ISNUMBER(A34)),"",IF(COUNTIFS('交易记录'!$S$5:$S$304,A34,'交易记录'!$Y$5:$Y$304,"已平仓")=0,"",SUMIFS('交易记录'!$AC$5:$AC$304,'交易记录'!$S$5:$S$304,A34,'交易记录'!$Y$5:$Y$304,"已平仓")))</f>
        <v/>
      </c>
      <c r="I34" s="40" t="str">
        <f>IF(NOT(ISNUMBER(H34)),"",IF(H34&lt;=-'参数'!$C$8,"触及停手线",""))</f>
        <v/>
      </c>
      <c r="J34" s="31" t="n"/>
      <c r="K34" s="31" t="n"/>
    </row>
    <row r="35">
      <c r="A35" s="30" t="n"/>
      <c r="B35" s="40" t="str">
        <f>IF(ISNUMBER(A35),"周"&amp;CHOOSE(WEEKDAY(A35,2),"一","二","三","四","五","六","日"),"")</f>
        <v/>
      </c>
      <c r="C35" s="32" t="n"/>
      <c r="D35" s="29" t="n"/>
      <c r="E35" s="47" t="str">
        <f>IF(ISNUMBER(A35),COUNTIFS('交易记录'!$B$5:$B$304,A35,'交易记录'!$Q$5:$Q$304,"已执行"),"")</f>
        <v/>
      </c>
      <c r="F35" s="31" t="n"/>
      <c r="G35" s="29" t="n"/>
      <c r="H35" s="48" t="str">
        <f>IF(NOT(ISNUMBER(A35)),"",IF(COUNTIFS('交易记录'!$S$5:$S$304,A35,'交易记录'!$Y$5:$Y$304,"已平仓")=0,"",SUMIFS('交易记录'!$AC$5:$AC$304,'交易记录'!$S$5:$S$304,A35,'交易记录'!$Y$5:$Y$304,"已平仓")))</f>
        <v/>
      </c>
      <c r="I35" s="40" t="str">
        <f>IF(NOT(ISNUMBER(H35)),"",IF(H35&lt;=-'参数'!$C$8,"触及停手线",""))</f>
        <v/>
      </c>
      <c r="J35" s="31" t="n"/>
      <c r="K35" s="31" t="n"/>
    </row>
    <row r="36">
      <c r="A36" s="30" t="n"/>
      <c r="B36" s="40" t="str">
        <f>IF(ISNUMBER(A36),"周"&amp;CHOOSE(WEEKDAY(A36,2),"一","二","三","四","五","六","日"),"")</f>
        <v/>
      </c>
      <c r="C36" s="32" t="n"/>
      <c r="D36" s="29" t="n"/>
      <c r="E36" s="47" t="str">
        <f>IF(ISNUMBER(A36),COUNTIFS('交易记录'!$B$5:$B$304,A36,'交易记录'!$Q$5:$Q$304,"已执行"),"")</f>
        <v/>
      </c>
      <c r="F36" s="31" t="n"/>
      <c r="G36" s="29" t="n"/>
      <c r="H36" s="48" t="str">
        <f>IF(NOT(ISNUMBER(A36)),"",IF(COUNTIFS('交易记录'!$S$5:$S$304,A36,'交易记录'!$Y$5:$Y$304,"已平仓")=0,"",SUMIFS('交易记录'!$AC$5:$AC$304,'交易记录'!$S$5:$S$304,A36,'交易记录'!$Y$5:$Y$304,"已平仓")))</f>
        <v/>
      </c>
      <c r="I36" s="40" t="str">
        <f>IF(NOT(ISNUMBER(H36)),"",IF(H36&lt;=-'参数'!$C$8,"触及停手线",""))</f>
        <v/>
      </c>
      <c r="J36" s="31" t="n"/>
      <c r="K36" s="31" t="n"/>
    </row>
    <row r="37">
      <c r="A37" s="30" t="n"/>
      <c r="B37" s="40" t="str">
        <f>IF(ISNUMBER(A37),"周"&amp;CHOOSE(WEEKDAY(A37,2),"一","二","三","四","五","六","日"),"")</f>
        <v/>
      </c>
      <c r="C37" s="32" t="n"/>
      <c r="D37" s="29" t="n"/>
      <c r="E37" s="47" t="str">
        <f>IF(ISNUMBER(A37),COUNTIFS('交易记录'!$B$5:$B$304,A37,'交易记录'!$Q$5:$Q$304,"已执行"),"")</f>
        <v/>
      </c>
      <c r="F37" s="31" t="n"/>
      <c r="G37" s="29" t="n"/>
      <c r="H37" s="48" t="str">
        <f>IF(NOT(ISNUMBER(A37)),"",IF(COUNTIFS('交易记录'!$S$5:$S$304,A37,'交易记录'!$Y$5:$Y$304,"已平仓")=0,"",SUMIFS('交易记录'!$AC$5:$AC$304,'交易记录'!$S$5:$S$304,A37,'交易记录'!$Y$5:$Y$304,"已平仓")))</f>
        <v/>
      </c>
      <c r="I37" s="40" t="str">
        <f>IF(NOT(ISNUMBER(H37)),"",IF(H37&lt;=-'参数'!$C$8,"触及停手线",""))</f>
        <v/>
      </c>
      <c r="J37" s="31" t="n"/>
      <c r="K37" s="31" t="n"/>
    </row>
    <row r="38">
      <c r="A38" s="30" t="n"/>
      <c r="B38" s="40" t="str">
        <f>IF(ISNUMBER(A38),"周"&amp;CHOOSE(WEEKDAY(A38,2),"一","二","三","四","五","六","日"),"")</f>
        <v/>
      </c>
      <c r="C38" s="32" t="n"/>
      <c r="D38" s="29" t="n"/>
      <c r="E38" s="47" t="str">
        <f>IF(ISNUMBER(A38),COUNTIFS('交易记录'!$B$5:$B$304,A38,'交易记录'!$Q$5:$Q$304,"已执行"),"")</f>
        <v/>
      </c>
      <c r="F38" s="31" t="n"/>
      <c r="G38" s="29" t="n"/>
      <c r="H38" s="48" t="str">
        <f>IF(NOT(ISNUMBER(A38)),"",IF(COUNTIFS('交易记录'!$S$5:$S$304,A38,'交易记录'!$Y$5:$Y$304,"已平仓")=0,"",SUMIFS('交易记录'!$AC$5:$AC$304,'交易记录'!$S$5:$S$304,A38,'交易记录'!$Y$5:$Y$304,"已平仓")))</f>
        <v/>
      </c>
      <c r="I38" s="40" t="str">
        <f>IF(NOT(ISNUMBER(H38)),"",IF(H38&lt;=-'参数'!$C$8,"触及停手线",""))</f>
        <v/>
      </c>
      <c r="J38" s="31" t="n"/>
      <c r="K38" s="31" t="n"/>
    </row>
    <row r="39">
      <c r="A39" s="30" t="n"/>
      <c r="B39" s="40" t="str">
        <f>IF(ISNUMBER(A39),"周"&amp;CHOOSE(WEEKDAY(A39,2),"一","二","三","四","五","六","日"),"")</f>
        <v/>
      </c>
      <c r="C39" s="32" t="n"/>
      <c r="D39" s="29" t="n"/>
      <c r="E39" s="47" t="str">
        <f>IF(ISNUMBER(A39),COUNTIFS('交易记录'!$B$5:$B$304,A39,'交易记录'!$Q$5:$Q$304,"已执行"),"")</f>
        <v/>
      </c>
      <c r="F39" s="31" t="n"/>
      <c r="G39" s="29" t="n"/>
      <c r="H39" s="48" t="str">
        <f>IF(NOT(ISNUMBER(A39)),"",IF(COUNTIFS('交易记录'!$S$5:$S$304,A39,'交易记录'!$Y$5:$Y$304,"已平仓")=0,"",SUMIFS('交易记录'!$AC$5:$AC$304,'交易记录'!$S$5:$S$304,A39,'交易记录'!$Y$5:$Y$304,"已平仓")))</f>
        <v/>
      </c>
      <c r="I39" s="40" t="str">
        <f>IF(NOT(ISNUMBER(H39)),"",IF(H39&lt;=-'参数'!$C$8,"触及停手线",""))</f>
        <v/>
      </c>
      <c r="J39" s="31" t="n"/>
      <c r="K39" s="31" t="n"/>
    </row>
    <row r="40">
      <c r="A40" s="30" t="n"/>
      <c r="B40" s="40" t="str">
        <f>IF(ISNUMBER(A40),"周"&amp;CHOOSE(WEEKDAY(A40,2),"一","二","三","四","五","六","日"),"")</f>
        <v/>
      </c>
      <c r="C40" s="32" t="n"/>
      <c r="D40" s="29" t="n"/>
      <c r="E40" s="47" t="str">
        <f>IF(ISNUMBER(A40),COUNTIFS('交易记录'!$B$5:$B$304,A40,'交易记录'!$Q$5:$Q$304,"已执行"),"")</f>
        <v/>
      </c>
      <c r="F40" s="31" t="n"/>
      <c r="G40" s="29" t="n"/>
      <c r="H40" s="48" t="str">
        <f>IF(NOT(ISNUMBER(A40)),"",IF(COUNTIFS('交易记录'!$S$5:$S$304,A40,'交易记录'!$Y$5:$Y$304,"已平仓")=0,"",SUMIFS('交易记录'!$AC$5:$AC$304,'交易记录'!$S$5:$S$304,A40,'交易记录'!$Y$5:$Y$304,"已平仓")))</f>
        <v/>
      </c>
      <c r="I40" s="40" t="str">
        <f>IF(NOT(ISNUMBER(H40)),"",IF(H40&lt;=-'参数'!$C$8,"触及停手线",""))</f>
        <v/>
      </c>
      <c r="J40" s="31" t="n"/>
      <c r="K40" s="31" t="n"/>
    </row>
    <row r="41">
      <c r="A41" s="30" t="n"/>
      <c r="B41" s="40" t="str">
        <f>IF(ISNUMBER(A41),"周"&amp;CHOOSE(WEEKDAY(A41,2),"一","二","三","四","五","六","日"),"")</f>
        <v/>
      </c>
      <c r="C41" s="32" t="n"/>
      <c r="D41" s="29" t="n"/>
      <c r="E41" s="47" t="str">
        <f>IF(ISNUMBER(A41),COUNTIFS('交易记录'!$B$5:$B$304,A41,'交易记录'!$Q$5:$Q$304,"已执行"),"")</f>
        <v/>
      </c>
      <c r="F41" s="31" t="n"/>
      <c r="G41" s="29" t="n"/>
      <c r="H41" s="48" t="str">
        <f>IF(NOT(ISNUMBER(A41)),"",IF(COUNTIFS('交易记录'!$S$5:$S$304,A41,'交易记录'!$Y$5:$Y$304,"已平仓")=0,"",SUMIFS('交易记录'!$AC$5:$AC$304,'交易记录'!$S$5:$S$304,A41,'交易记录'!$Y$5:$Y$304,"已平仓")))</f>
        <v/>
      </c>
      <c r="I41" s="40" t="str">
        <f>IF(NOT(ISNUMBER(H41)),"",IF(H41&lt;=-'参数'!$C$8,"触及停手线",""))</f>
        <v/>
      </c>
      <c r="J41" s="31" t="n"/>
      <c r="K41" s="31" t="n"/>
    </row>
    <row r="42">
      <c r="A42" s="30" t="n"/>
      <c r="B42" s="40" t="str">
        <f>IF(ISNUMBER(A42),"周"&amp;CHOOSE(WEEKDAY(A42,2),"一","二","三","四","五","六","日"),"")</f>
        <v/>
      </c>
      <c r="C42" s="32" t="n"/>
      <c r="D42" s="29" t="n"/>
      <c r="E42" s="47" t="str">
        <f>IF(ISNUMBER(A42),COUNTIFS('交易记录'!$B$5:$B$304,A42,'交易记录'!$Q$5:$Q$304,"已执行"),"")</f>
        <v/>
      </c>
      <c r="F42" s="31" t="n"/>
      <c r="G42" s="29" t="n"/>
      <c r="H42" s="48" t="str">
        <f>IF(NOT(ISNUMBER(A42)),"",IF(COUNTIFS('交易记录'!$S$5:$S$304,A42,'交易记录'!$Y$5:$Y$304,"已平仓")=0,"",SUMIFS('交易记录'!$AC$5:$AC$304,'交易记录'!$S$5:$S$304,A42,'交易记录'!$Y$5:$Y$304,"已平仓")))</f>
        <v/>
      </c>
      <c r="I42" s="40" t="str">
        <f>IF(NOT(ISNUMBER(H42)),"",IF(H42&lt;=-'参数'!$C$8,"触及停手线",""))</f>
        <v/>
      </c>
      <c r="J42" s="31" t="n"/>
      <c r="K42" s="31" t="n"/>
    </row>
    <row r="43">
      <c r="A43" s="30" t="n"/>
      <c r="B43" s="40" t="str">
        <f>IF(ISNUMBER(A43),"周"&amp;CHOOSE(WEEKDAY(A43,2),"一","二","三","四","五","六","日"),"")</f>
        <v/>
      </c>
      <c r="C43" s="32" t="n"/>
      <c r="D43" s="29" t="n"/>
      <c r="E43" s="47" t="str">
        <f>IF(ISNUMBER(A43),COUNTIFS('交易记录'!$B$5:$B$304,A43,'交易记录'!$Q$5:$Q$304,"已执行"),"")</f>
        <v/>
      </c>
      <c r="F43" s="31" t="n"/>
      <c r="G43" s="29" t="n"/>
      <c r="H43" s="48" t="str">
        <f>IF(NOT(ISNUMBER(A43)),"",IF(COUNTIFS('交易记录'!$S$5:$S$304,A43,'交易记录'!$Y$5:$Y$304,"已平仓")=0,"",SUMIFS('交易记录'!$AC$5:$AC$304,'交易记录'!$S$5:$S$304,A43,'交易记录'!$Y$5:$Y$304,"已平仓")))</f>
        <v/>
      </c>
      <c r="I43" s="40" t="str">
        <f>IF(NOT(ISNUMBER(H43)),"",IF(H43&lt;=-'参数'!$C$8,"触及停手线",""))</f>
        <v/>
      </c>
      <c r="J43" s="31" t="n"/>
      <c r="K43" s="31" t="n"/>
    </row>
    <row r="44">
      <c r="A44" s="30" t="n"/>
      <c r="B44" s="40" t="str">
        <f>IF(ISNUMBER(A44),"周"&amp;CHOOSE(WEEKDAY(A44,2),"一","二","三","四","五","六","日"),"")</f>
        <v/>
      </c>
      <c r="C44" s="32" t="n"/>
      <c r="D44" s="29" t="n"/>
      <c r="E44" s="47" t="str">
        <f>IF(ISNUMBER(A44),COUNTIFS('交易记录'!$B$5:$B$304,A44,'交易记录'!$Q$5:$Q$304,"已执行"),"")</f>
        <v/>
      </c>
      <c r="F44" s="31" t="n"/>
      <c r="G44" s="29" t="n"/>
      <c r="H44" s="48" t="str">
        <f>IF(NOT(ISNUMBER(A44)),"",IF(COUNTIFS('交易记录'!$S$5:$S$304,A44,'交易记录'!$Y$5:$Y$304,"已平仓")=0,"",SUMIFS('交易记录'!$AC$5:$AC$304,'交易记录'!$S$5:$S$304,A44,'交易记录'!$Y$5:$Y$304,"已平仓")))</f>
        <v/>
      </c>
      <c r="I44" s="40" t="str">
        <f>IF(NOT(ISNUMBER(H44)),"",IF(H44&lt;=-'参数'!$C$8,"触及停手线",""))</f>
        <v/>
      </c>
      <c r="J44" s="31" t="n"/>
      <c r="K44" s="31" t="n"/>
    </row>
    <row r="45">
      <c r="A45" s="30" t="n"/>
      <c r="B45" s="40" t="str">
        <f>IF(ISNUMBER(A45),"周"&amp;CHOOSE(WEEKDAY(A45,2),"一","二","三","四","五","六","日"),"")</f>
        <v/>
      </c>
      <c r="C45" s="32" t="n"/>
      <c r="D45" s="29" t="n"/>
      <c r="E45" s="47" t="str">
        <f>IF(ISNUMBER(A45),COUNTIFS('交易记录'!$B$5:$B$304,A45,'交易记录'!$Q$5:$Q$304,"已执行"),"")</f>
        <v/>
      </c>
      <c r="F45" s="31" t="n"/>
      <c r="G45" s="29" t="n"/>
      <c r="H45" s="48" t="str">
        <f>IF(NOT(ISNUMBER(A45)),"",IF(COUNTIFS('交易记录'!$S$5:$S$304,A45,'交易记录'!$Y$5:$Y$304,"已平仓")=0,"",SUMIFS('交易记录'!$AC$5:$AC$304,'交易记录'!$S$5:$S$304,A45,'交易记录'!$Y$5:$Y$304,"已平仓")))</f>
        <v/>
      </c>
      <c r="I45" s="40" t="str">
        <f>IF(NOT(ISNUMBER(H45)),"",IF(H45&lt;=-'参数'!$C$8,"触及停手线",""))</f>
        <v/>
      </c>
      <c r="J45" s="31" t="n"/>
      <c r="K45" s="31" t="n"/>
    </row>
    <row r="46">
      <c r="A46" s="30" t="n"/>
      <c r="B46" s="40" t="str">
        <f>IF(ISNUMBER(A46),"周"&amp;CHOOSE(WEEKDAY(A46,2),"一","二","三","四","五","六","日"),"")</f>
        <v/>
      </c>
      <c r="C46" s="32" t="n"/>
      <c r="D46" s="29" t="n"/>
      <c r="E46" s="47" t="str">
        <f>IF(ISNUMBER(A46),COUNTIFS('交易记录'!$B$5:$B$304,A46,'交易记录'!$Q$5:$Q$304,"已执行"),"")</f>
        <v/>
      </c>
      <c r="F46" s="31" t="n"/>
      <c r="G46" s="29" t="n"/>
      <c r="H46" s="48" t="str">
        <f>IF(NOT(ISNUMBER(A46)),"",IF(COUNTIFS('交易记录'!$S$5:$S$304,A46,'交易记录'!$Y$5:$Y$304,"已平仓")=0,"",SUMIFS('交易记录'!$AC$5:$AC$304,'交易记录'!$S$5:$S$304,A46,'交易记录'!$Y$5:$Y$304,"已平仓")))</f>
        <v/>
      </c>
      <c r="I46" s="40" t="str">
        <f>IF(NOT(ISNUMBER(H46)),"",IF(H46&lt;=-'参数'!$C$8,"触及停手线",""))</f>
        <v/>
      </c>
      <c r="J46" s="31" t="n"/>
      <c r="K46" s="31" t="n"/>
    </row>
    <row r="47">
      <c r="A47" s="30" t="n"/>
      <c r="B47" s="40" t="str">
        <f>IF(ISNUMBER(A47),"周"&amp;CHOOSE(WEEKDAY(A47,2),"一","二","三","四","五","六","日"),"")</f>
        <v/>
      </c>
      <c r="C47" s="32" t="n"/>
      <c r="D47" s="29" t="n"/>
      <c r="E47" s="47" t="str">
        <f>IF(ISNUMBER(A47),COUNTIFS('交易记录'!$B$5:$B$304,A47,'交易记录'!$Q$5:$Q$304,"已执行"),"")</f>
        <v/>
      </c>
      <c r="F47" s="31" t="n"/>
      <c r="G47" s="29" t="n"/>
      <c r="H47" s="48" t="str">
        <f>IF(NOT(ISNUMBER(A47)),"",IF(COUNTIFS('交易记录'!$S$5:$S$304,A47,'交易记录'!$Y$5:$Y$304,"已平仓")=0,"",SUMIFS('交易记录'!$AC$5:$AC$304,'交易记录'!$S$5:$S$304,A47,'交易记录'!$Y$5:$Y$304,"已平仓")))</f>
        <v/>
      </c>
      <c r="I47" s="40" t="str">
        <f>IF(NOT(ISNUMBER(H47)),"",IF(H47&lt;=-'参数'!$C$8,"触及停手线",""))</f>
        <v/>
      </c>
      <c r="J47" s="31" t="n"/>
      <c r="K47" s="31" t="n"/>
    </row>
    <row r="48">
      <c r="A48" s="30" t="n"/>
      <c r="B48" s="40" t="str">
        <f>IF(ISNUMBER(A48),"周"&amp;CHOOSE(WEEKDAY(A48,2),"一","二","三","四","五","六","日"),"")</f>
        <v/>
      </c>
      <c r="C48" s="32" t="n"/>
      <c r="D48" s="29" t="n"/>
      <c r="E48" s="47" t="str">
        <f>IF(ISNUMBER(A48),COUNTIFS('交易记录'!$B$5:$B$304,A48,'交易记录'!$Q$5:$Q$304,"已执行"),"")</f>
        <v/>
      </c>
      <c r="F48" s="31" t="n"/>
      <c r="G48" s="29" t="n"/>
      <c r="H48" s="48" t="str">
        <f>IF(NOT(ISNUMBER(A48)),"",IF(COUNTIFS('交易记录'!$S$5:$S$304,A48,'交易记录'!$Y$5:$Y$304,"已平仓")=0,"",SUMIFS('交易记录'!$AC$5:$AC$304,'交易记录'!$S$5:$S$304,A48,'交易记录'!$Y$5:$Y$304,"已平仓")))</f>
        <v/>
      </c>
      <c r="I48" s="40" t="str">
        <f>IF(NOT(ISNUMBER(H48)),"",IF(H48&lt;=-'参数'!$C$8,"触及停手线",""))</f>
        <v/>
      </c>
      <c r="J48" s="31" t="n"/>
      <c r="K48" s="31" t="n"/>
    </row>
    <row r="49">
      <c r="A49" s="30" t="n"/>
      <c r="B49" s="40" t="str">
        <f>IF(ISNUMBER(A49),"周"&amp;CHOOSE(WEEKDAY(A49,2),"一","二","三","四","五","六","日"),"")</f>
        <v/>
      </c>
      <c r="C49" s="32" t="n"/>
      <c r="D49" s="29" t="n"/>
      <c r="E49" s="47" t="str">
        <f>IF(ISNUMBER(A49),COUNTIFS('交易记录'!$B$5:$B$304,A49,'交易记录'!$Q$5:$Q$304,"已执行"),"")</f>
        <v/>
      </c>
      <c r="F49" s="31" t="n"/>
      <c r="G49" s="29" t="n"/>
      <c r="H49" s="48" t="str">
        <f>IF(NOT(ISNUMBER(A49)),"",IF(COUNTIFS('交易记录'!$S$5:$S$304,A49,'交易记录'!$Y$5:$Y$304,"已平仓")=0,"",SUMIFS('交易记录'!$AC$5:$AC$304,'交易记录'!$S$5:$S$304,A49,'交易记录'!$Y$5:$Y$304,"已平仓")))</f>
        <v/>
      </c>
      <c r="I49" s="40" t="str">
        <f>IF(NOT(ISNUMBER(H49)),"",IF(H49&lt;=-'参数'!$C$8,"触及停手线",""))</f>
        <v/>
      </c>
      <c r="J49" s="31" t="n"/>
      <c r="K49" s="31" t="n"/>
    </row>
    <row r="50">
      <c r="A50" s="30" t="n"/>
      <c r="B50" s="40" t="str">
        <f>IF(ISNUMBER(A50),"周"&amp;CHOOSE(WEEKDAY(A50,2),"一","二","三","四","五","六","日"),"")</f>
        <v/>
      </c>
      <c r="C50" s="32" t="n"/>
      <c r="D50" s="29" t="n"/>
      <c r="E50" s="47" t="str">
        <f>IF(ISNUMBER(A50),COUNTIFS('交易记录'!$B$5:$B$304,A50,'交易记录'!$Q$5:$Q$304,"已执行"),"")</f>
        <v/>
      </c>
      <c r="F50" s="31" t="n"/>
      <c r="G50" s="29" t="n"/>
      <c r="H50" s="48" t="str">
        <f>IF(NOT(ISNUMBER(A50)),"",IF(COUNTIFS('交易记录'!$S$5:$S$304,A50,'交易记录'!$Y$5:$Y$304,"已平仓")=0,"",SUMIFS('交易记录'!$AC$5:$AC$304,'交易记录'!$S$5:$S$304,A50,'交易记录'!$Y$5:$Y$304,"已平仓")))</f>
        <v/>
      </c>
      <c r="I50" s="40" t="str">
        <f>IF(NOT(ISNUMBER(H50)),"",IF(H50&lt;=-'参数'!$C$8,"触及停手线",""))</f>
        <v/>
      </c>
      <c r="J50" s="31" t="n"/>
      <c r="K50" s="31" t="n"/>
    </row>
    <row r="51">
      <c r="A51" s="30" t="n"/>
      <c r="B51" s="40" t="str">
        <f>IF(ISNUMBER(A51),"周"&amp;CHOOSE(WEEKDAY(A51,2),"一","二","三","四","五","六","日"),"")</f>
        <v/>
      </c>
      <c r="C51" s="32" t="n"/>
      <c r="D51" s="29" t="n"/>
      <c r="E51" s="47" t="str">
        <f>IF(ISNUMBER(A51),COUNTIFS('交易记录'!$B$5:$B$304,A51,'交易记录'!$Q$5:$Q$304,"已执行"),"")</f>
        <v/>
      </c>
      <c r="F51" s="31" t="n"/>
      <c r="G51" s="29" t="n"/>
      <c r="H51" s="48" t="str">
        <f>IF(NOT(ISNUMBER(A51)),"",IF(COUNTIFS('交易记录'!$S$5:$S$304,A51,'交易记录'!$Y$5:$Y$304,"已平仓")=0,"",SUMIFS('交易记录'!$AC$5:$AC$304,'交易记录'!$S$5:$S$304,A51,'交易记录'!$Y$5:$Y$304,"已平仓")))</f>
        <v/>
      </c>
      <c r="I51" s="40" t="str">
        <f>IF(NOT(ISNUMBER(H51)),"",IF(H51&lt;=-'参数'!$C$8,"触及停手线",""))</f>
        <v/>
      </c>
      <c r="J51" s="31" t="n"/>
      <c r="K51" s="31" t="n"/>
    </row>
    <row r="52">
      <c r="A52" s="30" t="n"/>
      <c r="B52" s="40" t="str">
        <f>IF(ISNUMBER(A52),"周"&amp;CHOOSE(WEEKDAY(A52,2),"一","二","三","四","五","六","日"),"")</f>
        <v/>
      </c>
      <c r="C52" s="32" t="n"/>
      <c r="D52" s="29" t="n"/>
      <c r="E52" s="47" t="str">
        <f>IF(ISNUMBER(A52),COUNTIFS('交易记录'!$B$5:$B$304,A52,'交易记录'!$Q$5:$Q$304,"已执行"),"")</f>
        <v/>
      </c>
      <c r="F52" s="31" t="n"/>
      <c r="G52" s="29" t="n"/>
      <c r="H52" s="48" t="str">
        <f>IF(NOT(ISNUMBER(A52)),"",IF(COUNTIFS('交易记录'!$S$5:$S$304,A52,'交易记录'!$Y$5:$Y$304,"已平仓")=0,"",SUMIFS('交易记录'!$AC$5:$AC$304,'交易记录'!$S$5:$S$304,A52,'交易记录'!$Y$5:$Y$304,"已平仓")))</f>
        <v/>
      </c>
      <c r="I52" s="40" t="str">
        <f>IF(NOT(ISNUMBER(H52)),"",IF(H52&lt;=-'参数'!$C$8,"触及停手线",""))</f>
        <v/>
      </c>
      <c r="J52" s="31" t="n"/>
      <c r="K52" s="31" t="n"/>
    </row>
    <row r="53">
      <c r="A53" s="30" t="n"/>
      <c r="B53" s="40" t="str">
        <f>IF(ISNUMBER(A53),"周"&amp;CHOOSE(WEEKDAY(A53,2),"一","二","三","四","五","六","日"),"")</f>
        <v/>
      </c>
      <c r="C53" s="32" t="n"/>
      <c r="D53" s="29" t="n"/>
      <c r="E53" s="47" t="str">
        <f>IF(ISNUMBER(A53),COUNTIFS('交易记录'!$B$5:$B$304,A53,'交易记录'!$Q$5:$Q$304,"已执行"),"")</f>
        <v/>
      </c>
      <c r="F53" s="31" t="n"/>
      <c r="G53" s="29" t="n"/>
      <c r="H53" s="48" t="str">
        <f>IF(NOT(ISNUMBER(A53)),"",IF(COUNTIFS('交易记录'!$S$5:$S$304,A53,'交易记录'!$Y$5:$Y$304,"已平仓")=0,"",SUMIFS('交易记录'!$AC$5:$AC$304,'交易记录'!$S$5:$S$304,A53,'交易记录'!$Y$5:$Y$304,"已平仓")))</f>
        <v/>
      </c>
      <c r="I53" s="40" t="str">
        <f>IF(NOT(ISNUMBER(H53)),"",IF(H53&lt;=-'参数'!$C$8,"触及停手线",""))</f>
        <v/>
      </c>
      <c r="J53" s="31" t="n"/>
      <c r="K53" s="31" t="n"/>
    </row>
    <row r="54">
      <c r="A54" s="30" t="n"/>
      <c r="B54" s="40" t="str">
        <f>IF(ISNUMBER(A54),"周"&amp;CHOOSE(WEEKDAY(A54,2),"一","二","三","四","五","六","日"),"")</f>
        <v/>
      </c>
      <c r="C54" s="32" t="n"/>
      <c r="D54" s="29" t="n"/>
      <c r="E54" s="47" t="str">
        <f>IF(ISNUMBER(A54),COUNTIFS('交易记录'!$B$5:$B$304,A54,'交易记录'!$Q$5:$Q$304,"已执行"),"")</f>
        <v/>
      </c>
      <c r="F54" s="31" t="n"/>
      <c r="G54" s="29" t="n"/>
      <c r="H54" s="48" t="str">
        <f>IF(NOT(ISNUMBER(A54)),"",IF(COUNTIFS('交易记录'!$S$5:$S$304,A54,'交易记录'!$Y$5:$Y$304,"已平仓")=0,"",SUMIFS('交易记录'!$AC$5:$AC$304,'交易记录'!$S$5:$S$304,A54,'交易记录'!$Y$5:$Y$304,"已平仓")))</f>
        <v/>
      </c>
      <c r="I54" s="40" t="str">
        <f>IF(NOT(ISNUMBER(H54)),"",IF(H54&lt;=-'参数'!$C$8,"触及停手线",""))</f>
        <v/>
      </c>
      <c r="J54" s="31" t="n"/>
      <c r="K54" s="31" t="n"/>
    </row>
    <row r="55">
      <c r="A55" s="30" t="n"/>
      <c r="B55" s="40" t="str">
        <f>IF(ISNUMBER(A55),"周"&amp;CHOOSE(WEEKDAY(A55,2),"一","二","三","四","五","六","日"),"")</f>
        <v/>
      </c>
      <c r="C55" s="32" t="n"/>
      <c r="D55" s="29" t="n"/>
      <c r="E55" s="47" t="str">
        <f>IF(ISNUMBER(A55),COUNTIFS('交易记录'!$B$5:$B$304,A55,'交易记录'!$Q$5:$Q$304,"已执行"),"")</f>
        <v/>
      </c>
      <c r="F55" s="31" t="n"/>
      <c r="G55" s="29" t="n"/>
      <c r="H55" s="48" t="str">
        <f>IF(NOT(ISNUMBER(A55)),"",IF(COUNTIFS('交易记录'!$S$5:$S$304,A55,'交易记录'!$Y$5:$Y$304,"已平仓")=0,"",SUMIFS('交易记录'!$AC$5:$AC$304,'交易记录'!$S$5:$S$304,A55,'交易记录'!$Y$5:$Y$304,"已平仓")))</f>
        <v/>
      </c>
      <c r="I55" s="40" t="str">
        <f>IF(NOT(ISNUMBER(H55)),"",IF(H55&lt;=-'参数'!$C$8,"触及停手线",""))</f>
        <v/>
      </c>
      <c r="J55" s="31" t="n"/>
      <c r="K55" s="31" t="n"/>
    </row>
    <row r="56">
      <c r="A56" s="30" t="n"/>
      <c r="B56" s="40" t="str">
        <f>IF(ISNUMBER(A56),"周"&amp;CHOOSE(WEEKDAY(A56,2),"一","二","三","四","五","六","日"),"")</f>
        <v/>
      </c>
      <c r="C56" s="32" t="n"/>
      <c r="D56" s="29" t="n"/>
      <c r="E56" s="47" t="str">
        <f>IF(ISNUMBER(A56),COUNTIFS('交易记录'!$B$5:$B$304,A56,'交易记录'!$Q$5:$Q$304,"已执行"),"")</f>
        <v/>
      </c>
      <c r="F56" s="31" t="n"/>
      <c r="G56" s="29" t="n"/>
      <c r="H56" s="48" t="str">
        <f>IF(NOT(ISNUMBER(A56)),"",IF(COUNTIFS('交易记录'!$S$5:$S$304,A56,'交易记录'!$Y$5:$Y$304,"已平仓")=0,"",SUMIFS('交易记录'!$AC$5:$AC$304,'交易记录'!$S$5:$S$304,A56,'交易记录'!$Y$5:$Y$304,"已平仓")))</f>
        <v/>
      </c>
      <c r="I56" s="40" t="str">
        <f>IF(NOT(ISNUMBER(H56)),"",IF(H56&lt;=-'参数'!$C$8,"触及停手线",""))</f>
        <v/>
      </c>
      <c r="J56" s="31" t="n"/>
      <c r="K56" s="31" t="n"/>
    </row>
    <row r="57">
      <c r="A57" s="30" t="n"/>
      <c r="B57" s="40" t="str">
        <f>IF(ISNUMBER(A57),"周"&amp;CHOOSE(WEEKDAY(A57,2),"一","二","三","四","五","六","日"),"")</f>
        <v/>
      </c>
      <c r="C57" s="32" t="n"/>
      <c r="D57" s="29" t="n"/>
      <c r="E57" s="47" t="str">
        <f>IF(ISNUMBER(A57),COUNTIFS('交易记录'!$B$5:$B$304,A57,'交易记录'!$Q$5:$Q$304,"已执行"),"")</f>
        <v/>
      </c>
      <c r="F57" s="31" t="n"/>
      <c r="G57" s="29" t="n"/>
      <c r="H57" s="48" t="str">
        <f>IF(NOT(ISNUMBER(A57)),"",IF(COUNTIFS('交易记录'!$S$5:$S$304,A57,'交易记录'!$Y$5:$Y$304,"已平仓")=0,"",SUMIFS('交易记录'!$AC$5:$AC$304,'交易记录'!$S$5:$S$304,A57,'交易记录'!$Y$5:$Y$304,"已平仓")))</f>
        <v/>
      </c>
      <c r="I57" s="40" t="str">
        <f>IF(NOT(ISNUMBER(H57)),"",IF(H57&lt;=-'参数'!$C$8,"触及停手线",""))</f>
        <v/>
      </c>
      <c r="J57" s="31" t="n"/>
      <c r="K57" s="31" t="n"/>
    </row>
    <row r="58">
      <c r="A58" s="30" t="n"/>
      <c r="B58" s="40" t="str">
        <f>IF(ISNUMBER(A58),"周"&amp;CHOOSE(WEEKDAY(A58,2),"一","二","三","四","五","六","日"),"")</f>
        <v/>
      </c>
      <c r="C58" s="32" t="n"/>
      <c r="D58" s="29" t="n"/>
      <c r="E58" s="47" t="str">
        <f>IF(ISNUMBER(A58),COUNTIFS('交易记录'!$B$5:$B$304,A58,'交易记录'!$Q$5:$Q$304,"已执行"),"")</f>
        <v/>
      </c>
      <c r="F58" s="31" t="n"/>
      <c r="G58" s="29" t="n"/>
      <c r="H58" s="48" t="str">
        <f>IF(NOT(ISNUMBER(A58)),"",IF(COUNTIFS('交易记录'!$S$5:$S$304,A58,'交易记录'!$Y$5:$Y$304,"已平仓")=0,"",SUMIFS('交易记录'!$AC$5:$AC$304,'交易记录'!$S$5:$S$304,A58,'交易记录'!$Y$5:$Y$304,"已平仓")))</f>
        <v/>
      </c>
      <c r="I58" s="40" t="str">
        <f>IF(NOT(ISNUMBER(H58)),"",IF(H58&lt;=-'参数'!$C$8,"触及停手线",""))</f>
        <v/>
      </c>
      <c r="J58" s="31" t="n"/>
      <c r="K58" s="31" t="n"/>
    </row>
    <row r="59">
      <c r="A59" s="30" t="n"/>
      <c r="B59" s="40" t="str">
        <f>IF(ISNUMBER(A59),"周"&amp;CHOOSE(WEEKDAY(A59,2),"一","二","三","四","五","六","日"),"")</f>
        <v/>
      </c>
      <c r="C59" s="32" t="n"/>
      <c r="D59" s="29" t="n"/>
      <c r="E59" s="47" t="str">
        <f>IF(ISNUMBER(A59),COUNTIFS('交易记录'!$B$5:$B$304,A59,'交易记录'!$Q$5:$Q$304,"已执行"),"")</f>
        <v/>
      </c>
      <c r="F59" s="31" t="n"/>
      <c r="G59" s="29" t="n"/>
      <c r="H59" s="48" t="str">
        <f>IF(NOT(ISNUMBER(A59)),"",IF(COUNTIFS('交易记录'!$S$5:$S$304,A59,'交易记录'!$Y$5:$Y$304,"已平仓")=0,"",SUMIFS('交易记录'!$AC$5:$AC$304,'交易记录'!$S$5:$S$304,A59,'交易记录'!$Y$5:$Y$304,"已平仓")))</f>
        <v/>
      </c>
      <c r="I59" s="40" t="str">
        <f>IF(NOT(ISNUMBER(H59)),"",IF(H59&lt;=-'参数'!$C$8,"触及停手线",""))</f>
        <v/>
      </c>
      <c r="J59" s="31" t="n"/>
      <c r="K59" s="31" t="n"/>
    </row>
    <row r="60">
      <c r="A60" s="30" t="n"/>
      <c r="B60" s="40" t="str">
        <f>IF(ISNUMBER(A60),"周"&amp;CHOOSE(WEEKDAY(A60,2),"一","二","三","四","五","六","日"),"")</f>
        <v/>
      </c>
      <c r="C60" s="32" t="n"/>
      <c r="D60" s="29" t="n"/>
      <c r="E60" s="47" t="str">
        <f>IF(ISNUMBER(A60),COUNTIFS('交易记录'!$B$5:$B$304,A60,'交易记录'!$Q$5:$Q$304,"已执行"),"")</f>
        <v/>
      </c>
      <c r="F60" s="31" t="n"/>
      <c r="G60" s="29" t="n"/>
      <c r="H60" s="48" t="str">
        <f>IF(NOT(ISNUMBER(A60)),"",IF(COUNTIFS('交易记录'!$S$5:$S$304,A60,'交易记录'!$Y$5:$Y$304,"已平仓")=0,"",SUMIFS('交易记录'!$AC$5:$AC$304,'交易记录'!$S$5:$S$304,A60,'交易记录'!$Y$5:$Y$304,"已平仓")))</f>
        <v/>
      </c>
      <c r="I60" s="40" t="str">
        <f>IF(NOT(ISNUMBER(H60)),"",IF(H60&lt;=-'参数'!$C$8,"触及停手线",""))</f>
        <v/>
      </c>
      <c r="J60" s="31" t="n"/>
      <c r="K60" s="31" t="n"/>
    </row>
    <row r="61">
      <c r="A61" s="30" t="n"/>
      <c r="B61" s="40" t="str">
        <f>IF(ISNUMBER(A61),"周"&amp;CHOOSE(WEEKDAY(A61,2),"一","二","三","四","五","六","日"),"")</f>
        <v/>
      </c>
      <c r="C61" s="32" t="n"/>
      <c r="D61" s="29" t="n"/>
      <c r="E61" s="47" t="str">
        <f>IF(ISNUMBER(A61),COUNTIFS('交易记录'!$B$5:$B$304,A61,'交易记录'!$Q$5:$Q$304,"已执行"),"")</f>
        <v/>
      </c>
      <c r="F61" s="31" t="n"/>
      <c r="G61" s="29" t="n"/>
      <c r="H61" s="48" t="str">
        <f>IF(NOT(ISNUMBER(A61)),"",IF(COUNTIFS('交易记录'!$S$5:$S$304,A61,'交易记录'!$Y$5:$Y$304,"已平仓")=0,"",SUMIFS('交易记录'!$AC$5:$AC$304,'交易记录'!$S$5:$S$304,A61,'交易记录'!$Y$5:$Y$304,"已平仓")))</f>
        <v/>
      </c>
      <c r="I61" s="40" t="str">
        <f>IF(NOT(ISNUMBER(H61)),"",IF(H61&lt;=-'参数'!$C$8,"触及停手线",""))</f>
        <v/>
      </c>
      <c r="J61" s="31" t="n"/>
      <c r="K61" s="31" t="n"/>
    </row>
    <row r="62">
      <c r="A62" s="30" t="n"/>
      <c r="B62" s="40" t="str">
        <f>IF(ISNUMBER(A62),"周"&amp;CHOOSE(WEEKDAY(A62,2),"一","二","三","四","五","六","日"),"")</f>
        <v/>
      </c>
      <c r="C62" s="32" t="n"/>
      <c r="D62" s="29" t="n"/>
      <c r="E62" s="47" t="str">
        <f>IF(ISNUMBER(A62),COUNTIFS('交易记录'!$B$5:$B$304,A62,'交易记录'!$Q$5:$Q$304,"已执行"),"")</f>
        <v/>
      </c>
      <c r="F62" s="31" t="n"/>
      <c r="G62" s="29" t="n"/>
      <c r="H62" s="48" t="str">
        <f>IF(NOT(ISNUMBER(A62)),"",IF(COUNTIFS('交易记录'!$S$5:$S$304,A62,'交易记录'!$Y$5:$Y$304,"已平仓")=0,"",SUMIFS('交易记录'!$AC$5:$AC$304,'交易记录'!$S$5:$S$304,A62,'交易记录'!$Y$5:$Y$304,"已平仓")))</f>
        <v/>
      </c>
      <c r="I62" s="40" t="str">
        <f>IF(NOT(ISNUMBER(H62)),"",IF(H62&lt;=-'参数'!$C$8,"触及停手线",""))</f>
        <v/>
      </c>
      <c r="J62" s="31" t="n"/>
      <c r="K62" s="31" t="n"/>
    </row>
    <row r="63">
      <c r="A63" s="30" t="n"/>
      <c r="B63" s="40" t="str">
        <f>IF(ISNUMBER(A63),"周"&amp;CHOOSE(WEEKDAY(A63,2),"一","二","三","四","五","六","日"),"")</f>
        <v/>
      </c>
      <c r="C63" s="32" t="n"/>
      <c r="D63" s="29" t="n"/>
      <c r="E63" s="47" t="str">
        <f>IF(ISNUMBER(A63),COUNTIFS('交易记录'!$B$5:$B$304,A63,'交易记录'!$Q$5:$Q$304,"已执行"),"")</f>
        <v/>
      </c>
      <c r="F63" s="31" t="n"/>
      <c r="G63" s="29" t="n"/>
      <c r="H63" s="48" t="str">
        <f>IF(NOT(ISNUMBER(A63)),"",IF(COUNTIFS('交易记录'!$S$5:$S$304,A63,'交易记录'!$Y$5:$Y$304,"已平仓")=0,"",SUMIFS('交易记录'!$AC$5:$AC$304,'交易记录'!$S$5:$S$304,A63,'交易记录'!$Y$5:$Y$304,"已平仓")))</f>
        <v/>
      </c>
      <c r="I63" s="40" t="str">
        <f>IF(NOT(ISNUMBER(H63)),"",IF(H63&lt;=-'参数'!$C$8,"触及停手线",""))</f>
        <v/>
      </c>
      <c r="J63" s="31" t="n"/>
      <c r="K63" s="31" t="n"/>
    </row>
    <row r="64">
      <c r="A64" s="30" t="n"/>
      <c r="B64" s="40" t="str">
        <f>IF(ISNUMBER(A64),"周"&amp;CHOOSE(WEEKDAY(A64,2),"一","二","三","四","五","六","日"),"")</f>
        <v/>
      </c>
      <c r="C64" s="32" t="n"/>
      <c r="D64" s="29" t="n"/>
      <c r="E64" s="47" t="str">
        <f>IF(ISNUMBER(A64),COUNTIFS('交易记录'!$B$5:$B$304,A64,'交易记录'!$Q$5:$Q$304,"已执行"),"")</f>
        <v/>
      </c>
      <c r="F64" s="31" t="n"/>
      <c r="G64" s="29" t="n"/>
      <c r="H64" s="48" t="str">
        <f>IF(NOT(ISNUMBER(A64)),"",IF(COUNTIFS('交易记录'!$S$5:$S$304,A64,'交易记录'!$Y$5:$Y$304,"已平仓")=0,"",SUMIFS('交易记录'!$AC$5:$AC$304,'交易记录'!$S$5:$S$304,A64,'交易记录'!$Y$5:$Y$304,"已平仓")))</f>
        <v/>
      </c>
      <c r="I64" s="40" t="str">
        <f>IF(NOT(ISNUMBER(H64)),"",IF(H64&lt;=-'参数'!$C$8,"触及停手线",""))</f>
        <v/>
      </c>
      <c r="J64" s="31" t="n"/>
      <c r="K64" s="31" t="n"/>
    </row>
    <row r="65">
      <c r="A65" s="30" t="n"/>
      <c r="B65" s="40" t="str">
        <f>IF(ISNUMBER(A65),"周"&amp;CHOOSE(WEEKDAY(A65,2),"一","二","三","四","五","六","日"),"")</f>
        <v/>
      </c>
      <c r="C65" s="32" t="n"/>
      <c r="D65" s="29" t="n"/>
      <c r="E65" s="47" t="str">
        <f>IF(ISNUMBER(A65),COUNTIFS('交易记录'!$B$5:$B$304,A65,'交易记录'!$Q$5:$Q$304,"已执行"),"")</f>
        <v/>
      </c>
      <c r="F65" s="31" t="n"/>
      <c r="G65" s="29" t="n"/>
      <c r="H65" s="48" t="str">
        <f>IF(NOT(ISNUMBER(A65)),"",IF(COUNTIFS('交易记录'!$S$5:$S$304,A65,'交易记录'!$Y$5:$Y$304,"已平仓")=0,"",SUMIFS('交易记录'!$AC$5:$AC$304,'交易记录'!$S$5:$S$304,A65,'交易记录'!$Y$5:$Y$304,"已平仓")))</f>
        <v/>
      </c>
      <c r="I65" s="40" t="str">
        <f>IF(NOT(ISNUMBER(H65)),"",IF(H65&lt;=-'参数'!$C$8,"触及停手线",""))</f>
        <v/>
      </c>
      <c r="J65" s="31" t="n"/>
      <c r="K65" s="31" t="n"/>
    </row>
    <row r="66">
      <c r="A66" s="30" t="n"/>
      <c r="B66" s="40" t="str">
        <f>IF(ISNUMBER(A66),"周"&amp;CHOOSE(WEEKDAY(A66,2),"一","二","三","四","五","六","日"),"")</f>
        <v/>
      </c>
      <c r="C66" s="32" t="n"/>
      <c r="D66" s="29" t="n"/>
      <c r="E66" s="47" t="str">
        <f>IF(ISNUMBER(A66),COUNTIFS('交易记录'!$B$5:$B$304,A66,'交易记录'!$Q$5:$Q$304,"已执行"),"")</f>
        <v/>
      </c>
      <c r="F66" s="31" t="n"/>
      <c r="G66" s="29" t="n"/>
      <c r="H66" s="48" t="str">
        <f>IF(NOT(ISNUMBER(A66)),"",IF(COUNTIFS('交易记录'!$S$5:$S$304,A66,'交易记录'!$Y$5:$Y$304,"已平仓")=0,"",SUMIFS('交易记录'!$AC$5:$AC$304,'交易记录'!$S$5:$S$304,A66,'交易记录'!$Y$5:$Y$304,"已平仓")))</f>
        <v/>
      </c>
      <c r="I66" s="40" t="str">
        <f>IF(NOT(ISNUMBER(H66)),"",IF(H66&lt;=-'参数'!$C$8,"触及停手线",""))</f>
        <v/>
      </c>
      <c r="J66" s="31" t="n"/>
      <c r="K66" s="31" t="n"/>
    </row>
    <row r="67">
      <c r="A67" s="30" t="n"/>
      <c r="B67" s="40" t="str">
        <f>IF(ISNUMBER(A67),"周"&amp;CHOOSE(WEEKDAY(A67,2),"一","二","三","四","五","六","日"),"")</f>
        <v/>
      </c>
      <c r="C67" s="32" t="n"/>
      <c r="D67" s="29" t="n"/>
      <c r="E67" s="47" t="str">
        <f>IF(ISNUMBER(A67),COUNTIFS('交易记录'!$B$5:$B$304,A67,'交易记录'!$Q$5:$Q$304,"已执行"),"")</f>
        <v/>
      </c>
      <c r="F67" s="31" t="n"/>
      <c r="G67" s="29" t="n"/>
      <c r="H67" s="48" t="str">
        <f>IF(NOT(ISNUMBER(A67)),"",IF(COUNTIFS('交易记录'!$S$5:$S$304,A67,'交易记录'!$Y$5:$Y$304,"已平仓")=0,"",SUMIFS('交易记录'!$AC$5:$AC$304,'交易记录'!$S$5:$S$304,A67,'交易记录'!$Y$5:$Y$304,"已平仓")))</f>
        <v/>
      </c>
      <c r="I67" s="40" t="str">
        <f>IF(NOT(ISNUMBER(H67)),"",IF(H67&lt;=-'参数'!$C$8,"触及停手线",""))</f>
        <v/>
      </c>
      <c r="J67" s="31" t="n"/>
      <c r="K67" s="31" t="n"/>
    </row>
    <row r="68">
      <c r="A68" s="30" t="n"/>
      <c r="B68" s="40" t="str">
        <f>IF(ISNUMBER(A68),"周"&amp;CHOOSE(WEEKDAY(A68,2),"一","二","三","四","五","六","日"),"")</f>
        <v/>
      </c>
      <c r="C68" s="32" t="n"/>
      <c r="D68" s="29" t="n"/>
      <c r="E68" s="47" t="str">
        <f>IF(ISNUMBER(A68),COUNTIFS('交易记录'!$B$5:$B$304,A68,'交易记录'!$Q$5:$Q$304,"已执行"),"")</f>
        <v/>
      </c>
      <c r="F68" s="31" t="n"/>
      <c r="G68" s="29" t="n"/>
      <c r="H68" s="48" t="str">
        <f>IF(NOT(ISNUMBER(A68)),"",IF(COUNTIFS('交易记录'!$S$5:$S$304,A68,'交易记录'!$Y$5:$Y$304,"已平仓")=0,"",SUMIFS('交易记录'!$AC$5:$AC$304,'交易记录'!$S$5:$S$304,A68,'交易记录'!$Y$5:$Y$304,"已平仓")))</f>
        <v/>
      </c>
      <c r="I68" s="40" t="str">
        <f>IF(NOT(ISNUMBER(H68)),"",IF(H68&lt;=-'参数'!$C$8,"触及停手线",""))</f>
        <v/>
      </c>
      <c r="J68" s="31" t="n"/>
      <c r="K68" s="31" t="n"/>
    </row>
    <row r="69">
      <c r="A69" s="30" t="n"/>
      <c r="B69" s="40" t="str">
        <f>IF(ISNUMBER(A69),"周"&amp;CHOOSE(WEEKDAY(A69,2),"一","二","三","四","五","六","日"),"")</f>
        <v/>
      </c>
      <c r="C69" s="32" t="n"/>
      <c r="D69" s="29" t="n"/>
      <c r="E69" s="47" t="str">
        <f>IF(ISNUMBER(A69),COUNTIFS('交易记录'!$B$5:$B$304,A69,'交易记录'!$Q$5:$Q$304,"已执行"),"")</f>
        <v/>
      </c>
      <c r="F69" s="31" t="n"/>
      <c r="G69" s="29" t="n"/>
      <c r="H69" s="48" t="str">
        <f>IF(NOT(ISNUMBER(A69)),"",IF(COUNTIFS('交易记录'!$S$5:$S$304,A69,'交易记录'!$Y$5:$Y$304,"已平仓")=0,"",SUMIFS('交易记录'!$AC$5:$AC$304,'交易记录'!$S$5:$S$304,A69,'交易记录'!$Y$5:$Y$304,"已平仓")))</f>
        <v/>
      </c>
      <c r="I69" s="40" t="str">
        <f>IF(NOT(ISNUMBER(H69)),"",IF(H69&lt;=-'参数'!$C$8,"触及停手线",""))</f>
        <v/>
      </c>
      <c r="J69" s="31" t="n"/>
      <c r="K69" s="31" t="n"/>
    </row>
    <row r="70">
      <c r="A70" s="30" t="n"/>
      <c r="B70" s="40" t="str">
        <f>IF(ISNUMBER(A70),"周"&amp;CHOOSE(WEEKDAY(A70,2),"一","二","三","四","五","六","日"),"")</f>
        <v/>
      </c>
      <c r="C70" s="32" t="n"/>
      <c r="D70" s="29" t="n"/>
      <c r="E70" s="47" t="str">
        <f>IF(ISNUMBER(A70),COUNTIFS('交易记录'!$B$5:$B$304,A70,'交易记录'!$Q$5:$Q$304,"已执行"),"")</f>
        <v/>
      </c>
      <c r="F70" s="31" t="n"/>
      <c r="G70" s="29" t="n"/>
      <c r="H70" s="48" t="str">
        <f>IF(NOT(ISNUMBER(A70)),"",IF(COUNTIFS('交易记录'!$S$5:$S$304,A70,'交易记录'!$Y$5:$Y$304,"已平仓")=0,"",SUMIFS('交易记录'!$AC$5:$AC$304,'交易记录'!$S$5:$S$304,A70,'交易记录'!$Y$5:$Y$304,"已平仓")))</f>
        <v/>
      </c>
      <c r="I70" s="40" t="str">
        <f>IF(NOT(ISNUMBER(H70)),"",IF(H70&lt;=-'参数'!$C$8,"触及停手线",""))</f>
        <v/>
      </c>
      <c r="J70" s="31" t="n"/>
      <c r="K70" s="31" t="n"/>
    </row>
    <row r="71">
      <c r="A71" s="30" t="n"/>
      <c r="B71" s="40" t="str">
        <f>IF(ISNUMBER(A71),"周"&amp;CHOOSE(WEEKDAY(A71,2),"一","二","三","四","五","六","日"),"")</f>
        <v/>
      </c>
      <c r="C71" s="32" t="n"/>
      <c r="D71" s="29" t="n"/>
      <c r="E71" s="47" t="str">
        <f>IF(ISNUMBER(A71),COUNTIFS('交易记录'!$B$5:$B$304,A71,'交易记录'!$Q$5:$Q$304,"已执行"),"")</f>
        <v/>
      </c>
      <c r="F71" s="31" t="n"/>
      <c r="G71" s="29" t="n"/>
      <c r="H71" s="48" t="str">
        <f>IF(NOT(ISNUMBER(A71)),"",IF(COUNTIFS('交易记录'!$S$5:$S$304,A71,'交易记录'!$Y$5:$Y$304,"已平仓")=0,"",SUMIFS('交易记录'!$AC$5:$AC$304,'交易记录'!$S$5:$S$304,A71,'交易记录'!$Y$5:$Y$304,"已平仓")))</f>
        <v/>
      </c>
      <c r="I71" s="40" t="str">
        <f>IF(NOT(ISNUMBER(H71)),"",IF(H71&lt;=-'参数'!$C$8,"触及停手线",""))</f>
        <v/>
      </c>
      <c r="J71" s="31" t="n"/>
      <c r="K71" s="31" t="n"/>
    </row>
    <row r="72">
      <c r="A72" s="30" t="n"/>
      <c r="B72" s="40" t="str">
        <f>IF(ISNUMBER(A72),"周"&amp;CHOOSE(WEEKDAY(A72,2),"一","二","三","四","五","六","日"),"")</f>
        <v/>
      </c>
      <c r="C72" s="32" t="n"/>
      <c r="D72" s="29" t="n"/>
      <c r="E72" s="47" t="str">
        <f>IF(ISNUMBER(A72),COUNTIFS('交易记录'!$B$5:$B$304,A72,'交易记录'!$Q$5:$Q$304,"已执行"),"")</f>
        <v/>
      </c>
      <c r="F72" s="31" t="n"/>
      <c r="G72" s="29" t="n"/>
      <c r="H72" s="48" t="str">
        <f>IF(NOT(ISNUMBER(A72)),"",IF(COUNTIFS('交易记录'!$S$5:$S$304,A72,'交易记录'!$Y$5:$Y$304,"已平仓")=0,"",SUMIFS('交易记录'!$AC$5:$AC$304,'交易记录'!$S$5:$S$304,A72,'交易记录'!$Y$5:$Y$304,"已平仓")))</f>
        <v/>
      </c>
      <c r="I72" s="40" t="str">
        <f>IF(NOT(ISNUMBER(H72)),"",IF(H72&lt;=-'参数'!$C$8,"触及停手线",""))</f>
        <v/>
      </c>
      <c r="J72" s="31" t="n"/>
      <c r="K72" s="31" t="n"/>
    </row>
    <row r="73">
      <c r="A73" s="30" t="n"/>
      <c r="B73" s="40" t="str">
        <f>IF(ISNUMBER(A73),"周"&amp;CHOOSE(WEEKDAY(A73,2),"一","二","三","四","五","六","日"),"")</f>
        <v/>
      </c>
      <c r="C73" s="32" t="n"/>
      <c r="D73" s="29" t="n"/>
      <c r="E73" s="47" t="str">
        <f>IF(ISNUMBER(A73),COUNTIFS('交易记录'!$B$5:$B$304,A73,'交易记录'!$Q$5:$Q$304,"已执行"),"")</f>
        <v/>
      </c>
      <c r="F73" s="31" t="n"/>
      <c r="G73" s="29" t="n"/>
      <c r="H73" s="48" t="str">
        <f>IF(NOT(ISNUMBER(A73)),"",IF(COUNTIFS('交易记录'!$S$5:$S$304,A73,'交易记录'!$Y$5:$Y$304,"已平仓")=0,"",SUMIFS('交易记录'!$AC$5:$AC$304,'交易记录'!$S$5:$S$304,A73,'交易记录'!$Y$5:$Y$304,"已平仓")))</f>
        <v/>
      </c>
      <c r="I73" s="40" t="str">
        <f>IF(NOT(ISNUMBER(H73)),"",IF(H73&lt;=-'参数'!$C$8,"触及停手线",""))</f>
        <v/>
      </c>
      <c r="J73" s="31" t="n"/>
      <c r="K73" s="31" t="n"/>
    </row>
    <row r="74">
      <c r="A74" s="30" t="n"/>
      <c r="B74" s="40" t="str">
        <f>IF(ISNUMBER(A74),"周"&amp;CHOOSE(WEEKDAY(A74,2),"一","二","三","四","五","六","日"),"")</f>
        <v/>
      </c>
      <c r="C74" s="32" t="n"/>
      <c r="D74" s="29" t="n"/>
      <c r="E74" s="47" t="str">
        <f>IF(ISNUMBER(A74),COUNTIFS('交易记录'!$B$5:$B$304,A74,'交易记录'!$Q$5:$Q$304,"已执行"),"")</f>
        <v/>
      </c>
      <c r="F74" s="31" t="n"/>
      <c r="G74" s="29" t="n"/>
      <c r="H74" s="48" t="str">
        <f>IF(NOT(ISNUMBER(A74)),"",IF(COUNTIFS('交易记录'!$S$5:$S$304,A74,'交易记录'!$Y$5:$Y$304,"已平仓")=0,"",SUMIFS('交易记录'!$AC$5:$AC$304,'交易记录'!$S$5:$S$304,A74,'交易记录'!$Y$5:$Y$304,"已平仓")))</f>
        <v/>
      </c>
      <c r="I74" s="40" t="str">
        <f>IF(NOT(ISNUMBER(H74)),"",IF(H74&lt;=-'参数'!$C$8,"触及停手线",""))</f>
        <v/>
      </c>
      <c r="J74" s="31" t="n"/>
      <c r="K74" s="31" t="n"/>
    </row>
    <row r="75">
      <c r="A75" s="30" t="n"/>
      <c r="B75" s="40" t="str">
        <f>IF(ISNUMBER(A75),"周"&amp;CHOOSE(WEEKDAY(A75,2),"一","二","三","四","五","六","日"),"")</f>
        <v/>
      </c>
      <c r="C75" s="32" t="n"/>
      <c r="D75" s="29" t="n"/>
      <c r="E75" s="47" t="str">
        <f>IF(ISNUMBER(A75),COUNTIFS('交易记录'!$B$5:$B$304,A75,'交易记录'!$Q$5:$Q$304,"已执行"),"")</f>
        <v/>
      </c>
      <c r="F75" s="31" t="n"/>
      <c r="G75" s="29" t="n"/>
      <c r="H75" s="48" t="str">
        <f>IF(NOT(ISNUMBER(A75)),"",IF(COUNTIFS('交易记录'!$S$5:$S$304,A75,'交易记录'!$Y$5:$Y$304,"已平仓")=0,"",SUMIFS('交易记录'!$AC$5:$AC$304,'交易记录'!$S$5:$S$304,A75,'交易记录'!$Y$5:$Y$304,"已平仓")))</f>
        <v/>
      </c>
      <c r="I75" s="40" t="str">
        <f>IF(NOT(ISNUMBER(H75)),"",IF(H75&lt;=-'参数'!$C$8,"触及停手线",""))</f>
        <v/>
      </c>
      <c r="J75" s="31" t="n"/>
      <c r="K75" s="31" t="n"/>
    </row>
    <row r="76">
      <c r="A76" s="30" t="n"/>
      <c r="B76" s="40" t="str">
        <f>IF(ISNUMBER(A76),"周"&amp;CHOOSE(WEEKDAY(A76,2),"一","二","三","四","五","六","日"),"")</f>
        <v/>
      </c>
      <c r="C76" s="32" t="n"/>
      <c r="D76" s="29" t="n"/>
      <c r="E76" s="47" t="str">
        <f>IF(ISNUMBER(A76),COUNTIFS('交易记录'!$B$5:$B$304,A76,'交易记录'!$Q$5:$Q$304,"已执行"),"")</f>
        <v/>
      </c>
      <c r="F76" s="31" t="n"/>
      <c r="G76" s="29" t="n"/>
      <c r="H76" s="48" t="str">
        <f>IF(NOT(ISNUMBER(A76)),"",IF(COUNTIFS('交易记录'!$S$5:$S$304,A76,'交易记录'!$Y$5:$Y$304,"已平仓")=0,"",SUMIFS('交易记录'!$AC$5:$AC$304,'交易记录'!$S$5:$S$304,A76,'交易记录'!$Y$5:$Y$304,"已平仓")))</f>
        <v/>
      </c>
      <c r="I76" s="40" t="str">
        <f>IF(NOT(ISNUMBER(H76)),"",IF(H76&lt;=-'参数'!$C$8,"触及停手线",""))</f>
        <v/>
      </c>
      <c r="J76" s="31" t="n"/>
      <c r="K76" s="31" t="n"/>
    </row>
    <row r="77">
      <c r="A77" s="30" t="n"/>
      <c r="B77" s="40" t="str">
        <f>IF(ISNUMBER(A77),"周"&amp;CHOOSE(WEEKDAY(A77,2),"一","二","三","四","五","六","日"),"")</f>
        <v/>
      </c>
      <c r="C77" s="32" t="n"/>
      <c r="D77" s="29" t="n"/>
      <c r="E77" s="47" t="str">
        <f>IF(ISNUMBER(A77),COUNTIFS('交易记录'!$B$5:$B$304,A77,'交易记录'!$Q$5:$Q$304,"已执行"),"")</f>
        <v/>
      </c>
      <c r="F77" s="31" t="n"/>
      <c r="G77" s="29" t="n"/>
      <c r="H77" s="48" t="str">
        <f>IF(NOT(ISNUMBER(A77)),"",IF(COUNTIFS('交易记录'!$S$5:$S$304,A77,'交易记录'!$Y$5:$Y$304,"已平仓")=0,"",SUMIFS('交易记录'!$AC$5:$AC$304,'交易记录'!$S$5:$S$304,A77,'交易记录'!$Y$5:$Y$304,"已平仓")))</f>
        <v/>
      </c>
      <c r="I77" s="40" t="str">
        <f>IF(NOT(ISNUMBER(H77)),"",IF(H77&lt;=-'参数'!$C$8,"触及停手线",""))</f>
        <v/>
      </c>
      <c r="J77" s="31" t="n"/>
      <c r="K77" s="31" t="n"/>
    </row>
    <row r="78">
      <c r="A78" s="30" t="n"/>
      <c r="B78" s="40" t="str">
        <f>IF(ISNUMBER(A78),"周"&amp;CHOOSE(WEEKDAY(A78,2),"一","二","三","四","五","六","日"),"")</f>
        <v/>
      </c>
      <c r="C78" s="32" t="n"/>
      <c r="D78" s="29" t="n"/>
      <c r="E78" s="47" t="str">
        <f>IF(ISNUMBER(A78),COUNTIFS('交易记录'!$B$5:$B$304,A78,'交易记录'!$Q$5:$Q$304,"已执行"),"")</f>
        <v/>
      </c>
      <c r="F78" s="31" t="n"/>
      <c r="G78" s="29" t="n"/>
      <c r="H78" s="48" t="str">
        <f>IF(NOT(ISNUMBER(A78)),"",IF(COUNTIFS('交易记录'!$S$5:$S$304,A78,'交易记录'!$Y$5:$Y$304,"已平仓")=0,"",SUMIFS('交易记录'!$AC$5:$AC$304,'交易记录'!$S$5:$S$304,A78,'交易记录'!$Y$5:$Y$304,"已平仓")))</f>
        <v/>
      </c>
      <c r="I78" s="40" t="str">
        <f>IF(NOT(ISNUMBER(H78)),"",IF(H78&lt;=-'参数'!$C$8,"触及停手线",""))</f>
        <v/>
      </c>
      <c r="J78" s="31" t="n"/>
      <c r="K78" s="31" t="n"/>
    </row>
    <row r="79">
      <c r="A79" s="30" t="n"/>
      <c r="B79" s="40" t="str">
        <f>IF(ISNUMBER(A79),"周"&amp;CHOOSE(WEEKDAY(A79,2),"一","二","三","四","五","六","日"),"")</f>
        <v/>
      </c>
      <c r="C79" s="32" t="n"/>
      <c r="D79" s="29" t="n"/>
      <c r="E79" s="47" t="str">
        <f>IF(ISNUMBER(A79),COUNTIFS('交易记录'!$B$5:$B$304,A79,'交易记录'!$Q$5:$Q$304,"已执行"),"")</f>
        <v/>
      </c>
      <c r="F79" s="31" t="n"/>
      <c r="G79" s="29" t="n"/>
      <c r="H79" s="48" t="str">
        <f>IF(NOT(ISNUMBER(A79)),"",IF(COUNTIFS('交易记录'!$S$5:$S$304,A79,'交易记录'!$Y$5:$Y$304,"已平仓")=0,"",SUMIFS('交易记录'!$AC$5:$AC$304,'交易记录'!$S$5:$S$304,A79,'交易记录'!$Y$5:$Y$304,"已平仓")))</f>
        <v/>
      </c>
      <c r="I79" s="40" t="str">
        <f>IF(NOT(ISNUMBER(H79)),"",IF(H79&lt;=-'参数'!$C$8,"触及停手线",""))</f>
        <v/>
      </c>
      <c r="J79" s="31" t="n"/>
      <c r="K79" s="31" t="n"/>
    </row>
    <row r="80">
      <c r="A80" s="30" t="n"/>
      <c r="B80" s="40" t="str">
        <f>IF(ISNUMBER(A80),"周"&amp;CHOOSE(WEEKDAY(A80,2),"一","二","三","四","五","六","日"),"")</f>
        <v/>
      </c>
      <c r="C80" s="32" t="n"/>
      <c r="D80" s="29" t="n"/>
      <c r="E80" s="47" t="str">
        <f>IF(ISNUMBER(A80),COUNTIFS('交易记录'!$B$5:$B$304,A80,'交易记录'!$Q$5:$Q$304,"已执行"),"")</f>
        <v/>
      </c>
      <c r="F80" s="31" t="n"/>
      <c r="G80" s="29" t="n"/>
      <c r="H80" s="48" t="str">
        <f>IF(NOT(ISNUMBER(A80)),"",IF(COUNTIFS('交易记录'!$S$5:$S$304,A80,'交易记录'!$Y$5:$Y$304,"已平仓")=0,"",SUMIFS('交易记录'!$AC$5:$AC$304,'交易记录'!$S$5:$S$304,A80,'交易记录'!$Y$5:$Y$304,"已平仓")))</f>
        <v/>
      </c>
      <c r="I80" s="40" t="str">
        <f>IF(NOT(ISNUMBER(H80)),"",IF(H80&lt;=-'参数'!$C$8,"触及停手线",""))</f>
        <v/>
      </c>
      <c r="J80" s="31" t="n"/>
      <c r="K80" s="31" t="n"/>
    </row>
    <row r="81">
      <c r="A81" s="30" t="n"/>
      <c r="B81" s="40" t="str">
        <f>IF(ISNUMBER(A81),"周"&amp;CHOOSE(WEEKDAY(A81,2),"一","二","三","四","五","六","日"),"")</f>
        <v/>
      </c>
      <c r="C81" s="32" t="n"/>
      <c r="D81" s="29" t="n"/>
      <c r="E81" s="47" t="str">
        <f>IF(ISNUMBER(A81),COUNTIFS('交易记录'!$B$5:$B$304,A81,'交易记录'!$Q$5:$Q$304,"已执行"),"")</f>
        <v/>
      </c>
      <c r="F81" s="31" t="n"/>
      <c r="G81" s="29" t="n"/>
      <c r="H81" s="48" t="str">
        <f>IF(NOT(ISNUMBER(A81)),"",IF(COUNTIFS('交易记录'!$S$5:$S$304,A81,'交易记录'!$Y$5:$Y$304,"已平仓")=0,"",SUMIFS('交易记录'!$AC$5:$AC$304,'交易记录'!$S$5:$S$304,A81,'交易记录'!$Y$5:$Y$304,"已平仓")))</f>
        <v/>
      </c>
      <c r="I81" s="40" t="str">
        <f>IF(NOT(ISNUMBER(H81)),"",IF(H81&lt;=-'参数'!$C$8,"触及停手线",""))</f>
        <v/>
      </c>
      <c r="J81" s="31" t="n"/>
      <c r="K81" s="31" t="n"/>
    </row>
    <row r="82">
      <c r="A82" s="30" t="n"/>
      <c r="B82" s="40" t="str">
        <f>IF(ISNUMBER(A82),"周"&amp;CHOOSE(WEEKDAY(A82,2),"一","二","三","四","五","六","日"),"")</f>
        <v/>
      </c>
      <c r="C82" s="32" t="n"/>
      <c r="D82" s="29" t="n"/>
      <c r="E82" s="47" t="str">
        <f>IF(ISNUMBER(A82),COUNTIFS('交易记录'!$B$5:$B$304,A82,'交易记录'!$Q$5:$Q$304,"已执行"),"")</f>
        <v/>
      </c>
      <c r="F82" s="31" t="n"/>
      <c r="G82" s="29" t="n"/>
      <c r="H82" s="48" t="str">
        <f>IF(NOT(ISNUMBER(A82)),"",IF(COUNTIFS('交易记录'!$S$5:$S$304,A82,'交易记录'!$Y$5:$Y$304,"已平仓")=0,"",SUMIFS('交易记录'!$AC$5:$AC$304,'交易记录'!$S$5:$S$304,A82,'交易记录'!$Y$5:$Y$304,"已平仓")))</f>
        <v/>
      </c>
      <c r="I82" s="40" t="str">
        <f>IF(NOT(ISNUMBER(H82)),"",IF(H82&lt;=-'参数'!$C$8,"触及停手线",""))</f>
        <v/>
      </c>
      <c r="J82" s="31" t="n"/>
      <c r="K82" s="31" t="n"/>
    </row>
    <row r="83">
      <c r="A83" s="30" t="n"/>
      <c r="B83" s="40" t="str">
        <f>IF(ISNUMBER(A83),"周"&amp;CHOOSE(WEEKDAY(A83,2),"一","二","三","四","五","六","日"),"")</f>
        <v/>
      </c>
      <c r="C83" s="32" t="n"/>
      <c r="D83" s="29" t="n"/>
      <c r="E83" s="47" t="str">
        <f>IF(ISNUMBER(A83),COUNTIFS('交易记录'!$B$5:$B$304,A83,'交易记录'!$Q$5:$Q$304,"已执行"),"")</f>
        <v/>
      </c>
      <c r="F83" s="31" t="n"/>
      <c r="G83" s="29" t="n"/>
      <c r="H83" s="48" t="str">
        <f>IF(NOT(ISNUMBER(A83)),"",IF(COUNTIFS('交易记录'!$S$5:$S$304,A83,'交易记录'!$Y$5:$Y$304,"已平仓")=0,"",SUMIFS('交易记录'!$AC$5:$AC$304,'交易记录'!$S$5:$S$304,A83,'交易记录'!$Y$5:$Y$304,"已平仓")))</f>
        <v/>
      </c>
      <c r="I83" s="40" t="str">
        <f>IF(NOT(ISNUMBER(H83)),"",IF(H83&lt;=-'参数'!$C$8,"触及停手线",""))</f>
        <v/>
      </c>
      <c r="J83" s="31" t="n"/>
      <c r="K83" s="31" t="n"/>
    </row>
    <row r="84">
      <c r="A84" s="30" t="n"/>
      <c r="B84" s="40" t="str">
        <f>IF(ISNUMBER(A84),"周"&amp;CHOOSE(WEEKDAY(A84,2),"一","二","三","四","五","六","日"),"")</f>
        <v/>
      </c>
      <c r="C84" s="32" t="n"/>
      <c r="D84" s="29" t="n"/>
      <c r="E84" s="47" t="str">
        <f>IF(ISNUMBER(A84),COUNTIFS('交易记录'!$B$5:$B$304,A84,'交易记录'!$Q$5:$Q$304,"已执行"),"")</f>
        <v/>
      </c>
      <c r="F84" s="31" t="n"/>
      <c r="G84" s="29" t="n"/>
      <c r="H84" s="48" t="str">
        <f>IF(NOT(ISNUMBER(A84)),"",IF(COUNTIFS('交易记录'!$S$5:$S$304,A84,'交易记录'!$Y$5:$Y$304,"已平仓")=0,"",SUMIFS('交易记录'!$AC$5:$AC$304,'交易记录'!$S$5:$S$304,A84,'交易记录'!$Y$5:$Y$304,"已平仓")))</f>
        <v/>
      </c>
      <c r="I84" s="40" t="str">
        <f>IF(NOT(ISNUMBER(H84)),"",IF(H84&lt;=-'参数'!$C$8,"触及停手线",""))</f>
        <v/>
      </c>
      <c r="J84" s="31" t="n"/>
      <c r="K84" s="31" t="n"/>
    </row>
    <row r="85">
      <c r="A85" s="30" t="n"/>
      <c r="B85" s="40" t="str">
        <f>IF(ISNUMBER(A85),"周"&amp;CHOOSE(WEEKDAY(A85,2),"一","二","三","四","五","六","日"),"")</f>
        <v/>
      </c>
      <c r="C85" s="32" t="n"/>
      <c r="D85" s="29" t="n"/>
      <c r="E85" s="47" t="str">
        <f>IF(ISNUMBER(A85),COUNTIFS('交易记录'!$B$5:$B$304,A85,'交易记录'!$Q$5:$Q$304,"已执行"),"")</f>
        <v/>
      </c>
      <c r="F85" s="31" t="n"/>
      <c r="G85" s="29" t="n"/>
      <c r="H85" s="48" t="str">
        <f>IF(NOT(ISNUMBER(A85)),"",IF(COUNTIFS('交易记录'!$S$5:$S$304,A85,'交易记录'!$Y$5:$Y$304,"已平仓")=0,"",SUMIFS('交易记录'!$AC$5:$AC$304,'交易记录'!$S$5:$S$304,A85,'交易记录'!$Y$5:$Y$304,"已平仓")))</f>
        <v/>
      </c>
      <c r="I85" s="40" t="str">
        <f>IF(NOT(ISNUMBER(H85)),"",IF(H85&lt;=-'参数'!$C$8,"触及停手线",""))</f>
        <v/>
      </c>
      <c r="J85" s="31" t="n"/>
      <c r="K85" s="31" t="n"/>
    </row>
    <row r="86">
      <c r="A86" s="30" t="n"/>
      <c r="B86" s="40" t="str">
        <f>IF(ISNUMBER(A86),"周"&amp;CHOOSE(WEEKDAY(A86,2),"一","二","三","四","五","六","日"),"")</f>
        <v/>
      </c>
      <c r="C86" s="32" t="n"/>
      <c r="D86" s="29" t="n"/>
      <c r="E86" s="47" t="str">
        <f>IF(ISNUMBER(A86),COUNTIFS('交易记录'!$B$5:$B$304,A86,'交易记录'!$Q$5:$Q$304,"已执行"),"")</f>
        <v/>
      </c>
      <c r="F86" s="31" t="n"/>
      <c r="G86" s="29" t="n"/>
      <c r="H86" s="48" t="str">
        <f>IF(NOT(ISNUMBER(A86)),"",IF(COUNTIFS('交易记录'!$S$5:$S$304,A86,'交易记录'!$Y$5:$Y$304,"已平仓")=0,"",SUMIFS('交易记录'!$AC$5:$AC$304,'交易记录'!$S$5:$S$304,A86,'交易记录'!$Y$5:$Y$304,"已平仓")))</f>
        <v/>
      </c>
      <c r="I86" s="40" t="str">
        <f>IF(NOT(ISNUMBER(H86)),"",IF(H86&lt;=-'参数'!$C$8,"触及停手线",""))</f>
        <v/>
      </c>
      <c r="J86" s="31" t="n"/>
      <c r="K86" s="31" t="n"/>
    </row>
    <row r="87">
      <c r="A87" s="30" t="n"/>
      <c r="B87" s="40" t="str">
        <f>IF(ISNUMBER(A87),"周"&amp;CHOOSE(WEEKDAY(A87,2),"一","二","三","四","五","六","日"),"")</f>
        <v/>
      </c>
      <c r="C87" s="32" t="n"/>
      <c r="D87" s="29" t="n"/>
      <c r="E87" s="47" t="str">
        <f>IF(ISNUMBER(A87),COUNTIFS('交易记录'!$B$5:$B$304,A87,'交易记录'!$Q$5:$Q$304,"已执行"),"")</f>
        <v/>
      </c>
      <c r="F87" s="31" t="n"/>
      <c r="G87" s="29" t="n"/>
      <c r="H87" s="48" t="str">
        <f>IF(NOT(ISNUMBER(A87)),"",IF(COUNTIFS('交易记录'!$S$5:$S$304,A87,'交易记录'!$Y$5:$Y$304,"已平仓")=0,"",SUMIFS('交易记录'!$AC$5:$AC$304,'交易记录'!$S$5:$S$304,A87,'交易记录'!$Y$5:$Y$304,"已平仓")))</f>
        <v/>
      </c>
      <c r="I87" s="40" t="str">
        <f>IF(NOT(ISNUMBER(H87)),"",IF(H87&lt;=-'参数'!$C$8,"触及停手线",""))</f>
        <v/>
      </c>
      <c r="J87" s="31" t="n"/>
      <c r="K87" s="31" t="n"/>
    </row>
    <row r="88">
      <c r="A88" s="30" t="n"/>
      <c r="B88" s="40" t="str">
        <f>IF(ISNUMBER(A88),"周"&amp;CHOOSE(WEEKDAY(A88,2),"一","二","三","四","五","六","日"),"")</f>
        <v/>
      </c>
      <c r="C88" s="32" t="n"/>
      <c r="D88" s="29" t="n"/>
      <c r="E88" s="47" t="str">
        <f>IF(ISNUMBER(A88),COUNTIFS('交易记录'!$B$5:$B$304,A88,'交易记录'!$Q$5:$Q$304,"已执行"),"")</f>
        <v/>
      </c>
      <c r="F88" s="31" t="n"/>
      <c r="G88" s="29" t="n"/>
      <c r="H88" s="48" t="str">
        <f>IF(NOT(ISNUMBER(A88)),"",IF(COUNTIFS('交易记录'!$S$5:$S$304,A88,'交易记录'!$Y$5:$Y$304,"已平仓")=0,"",SUMIFS('交易记录'!$AC$5:$AC$304,'交易记录'!$S$5:$S$304,A88,'交易记录'!$Y$5:$Y$304,"已平仓")))</f>
        <v/>
      </c>
      <c r="I88" s="40" t="str">
        <f>IF(NOT(ISNUMBER(H88)),"",IF(H88&lt;=-'参数'!$C$8,"触及停手线",""))</f>
        <v/>
      </c>
      <c r="J88" s="31" t="n"/>
      <c r="K88" s="31" t="n"/>
    </row>
    <row r="89">
      <c r="A89" s="30" t="n"/>
      <c r="B89" s="40" t="str">
        <f>IF(ISNUMBER(A89),"周"&amp;CHOOSE(WEEKDAY(A89,2),"一","二","三","四","五","六","日"),"")</f>
        <v/>
      </c>
      <c r="C89" s="32" t="n"/>
      <c r="D89" s="29" t="n"/>
      <c r="E89" s="47" t="str">
        <f>IF(ISNUMBER(A89),COUNTIFS('交易记录'!$B$5:$B$304,A89,'交易记录'!$Q$5:$Q$304,"已执行"),"")</f>
        <v/>
      </c>
      <c r="F89" s="31" t="n"/>
      <c r="G89" s="29" t="n"/>
      <c r="H89" s="48" t="str">
        <f>IF(NOT(ISNUMBER(A89)),"",IF(COUNTIFS('交易记录'!$S$5:$S$304,A89,'交易记录'!$Y$5:$Y$304,"已平仓")=0,"",SUMIFS('交易记录'!$AC$5:$AC$304,'交易记录'!$S$5:$S$304,A89,'交易记录'!$Y$5:$Y$304,"已平仓")))</f>
        <v/>
      </c>
      <c r="I89" s="40" t="str">
        <f>IF(NOT(ISNUMBER(H89)),"",IF(H89&lt;=-'参数'!$C$8,"触及停手线",""))</f>
        <v/>
      </c>
      <c r="J89" s="31" t="n"/>
      <c r="K89" s="31" t="n"/>
    </row>
    <row r="90">
      <c r="A90" s="30" t="n"/>
      <c r="B90" s="40" t="str">
        <f>IF(ISNUMBER(A90),"周"&amp;CHOOSE(WEEKDAY(A90,2),"一","二","三","四","五","六","日"),"")</f>
        <v/>
      </c>
      <c r="C90" s="32" t="n"/>
      <c r="D90" s="29" t="n"/>
      <c r="E90" s="47" t="str">
        <f>IF(ISNUMBER(A90),COUNTIFS('交易记录'!$B$5:$B$304,A90,'交易记录'!$Q$5:$Q$304,"已执行"),"")</f>
        <v/>
      </c>
      <c r="F90" s="31" t="n"/>
      <c r="G90" s="29" t="n"/>
      <c r="H90" s="48" t="str">
        <f>IF(NOT(ISNUMBER(A90)),"",IF(COUNTIFS('交易记录'!$S$5:$S$304,A90,'交易记录'!$Y$5:$Y$304,"已平仓")=0,"",SUMIFS('交易记录'!$AC$5:$AC$304,'交易记录'!$S$5:$S$304,A90,'交易记录'!$Y$5:$Y$304,"已平仓")))</f>
        <v/>
      </c>
      <c r="I90" s="40" t="str">
        <f>IF(NOT(ISNUMBER(H90)),"",IF(H90&lt;=-'参数'!$C$8,"触及停手线",""))</f>
        <v/>
      </c>
      <c r="J90" s="31" t="n"/>
      <c r="K90" s="31" t="n"/>
    </row>
    <row r="91">
      <c r="A91" s="30" t="n"/>
      <c r="B91" s="40" t="str">
        <f>IF(ISNUMBER(A91),"周"&amp;CHOOSE(WEEKDAY(A91,2),"一","二","三","四","五","六","日"),"")</f>
        <v/>
      </c>
      <c r="C91" s="32" t="n"/>
      <c r="D91" s="29" t="n"/>
      <c r="E91" s="47" t="str">
        <f>IF(ISNUMBER(A91),COUNTIFS('交易记录'!$B$5:$B$304,A91,'交易记录'!$Q$5:$Q$304,"已执行"),"")</f>
        <v/>
      </c>
      <c r="F91" s="31" t="n"/>
      <c r="G91" s="29" t="n"/>
      <c r="H91" s="48" t="str">
        <f>IF(NOT(ISNUMBER(A91)),"",IF(COUNTIFS('交易记录'!$S$5:$S$304,A91,'交易记录'!$Y$5:$Y$304,"已平仓")=0,"",SUMIFS('交易记录'!$AC$5:$AC$304,'交易记录'!$S$5:$S$304,A91,'交易记录'!$Y$5:$Y$304,"已平仓")))</f>
        <v/>
      </c>
      <c r="I91" s="40" t="str">
        <f>IF(NOT(ISNUMBER(H91)),"",IF(H91&lt;=-'参数'!$C$8,"触及停手线",""))</f>
        <v/>
      </c>
      <c r="J91" s="31" t="n"/>
      <c r="K91" s="31" t="n"/>
    </row>
    <row r="92">
      <c r="A92" s="30" t="n"/>
      <c r="B92" s="40" t="str">
        <f>IF(ISNUMBER(A92),"周"&amp;CHOOSE(WEEKDAY(A92,2),"一","二","三","四","五","六","日"),"")</f>
        <v/>
      </c>
      <c r="C92" s="32" t="n"/>
      <c r="D92" s="29" t="n"/>
      <c r="E92" s="47" t="str">
        <f>IF(ISNUMBER(A92),COUNTIFS('交易记录'!$B$5:$B$304,A92,'交易记录'!$Q$5:$Q$304,"已执行"),"")</f>
        <v/>
      </c>
      <c r="F92" s="31" t="n"/>
      <c r="G92" s="29" t="n"/>
      <c r="H92" s="48" t="str">
        <f>IF(NOT(ISNUMBER(A92)),"",IF(COUNTIFS('交易记录'!$S$5:$S$304,A92,'交易记录'!$Y$5:$Y$304,"已平仓")=0,"",SUMIFS('交易记录'!$AC$5:$AC$304,'交易记录'!$S$5:$S$304,A92,'交易记录'!$Y$5:$Y$304,"已平仓")))</f>
        <v/>
      </c>
      <c r="I92" s="40" t="str">
        <f>IF(NOT(ISNUMBER(H92)),"",IF(H92&lt;=-'参数'!$C$8,"触及停手线",""))</f>
        <v/>
      </c>
      <c r="J92" s="31" t="n"/>
      <c r="K92" s="31" t="n"/>
    </row>
    <row r="93">
      <c r="A93" s="30" t="n"/>
      <c r="B93" s="40" t="str">
        <f>IF(ISNUMBER(A93),"周"&amp;CHOOSE(WEEKDAY(A93,2),"一","二","三","四","五","六","日"),"")</f>
        <v/>
      </c>
      <c r="C93" s="32" t="n"/>
      <c r="D93" s="29" t="n"/>
      <c r="E93" s="47" t="str">
        <f>IF(ISNUMBER(A93),COUNTIFS('交易记录'!$B$5:$B$304,A93,'交易记录'!$Q$5:$Q$304,"已执行"),"")</f>
        <v/>
      </c>
      <c r="F93" s="31" t="n"/>
      <c r="G93" s="29" t="n"/>
      <c r="H93" s="48" t="str">
        <f>IF(NOT(ISNUMBER(A93)),"",IF(COUNTIFS('交易记录'!$S$5:$S$304,A93,'交易记录'!$Y$5:$Y$304,"已平仓")=0,"",SUMIFS('交易记录'!$AC$5:$AC$304,'交易记录'!$S$5:$S$304,A93,'交易记录'!$Y$5:$Y$304,"已平仓")))</f>
        <v/>
      </c>
      <c r="I93" s="40" t="str">
        <f>IF(NOT(ISNUMBER(H93)),"",IF(H93&lt;=-'参数'!$C$8,"触及停手线",""))</f>
        <v/>
      </c>
      <c r="J93" s="31" t="n"/>
      <c r="K93" s="31" t="n"/>
    </row>
    <row r="94">
      <c r="A94" s="30" t="n"/>
      <c r="B94" s="40" t="str">
        <f>IF(ISNUMBER(A94),"周"&amp;CHOOSE(WEEKDAY(A94,2),"一","二","三","四","五","六","日"),"")</f>
        <v/>
      </c>
      <c r="C94" s="32" t="n"/>
      <c r="D94" s="29" t="n"/>
      <c r="E94" s="47" t="str">
        <f>IF(ISNUMBER(A94),COUNTIFS('交易记录'!$B$5:$B$304,A94,'交易记录'!$Q$5:$Q$304,"已执行"),"")</f>
        <v/>
      </c>
      <c r="F94" s="31" t="n"/>
      <c r="G94" s="29" t="n"/>
      <c r="H94" s="48" t="str">
        <f>IF(NOT(ISNUMBER(A94)),"",IF(COUNTIFS('交易记录'!$S$5:$S$304,A94,'交易记录'!$Y$5:$Y$304,"已平仓")=0,"",SUMIFS('交易记录'!$AC$5:$AC$304,'交易记录'!$S$5:$S$304,A94,'交易记录'!$Y$5:$Y$304,"已平仓")))</f>
        <v/>
      </c>
      <c r="I94" s="40" t="str">
        <f>IF(NOT(ISNUMBER(H94)),"",IF(H94&lt;=-'参数'!$C$8,"触及停手线",""))</f>
        <v/>
      </c>
      <c r="J94" s="31" t="n"/>
      <c r="K94" s="31" t="n"/>
    </row>
    <row r="95">
      <c r="A95" s="30" t="n"/>
      <c r="B95" s="40" t="str">
        <f>IF(ISNUMBER(A95),"周"&amp;CHOOSE(WEEKDAY(A95,2),"一","二","三","四","五","六","日"),"")</f>
        <v/>
      </c>
      <c r="C95" s="32" t="n"/>
      <c r="D95" s="29" t="n"/>
      <c r="E95" s="47" t="str">
        <f>IF(ISNUMBER(A95),COUNTIFS('交易记录'!$B$5:$B$304,A95,'交易记录'!$Q$5:$Q$304,"已执行"),"")</f>
        <v/>
      </c>
      <c r="F95" s="31" t="n"/>
      <c r="G95" s="29" t="n"/>
      <c r="H95" s="48" t="str">
        <f>IF(NOT(ISNUMBER(A95)),"",IF(COUNTIFS('交易记录'!$S$5:$S$304,A95,'交易记录'!$Y$5:$Y$304,"已平仓")=0,"",SUMIFS('交易记录'!$AC$5:$AC$304,'交易记录'!$S$5:$S$304,A95,'交易记录'!$Y$5:$Y$304,"已平仓")))</f>
        <v/>
      </c>
      <c r="I95" s="40" t="str">
        <f>IF(NOT(ISNUMBER(H95)),"",IF(H95&lt;=-'参数'!$C$8,"触及停手线",""))</f>
        <v/>
      </c>
      <c r="J95" s="31" t="n"/>
      <c r="K95" s="31" t="n"/>
    </row>
    <row r="96">
      <c r="A96" s="30" t="n"/>
      <c r="B96" s="40" t="str">
        <f>IF(ISNUMBER(A96),"周"&amp;CHOOSE(WEEKDAY(A96,2),"一","二","三","四","五","六","日"),"")</f>
        <v/>
      </c>
      <c r="C96" s="32" t="n"/>
      <c r="D96" s="29" t="n"/>
      <c r="E96" s="47" t="str">
        <f>IF(ISNUMBER(A96),COUNTIFS('交易记录'!$B$5:$B$304,A96,'交易记录'!$Q$5:$Q$304,"已执行"),"")</f>
        <v/>
      </c>
      <c r="F96" s="31" t="n"/>
      <c r="G96" s="29" t="n"/>
      <c r="H96" s="48" t="str">
        <f>IF(NOT(ISNUMBER(A96)),"",IF(COUNTIFS('交易记录'!$S$5:$S$304,A96,'交易记录'!$Y$5:$Y$304,"已平仓")=0,"",SUMIFS('交易记录'!$AC$5:$AC$304,'交易记录'!$S$5:$S$304,A96,'交易记录'!$Y$5:$Y$304,"已平仓")))</f>
        <v/>
      </c>
      <c r="I96" s="40" t="str">
        <f>IF(NOT(ISNUMBER(H96)),"",IF(H96&lt;=-'参数'!$C$8,"触及停手线",""))</f>
        <v/>
      </c>
      <c r="J96" s="31" t="n"/>
      <c r="K96" s="31" t="n"/>
    </row>
    <row r="97">
      <c r="A97" s="30" t="n"/>
      <c r="B97" s="40" t="str">
        <f>IF(ISNUMBER(A97),"周"&amp;CHOOSE(WEEKDAY(A97,2),"一","二","三","四","五","六","日"),"")</f>
        <v/>
      </c>
      <c r="C97" s="32" t="n"/>
      <c r="D97" s="29" t="n"/>
      <c r="E97" s="47" t="str">
        <f>IF(ISNUMBER(A97),COUNTIFS('交易记录'!$B$5:$B$304,A97,'交易记录'!$Q$5:$Q$304,"已执行"),"")</f>
        <v/>
      </c>
      <c r="F97" s="31" t="n"/>
      <c r="G97" s="29" t="n"/>
      <c r="H97" s="48" t="str">
        <f>IF(NOT(ISNUMBER(A97)),"",IF(COUNTIFS('交易记录'!$S$5:$S$304,A97,'交易记录'!$Y$5:$Y$304,"已平仓")=0,"",SUMIFS('交易记录'!$AC$5:$AC$304,'交易记录'!$S$5:$S$304,A97,'交易记录'!$Y$5:$Y$304,"已平仓")))</f>
        <v/>
      </c>
      <c r="I97" s="40" t="str">
        <f>IF(NOT(ISNUMBER(H97)),"",IF(H97&lt;=-'参数'!$C$8,"触及停手线",""))</f>
        <v/>
      </c>
      <c r="J97" s="31" t="n"/>
      <c r="K97" s="31" t="n"/>
    </row>
    <row r="98">
      <c r="A98" s="30" t="n"/>
      <c r="B98" s="40" t="str">
        <f>IF(ISNUMBER(A98),"周"&amp;CHOOSE(WEEKDAY(A98,2),"一","二","三","四","五","六","日"),"")</f>
        <v/>
      </c>
      <c r="C98" s="32" t="n"/>
      <c r="D98" s="29" t="n"/>
      <c r="E98" s="47" t="str">
        <f>IF(ISNUMBER(A98),COUNTIFS('交易记录'!$B$5:$B$304,A98,'交易记录'!$Q$5:$Q$304,"已执行"),"")</f>
        <v/>
      </c>
      <c r="F98" s="31" t="n"/>
      <c r="G98" s="29" t="n"/>
      <c r="H98" s="48" t="str">
        <f>IF(NOT(ISNUMBER(A98)),"",IF(COUNTIFS('交易记录'!$S$5:$S$304,A98,'交易记录'!$Y$5:$Y$304,"已平仓")=0,"",SUMIFS('交易记录'!$AC$5:$AC$304,'交易记录'!$S$5:$S$304,A98,'交易记录'!$Y$5:$Y$304,"已平仓")))</f>
        <v/>
      </c>
      <c r="I98" s="40" t="str">
        <f>IF(NOT(ISNUMBER(H98)),"",IF(H98&lt;=-'参数'!$C$8,"触及停手线",""))</f>
        <v/>
      </c>
      <c r="J98" s="31" t="n"/>
      <c r="K98" s="31" t="n"/>
    </row>
    <row r="99">
      <c r="A99" s="30" t="n"/>
      <c r="B99" s="40" t="str">
        <f>IF(ISNUMBER(A99),"周"&amp;CHOOSE(WEEKDAY(A99,2),"一","二","三","四","五","六","日"),"")</f>
        <v/>
      </c>
      <c r="C99" s="32" t="n"/>
      <c r="D99" s="29" t="n"/>
      <c r="E99" s="47" t="str">
        <f>IF(ISNUMBER(A99),COUNTIFS('交易记录'!$B$5:$B$304,A99,'交易记录'!$Q$5:$Q$304,"已执行"),"")</f>
        <v/>
      </c>
      <c r="F99" s="31" t="n"/>
      <c r="G99" s="29" t="n"/>
      <c r="H99" s="48" t="str">
        <f>IF(NOT(ISNUMBER(A99)),"",IF(COUNTIFS('交易记录'!$S$5:$S$304,A99,'交易记录'!$Y$5:$Y$304,"已平仓")=0,"",SUMIFS('交易记录'!$AC$5:$AC$304,'交易记录'!$S$5:$S$304,A99,'交易记录'!$Y$5:$Y$304,"已平仓")))</f>
        <v/>
      </c>
      <c r="I99" s="40" t="str">
        <f>IF(NOT(ISNUMBER(H99)),"",IF(H99&lt;=-'参数'!$C$8,"触及停手线",""))</f>
        <v/>
      </c>
      <c r="J99" s="31" t="n"/>
      <c r="K99" s="31" t="n"/>
    </row>
    <row r="100">
      <c r="A100" s="30" t="n"/>
      <c r="B100" s="40" t="str">
        <f>IF(ISNUMBER(A100),"周"&amp;CHOOSE(WEEKDAY(A100,2),"一","二","三","四","五","六","日"),"")</f>
        <v/>
      </c>
      <c r="C100" s="32" t="n"/>
      <c r="D100" s="29" t="n"/>
      <c r="E100" s="47" t="str">
        <f>IF(ISNUMBER(A100),COUNTIFS('交易记录'!$B$5:$B$304,A100,'交易记录'!$Q$5:$Q$304,"已执行"),"")</f>
        <v/>
      </c>
      <c r="F100" s="31" t="n"/>
      <c r="G100" s="29" t="n"/>
      <c r="H100" s="48" t="str">
        <f>IF(NOT(ISNUMBER(A100)),"",IF(COUNTIFS('交易记录'!$S$5:$S$304,A100,'交易记录'!$Y$5:$Y$304,"已平仓")=0,"",SUMIFS('交易记录'!$AC$5:$AC$304,'交易记录'!$S$5:$S$304,A100,'交易记录'!$Y$5:$Y$304,"已平仓")))</f>
        <v/>
      </c>
      <c r="I100" s="40" t="str">
        <f>IF(NOT(ISNUMBER(H100)),"",IF(H100&lt;=-'参数'!$C$8,"触及停手线",""))</f>
        <v/>
      </c>
      <c r="J100" s="31" t="n"/>
      <c r="K100" s="31" t="n"/>
    </row>
    <row r="101">
      <c r="A101" s="30" t="n"/>
      <c r="B101" s="40" t="str">
        <f>IF(ISNUMBER(A101),"周"&amp;CHOOSE(WEEKDAY(A101,2),"一","二","三","四","五","六","日"),"")</f>
        <v/>
      </c>
      <c r="C101" s="32" t="n"/>
      <c r="D101" s="29" t="n"/>
      <c r="E101" s="47" t="str">
        <f>IF(ISNUMBER(A101),COUNTIFS('交易记录'!$B$5:$B$304,A101,'交易记录'!$Q$5:$Q$304,"已执行"),"")</f>
        <v/>
      </c>
      <c r="F101" s="31" t="n"/>
      <c r="G101" s="29" t="n"/>
      <c r="H101" s="48" t="str">
        <f>IF(NOT(ISNUMBER(A101)),"",IF(COUNTIFS('交易记录'!$S$5:$S$304,A101,'交易记录'!$Y$5:$Y$304,"已平仓")=0,"",SUMIFS('交易记录'!$AC$5:$AC$304,'交易记录'!$S$5:$S$304,A101,'交易记录'!$Y$5:$Y$304,"已平仓")))</f>
        <v/>
      </c>
      <c r="I101" s="40" t="str">
        <f>IF(NOT(ISNUMBER(H101)),"",IF(H101&lt;=-'参数'!$C$8,"触及停手线",""))</f>
        <v/>
      </c>
      <c r="J101" s="31" t="n"/>
      <c r="K101" s="31" t="n"/>
    </row>
    <row r="102">
      <c r="A102" s="30" t="n"/>
      <c r="B102" s="40" t="str">
        <f>IF(ISNUMBER(A102),"周"&amp;CHOOSE(WEEKDAY(A102,2),"一","二","三","四","五","六","日"),"")</f>
        <v/>
      </c>
      <c r="C102" s="32" t="n"/>
      <c r="D102" s="29" t="n"/>
      <c r="E102" s="47" t="str">
        <f>IF(ISNUMBER(A102),COUNTIFS('交易记录'!$B$5:$B$304,A102,'交易记录'!$Q$5:$Q$304,"已执行"),"")</f>
        <v/>
      </c>
      <c r="F102" s="31" t="n"/>
      <c r="G102" s="29" t="n"/>
      <c r="H102" s="48" t="str">
        <f>IF(NOT(ISNUMBER(A102)),"",IF(COUNTIFS('交易记录'!$S$5:$S$304,A102,'交易记录'!$Y$5:$Y$304,"已平仓")=0,"",SUMIFS('交易记录'!$AC$5:$AC$304,'交易记录'!$S$5:$S$304,A102,'交易记录'!$Y$5:$Y$304,"已平仓")))</f>
        <v/>
      </c>
      <c r="I102" s="40" t="str">
        <f>IF(NOT(ISNUMBER(H102)),"",IF(H102&lt;=-'参数'!$C$8,"触及停手线",""))</f>
        <v/>
      </c>
      <c r="J102" s="31" t="n"/>
      <c r="K102" s="31" t="n"/>
    </row>
    <row r="103">
      <c r="A103" s="30" t="n"/>
      <c r="B103" s="40" t="str">
        <f>IF(ISNUMBER(A103),"周"&amp;CHOOSE(WEEKDAY(A103,2),"一","二","三","四","五","六","日"),"")</f>
        <v/>
      </c>
      <c r="C103" s="32" t="n"/>
      <c r="D103" s="29" t="n"/>
      <c r="E103" s="47" t="str">
        <f>IF(ISNUMBER(A103),COUNTIFS('交易记录'!$B$5:$B$304,A103,'交易记录'!$Q$5:$Q$304,"已执行"),"")</f>
        <v/>
      </c>
      <c r="F103" s="31" t="n"/>
      <c r="G103" s="29" t="n"/>
      <c r="H103" s="48" t="str">
        <f>IF(NOT(ISNUMBER(A103)),"",IF(COUNTIFS('交易记录'!$S$5:$S$304,A103,'交易记录'!$Y$5:$Y$304,"已平仓")=0,"",SUMIFS('交易记录'!$AC$5:$AC$304,'交易记录'!$S$5:$S$304,A103,'交易记录'!$Y$5:$Y$304,"已平仓")))</f>
        <v/>
      </c>
      <c r="I103" s="40" t="str">
        <f>IF(NOT(ISNUMBER(H103)),"",IF(H103&lt;=-'参数'!$C$8,"触及停手线",""))</f>
        <v/>
      </c>
      <c r="J103" s="31" t="n"/>
      <c r="K103" s="31" t="n"/>
    </row>
    <row r="104">
      <c r="A104" s="30" t="n"/>
      <c r="B104" s="40" t="str">
        <f>IF(ISNUMBER(A104),"周"&amp;CHOOSE(WEEKDAY(A104,2),"一","二","三","四","五","六","日"),"")</f>
        <v/>
      </c>
      <c r="C104" s="32" t="n"/>
      <c r="D104" s="29" t="n"/>
      <c r="E104" s="47" t="str">
        <f>IF(ISNUMBER(A104),COUNTIFS('交易记录'!$B$5:$B$304,A104,'交易记录'!$Q$5:$Q$304,"已执行"),"")</f>
        <v/>
      </c>
      <c r="F104" s="31" t="n"/>
      <c r="G104" s="29" t="n"/>
      <c r="H104" s="48" t="str">
        <f>IF(NOT(ISNUMBER(A104)),"",IF(COUNTIFS('交易记录'!$S$5:$S$304,A104,'交易记录'!$Y$5:$Y$304,"已平仓")=0,"",SUMIFS('交易记录'!$AC$5:$AC$304,'交易记录'!$S$5:$S$304,A104,'交易记录'!$Y$5:$Y$304,"已平仓")))</f>
        <v/>
      </c>
      <c r="I104" s="40" t="str">
        <f>IF(NOT(ISNUMBER(H104)),"",IF(H104&lt;=-'参数'!$C$8,"触及停手线",""))</f>
        <v/>
      </c>
      <c r="J104" s="31" t="n"/>
      <c r="K104" s="31" t="n"/>
    </row>
    <row r="105">
      <c r="A105" s="30" t="n"/>
      <c r="B105" s="40" t="str">
        <f>IF(ISNUMBER(A105),"周"&amp;CHOOSE(WEEKDAY(A105,2),"一","二","三","四","五","六","日"),"")</f>
        <v/>
      </c>
      <c r="C105" s="32" t="n"/>
      <c r="D105" s="29" t="n"/>
      <c r="E105" s="47" t="str">
        <f>IF(ISNUMBER(A105),COUNTIFS('交易记录'!$B$5:$B$304,A105,'交易记录'!$Q$5:$Q$304,"已执行"),"")</f>
        <v/>
      </c>
      <c r="F105" s="31" t="n"/>
      <c r="G105" s="29" t="n"/>
      <c r="H105" s="48" t="str">
        <f>IF(NOT(ISNUMBER(A105)),"",IF(COUNTIFS('交易记录'!$S$5:$S$304,A105,'交易记录'!$Y$5:$Y$304,"已平仓")=0,"",SUMIFS('交易记录'!$AC$5:$AC$304,'交易记录'!$S$5:$S$304,A105,'交易记录'!$Y$5:$Y$304,"已平仓")))</f>
        <v/>
      </c>
      <c r="I105" s="40" t="str">
        <f>IF(NOT(ISNUMBER(H105)),"",IF(H105&lt;=-'参数'!$C$8,"触及停手线",""))</f>
        <v/>
      </c>
      <c r="J105" s="31" t="n"/>
      <c r="K105" s="31" t="n"/>
    </row>
    <row r="106">
      <c r="A106" s="30" t="n"/>
      <c r="B106" s="40" t="str">
        <f>IF(ISNUMBER(A106),"周"&amp;CHOOSE(WEEKDAY(A106,2),"一","二","三","四","五","六","日"),"")</f>
        <v/>
      </c>
      <c r="C106" s="32" t="n"/>
      <c r="D106" s="29" t="n"/>
      <c r="E106" s="47" t="str">
        <f>IF(ISNUMBER(A106),COUNTIFS('交易记录'!$B$5:$B$304,A106,'交易记录'!$Q$5:$Q$304,"已执行"),"")</f>
        <v/>
      </c>
      <c r="F106" s="31" t="n"/>
      <c r="G106" s="29" t="n"/>
      <c r="H106" s="48" t="str">
        <f>IF(NOT(ISNUMBER(A106)),"",IF(COUNTIFS('交易记录'!$S$5:$S$304,A106,'交易记录'!$Y$5:$Y$304,"已平仓")=0,"",SUMIFS('交易记录'!$AC$5:$AC$304,'交易记录'!$S$5:$S$304,A106,'交易记录'!$Y$5:$Y$304,"已平仓")))</f>
        <v/>
      </c>
      <c r="I106" s="40" t="str">
        <f>IF(NOT(ISNUMBER(H106)),"",IF(H106&lt;=-'参数'!$C$8,"触及停手线",""))</f>
        <v/>
      </c>
      <c r="J106" s="31" t="n"/>
      <c r="K106" s="31" t="n"/>
    </row>
    <row r="107">
      <c r="A107" s="30" t="n"/>
      <c r="B107" s="40" t="str">
        <f>IF(ISNUMBER(A107),"周"&amp;CHOOSE(WEEKDAY(A107,2),"一","二","三","四","五","六","日"),"")</f>
        <v/>
      </c>
      <c r="C107" s="32" t="n"/>
      <c r="D107" s="29" t="n"/>
      <c r="E107" s="47" t="str">
        <f>IF(ISNUMBER(A107),COUNTIFS('交易记录'!$B$5:$B$304,A107,'交易记录'!$Q$5:$Q$304,"已执行"),"")</f>
        <v/>
      </c>
      <c r="F107" s="31" t="n"/>
      <c r="G107" s="29" t="n"/>
      <c r="H107" s="48" t="str">
        <f>IF(NOT(ISNUMBER(A107)),"",IF(COUNTIFS('交易记录'!$S$5:$S$304,A107,'交易记录'!$Y$5:$Y$304,"已平仓")=0,"",SUMIFS('交易记录'!$AC$5:$AC$304,'交易记录'!$S$5:$S$304,A107,'交易记录'!$Y$5:$Y$304,"已平仓")))</f>
        <v/>
      </c>
      <c r="I107" s="40" t="str">
        <f>IF(NOT(ISNUMBER(H107)),"",IF(H107&lt;=-'参数'!$C$8,"触及停手线",""))</f>
        <v/>
      </c>
      <c r="J107" s="31" t="n"/>
      <c r="K107" s="31" t="n"/>
    </row>
    <row r="108">
      <c r="A108" s="30" t="n"/>
      <c r="B108" s="40" t="str">
        <f>IF(ISNUMBER(A108),"周"&amp;CHOOSE(WEEKDAY(A108,2),"一","二","三","四","五","六","日"),"")</f>
        <v/>
      </c>
      <c r="C108" s="32" t="n"/>
      <c r="D108" s="29" t="n"/>
      <c r="E108" s="47" t="str">
        <f>IF(ISNUMBER(A108),COUNTIFS('交易记录'!$B$5:$B$304,A108,'交易记录'!$Q$5:$Q$304,"已执行"),"")</f>
        <v/>
      </c>
      <c r="F108" s="31" t="n"/>
      <c r="G108" s="29" t="n"/>
      <c r="H108" s="48" t="str">
        <f>IF(NOT(ISNUMBER(A108)),"",IF(COUNTIFS('交易记录'!$S$5:$S$304,A108,'交易记录'!$Y$5:$Y$304,"已平仓")=0,"",SUMIFS('交易记录'!$AC$5:$AC$304,'交易记录'!$S$5:$S$304,A108,'交易记录'!$Y$5:$Y$304,"已平仓")))</f>
        <v/>
      </c>
      <c r="I108" s="40" t="str">
        <f>IF(NOT(ISNUMBER(H108)),"",IF(H108&lt;=-'参数'!$C$8,"触及停手线",""))</f>
        <v/>
      </c>
      <c r="J108" s="31" t="n"/>
      <c r="K108" s="31" t="n"/>
    </row>
    <row r="109">
      <c r="A109" s="30" t="n"/>
      <c r="B109" s="40" t="str">
        <f>IF(ISNUMBER(A109),"周"&amp;CHOOSE(WEEKDAY(A109,2),"一","二","三","四","五","六","日"),"")</f>
        <v/>
      </c>
      <c r="C109" s="32" t="n"/>
      <c r="D109" s="29" t="n"/>
      <c r="E109" s="47" t="str">
        <f>IF(ISNUMBER(A109),COUNTIFS('交易记录'!$B$5:$B$304,A109,'交易记录'!$Q$5:$Q$304,"已执行"),"")</f>
        <v/>
      </c>
      <c r="F109" s="31" t="n"/>
      <c r="G109" s="29" t="n"/>
      <c r="H109" s="48" t="str">
        <f>IF(NOT(ISNUMBER(A109)),"",IF(COUNTIFS('交易记录'!$S$5:$S$304,A109,'交易记录'!$Y$5:$Y$304,"已平仓")=0,"",SUMIFS('交易记录'!$AC$5:$AC$304,'交易记录'!$S$5:$S$304,A109,'交易记录'!$Y$5:$Y$304,"已平仓")))</f>
        <v/>
      </c>
      <c r="I109" s="40" t="str">
        <f>IF(NOT(ISNUMBER(H109)),"",IF(H109&lt;=-'参数'!$C$8,"触及停手线",""))</f>
        <v/>
      </c>
      <c r="J109" s="31" t="n"/>
      <c r="K109" s="31" t="n"/>
    </row>
    <row r="110">
      <c r="A110" s="30" t="n"/>
      <c r="B110" s="40" t="str">
        <f>IF(ISNUMBER(A110),"周"&amp;CHOOSE(WEEKDAY(A110,2),"一","二","三","四","五","六","日"),"")</f>
        <v/>
      </c>
      <c r="C110" s="32" t="n"/>
      <c r="D110" s="29" t="n"/>
      <c r="E110" s="47" t="str">
        <f>IF(ISNUMBER(A110),COUNTIFS('交易记录'!$B$5:$B$304,A110,'交易记录'!$Q$5:$Q$304,"已执行"),"")</f>
        <v/>
      </c>
      <c r="F110" s="31" t="n"/>
      <c r="G110" s="29" t="n"/>
      <c r="H110" s="48" t="str">
        <f>IF(NOT(ISNUMBER(A110)),"",IF(COUNTIFS('交易记录'!$S$5:$S$304,A110,'交易记录'!$Y$5:$Y$304,"已平仓")=0,"",SUMIFS('交易记录'!$AC$5:$AC$304,'交易记录'!$S$5:$S$304,A110,'交易记录'!$Y$5:$Y$304,"已平仓")))</f>
        <v/>
      </c>
      <c r="I110" s="40" t="str">
        <f>IF(NOT(ISNUMBER(H110)),"",IF(H110&lt;=-'参数'!$C$8,"触及停手线",""))</f>
        <v/>
      </c>
      <c r="J110" s="31" t="n"/>
      <c r="K110" s="31" t="n"/>
    </row>
    <row r="111">
      <c r="A111" s="30" t="n"/>
      <c r="B111" s="40" t="str">
        <f>IF(ISNUMBER(A111),"周"&amp;CHOOSE(WEEKDAY(A111,2),"一","二","三","四","五","六","日"),"")</f>
        <v/>
      </c>
      <c r="C111" s="32" t="n"/>
      <c r="D111" s="29" t="n"/>
      <c r="E111" s="47" t="str">
        <f>IF(ISNUMBER(A111),COUNTIFS('交易记录'!$B$5:$B$304,A111,'交易记录'!$Q$5:$Q$304,"已执行"),"")</f>
        <v/>
      </c>
      <c r="F111" s="31" t="n"/>
      <c r="G111" s="29" t="n"/>
      <c r="H111" s="48" t="str">
        <f>IF(NOT(ISNUMBER(A111)),"",IF(COUNTIFS('交易记录'!$S$5:$S$304,A111,'交易记录'!$Y$5:$Y$304,"已平仓")=0,"",SUMIFS('交易记录'!$AC$5:$AC$304,'交易记录'!$S$5:$S$304,A111,'交易记录'!$Y$5:$Y$304,"已平仓")))</f>
        <v/>
      </c>
      <c r="I111" s="40" t="str">
        <f>IF(NOT(ISNUMBER(H111)),"",IF(H111&lt;=-'参数'!$C$8,"触及停手线",""))</f>
        <v/>
      </c>
      <c r="J111" s="31" t="n"/>
      <c r="K111" s="31" t="n"/>
    </row>
    <row r="112">
      <c r="A112" s="30" t="n"/>
      <c r="B112" s="40" t="str">
        <f>IF(ISNUMBER(A112),"周"&amp;CHOOSE(WEEKDAY(A112,2),"一","二","三","四","五","六","日"),"")</f>
        <v/>
      </c>
      <c r="C112" s="32" t="n"/>
      <c r="D112" s="29" t="n"/>
      <c r="E112" s="47" t="str">
        <f>IF(ISNUMBER(A112),COUNTIFS('交易记录'!$B$5:$B$304,A112,'交易记录'!$Q$5:$Q$304,"已执行"),"")</f>
        <v/>
      </c>
      <c r="F112" s="31" t="n"/>
      <c r="G112" s="29" t="n"/>
      <c r="H112" s="48" t="str">
        <f>IF(NOT(ISNUMBER(A112)),"",IF(COUNTIFS('交易记录'!$S$5:$S$304,A112,'交易记录'!$Y$5:$Y$304,"已平仓")=0,"",SUMIFS('交易记录'!$AC$5:$AC$304,'交易记录'!$S$5:$S$304,A112,'交易记录'!$Y$5:$Y$304,"已平仓")))</f>
        <v/>
      </c>
      <c r="I112" s="40" t="str">
        <f>IF(NOT(ISNUMBER(H112)),"",IF(H112&lt;=-'参数'!$C$8,"触及停手线",""))</f>
        <v/>
      </c>
      <c r="J112" s="31" t="n"/>
      <c r="K112" s="31" t="n"/>
    </row>
    <row r="113">
      <c r="A113" s="30" t="n"/>
      <c r="B113" s="40" t="str">
        <f>IF(ISNUMBER(A113),"周"&amp;CHOOSE(WEEKDAY(A113,2),"一","二","三","四","五","六","日"),"")</f>
        <v/>
      </c>
      <c r="C113" s="32" t="n"/>
      <c r="D113" s="29" t="n"/>
      <c r="E113" s="47" t="str">
        <f>IF(ISNUMBER(A113),COUNTIFS('交易记录'!$B$5:$B$304,A113,'交易记录'!$Q$5:$Q$304,"已执行"),"")</f>
        <v/>
      </c>
      <c r="F113" s="31" t="n"/>
      <c r="G113" s="29" t="n"/>
      <c r="H113" s="48" t="str">
        <f>IF(NOT(ISNUMBER(A113)),"",IF(COUNTIFS('交易记录'!$S$5:$S$304,A113,'交易记录'!$Y$5:$Y$304,"已平仓")=0,"",SUMIFS('交易记录'!$AC$5:$AC$304,'交易记录'!$S$5:$S$304,A113,'交易记录'!$Y$5:$Y$304,"已平仓")))</f>
        <v/>
      </c>
      <c r="I113" s="40" t="str">
        <f>IF(NOT(ISNUMBER(H113)),"",IF(H113&lt;=-'参数'!$C$8,"触及停手线",""))</f>
        <v/>
      </c>
      <c r="J113" s="31" t="n"/>
      <c r="K113" s="31" t="n"/>
    </row>
    <row r="114">
      <c r="A114" s="30" t="n"/>
      <c r="B114" s="40" t="str">
        <f>IF(ISNUMBER(A114),"周"&amp;CHOOSE(WEEKDAY(A114,2),"一","二","三","四","五","六","日"),"")</f>
        <v/>
      </c>
      <c r="C114" s="32" t="n"/>
      <c r="D114" s="29" t="n"/>
      <c r="E114" s="47" t="str">
        <f>IF(ISNUMBER(A114),COUNTIFS('交易记录'!$B$5:$B$304,A114,'交易记录'!$Q$5:$Q$304,"已执行"),"")</f>
        <v/>
      </c>
      <c r="F114" s="31" t="n"/>
      <c r="G114" s="29" t="n"/>
      <c r="H114" s="48" t="str">
        <f>IF(NOT(ISNUMBER(A114)),"",IF(COUNTIFS('交易记录'!$S$5:$S$304,A114,'交易记录'!$Y$5:$Y$304,"已平仓")=0,"",SUMIFS('交易记录'!$AC$5:$AC$304,'交易记录'!$S$5:$S$304,A114,'交易记录'!$Y$5:$Y$304,"已平仓")))</f>
        <v/>
      </c>
      <c r="I114" s="40" t="str">
        <f>IF(NOT(ISNUMBER(H114)),"",IF(H114&lt;=-'参数'!$C$8,"触及停手线",""))</f>
        <v/>
      </c>
      <c r="J114" s="31" t="n"/>
      <c r="K114" s="31" t="n"/>
    </row>
    <row r="115">
      <c r="A115" s="30" t="n"/>
      <c r="B115" s="40" t="str">
        <f>IF(ISNUMBER(A115),"周"&amp;CHOOSE(WEEKDAY(A115,2),"一","二","三","四","五","六","日"),"")</f>
        <v/>
      </c>
      <c r="C115" s="32" t="n"/>
      <c r="D115" s="29" t="n"/>
      <c r="E115" s="47" t="str">
        <f>IF(ISNUMBER(A115),COUNTIFS('交易记录'!$B$5:$B$304,A115,'交易记录'!$Q$5:$Q$304,"已执行"),"")</f>
        <v/>
      </c>
      <c r="F115" s="31" t="n"/>
      <c r="G115" s="29" t="n"/>
      <c r="H115" s="48" t="str">
        <f>IF(NOT(ISNUMBER(A115)),"",IF(COUNTIFS('交易记录'!$S$5:$S$304,A115,'交易记录'!$Y$5:$Y$304,"已平仓")=0,"",SUMIFS('交易记录'!$AC$5:$AC$304,'交易记录'!$S$5:$S$304,A115,'交易记录'!$Y$5:$Y$304,"已平仓")))</f>
        <v/>
      </c>
      <c r="I115" s="40" t="str">
        <f>IF(NOT(ISNUMBER(H115)),"",IF(H115&lt;=-'参数'!$C$8,"触及停手线",""))</f>
        <v/>
      </c>
      <c r="J115" s="31" t="n"/>
      <c r="K115" s="31" t="n"/>
    </row>
    <row r="116">
      <c r="A116" s="30" t="n"/>
      <c r="B116" s="40" t="str">
        <f>IF(ISNUMBER(A116),"周"&amp;CHOOSE(WEEKDAY(A116,2),"一","二","三","四","五","六","日"),"")</f>
        <v/>
      </c>
      <c r="C116" s="32" t="n"/>
      <c r="D116" s="29" t="n"/>
      <c r="E116" s="47" t="str">
        <f>IF(ISNUMBER(A116),COUNTIFS('交易记录'!$B$5:$B$304,A116,'交易记录'!$Q$5:$Q$304,"已执行"),"")</f>
        <v/>
      </c>
      <c r="F116" s="31" t="n"/>
      <c r="G116" s="29" t="n"/>
      <c r="H116" s="48" t="str">
        <f>IF(NOT(ISNUMBER(A116)),"",IF(COUNTIFS('交易记录'!$S$5:$S$304,A116,'交易记录'!$Y$5:$Y$304,"已平仓")=0,"",SUMIFS('交易记录'!$AC$5:$AC$304,'交易记录'!$S$5:$S$304,A116,'交易记录'!$Y$5:$Y$304,"已平仓")))</f>
        <v/>
      </c>
      <c r="I116" s="40" t="str">
        <f>IF(NOT(ISNUMBER(H116)),"",IF(H116&lt;=-'参数'!$C$8,"触及停手线",""))</f>
        <v/>
      </c>
      <c r="J116" s="31" t="n"/>
      <c r="K116" s="31" t="n"/>
    </row>
    <row r="117">
      <c r="A117" s="30" t="n"/>
      <c r="B117" s="40" t="str">
        <f>IF(ISNUMBER(A117),"周"&amp;CHOOSE(WEEKDAY(A117,2),"一","二","三","四","五","六","日"),"")</f>
        <v/>
      </c>
      <c r="C117" s="32" t="n"/>
      <c r="D117" s="29" t="n"/>
      <c r="E117" s="47" t="str">
        <f>IF(ISNUMBER(A117),COUNTIFS('交易记录'!$B$5:$B$304,A117,'交易记录'!$Q$5:$Q$304,"已执行"),"")</f>
        <v/>
      </c>
      <c r="F117" s="31" t="n"/>
      <c r="G117" s="29" t="n"/>
      <c r="H117" s="48" t="str">
        <f>IF(NOT(ISNUMBER(A117)),"",IF(COUNTIFS('交易记录'!$S$5:$S$304,A117,'交易记录'!$Y$5:$Y$304,"已平仓")=0,"",SUMIFS('交易记录'!$AC$5:$AC$304,'交易记录'!$S$5:$S$304,A117,'交易记录'!$Y$5:$Y$304,"已平仓")))</f>
        <v/>
      </c>
      <c r="I117" s="40" t="str">
        <f>IF(NOT(ISNUMBER(H117)),"",IF(H117&lt;=-'参数'!$C$8,"触及停手线",""))</f>
        <v/>
      </c>
      <c r="J117" s="31" t="n"/>
      <c r="K117" s="31" t="n"/>
    </row>
    <row r="118">
      <c r="A118" s="30" t="n"/>
      <c r="B118" s="40" t="str">
        <f>IF(ISNUMBER(A118),"周"&amp;CHOOSE(WEEKDAY(A118,2),"一","二","三","四","五","六","日"),"")</f>
        <v/>
      </c>
      <c r="C118" s="32" t="n"/>
      <c r="D118" s="29" t="n"/>
      <c r="E118" s="47" t="str">
        <f>IF(ISNUMBER(A118),COUNTIFS('交易记录'!$B$5:$B$304,A118,'交易记录'!$Q$5:$Q$304,"已执行"),"")</f>
        <v/>
      </c>
      <c r="F118" s="31" t="n"/>
      <c r="G118" s="29" t="n"/>
      <c r="H118" s="48" t="str">
        <f>IF(NOT(ISNUMBER(A118)),"",IF(COUNTIFS('交易记录'!$S$5:$S$304,A118,'交易记录'!$Y$5:$Y$304,"已平仓")=0,"",SUMIFS('交易记录'!$AC$5:$AC$304,'交易记录'!$S$5:$S$304,A118,'交易记录'!$Y$5:$Y$304,"已平仓")))</f>
        <v/>
      </c>
      <c r="I118" s="40" t="str">
        <f>IF(NOT(ISNUMBER(H118)),"",IF(H118&lt;=-'参数'!$C$8,"触及停手线",""))</f>
        <v/>
      </c>
      <c r="J118" s="31" t="n"/>
      <c r="K118" s="31" t="n"/>
    </row>
    <row r="119">
      <c r="A119" s="30" t="n"/>
      <c r="B119" s="40" t="str">
        <f>IF(ISNUMBER(A119),"周"&amp;CHOOSE(WEEKDAY(A119,2),"一","二","三","四","五","六","日"),"")</f>
        <v/>
      </c>
      <c r="C119" s="32" t="n"/>
      <c r="D119" s="29" t="n"/>
      <c r="E119" s="47" t="str">
        <f>IF(ISNUMBER(A119),COUNTIFS('交易记录'!$B$5:$B$304,A119,'交易记录'!$Q$5:$Q$304,"已执行"),"")</f>
        <v/>
      </c>
      <c r="F119" s="31" t="n"/>
      <c r="G119" s="29" t="n"/>
      <c r="H119" s="48" t="str">
        <f>IF(NOT(ISNUMBER(A119)),"",IF(COUNTIFS('交易记录'!$S$5:$S$304,A119,'交易记录'!$Y$5:$Y$304,"已平仓")=0,"",SUMIFS('交易记录'!$AC$5:$AC$304,'交易记录'!$S$5:$S$304,A119,'交易记录'!$Y$5:$Y$304,"已平仓")))</f>
        <v/>
      </c>
      <c r="I119" s="40" t="str">
        <f>IF(NOT(ISNUMBER(H119)),"",IF(H119&lt;=-'参数'!$C$8,"触及停手线",""))</f>
        <v/>
      </c>
      <c r="J119" s="31" t="n"/>
      <c r="K119" s="31" t="n"/>
    </row>
    <row r="120">
      <c r="A120" s="30" t="n"/>
      <c r="B120" s="40" t="str">
        <f>IF(ISNUMBER(A120),"周"&amp;CHOOSE(WEEKDAY(A120,2),"一","二","三","四","五","六","日"),"")</f>
        <v/>
      </c>
      <c r="C120" s="32" t="n"/>
      <c r="D120" s="29" t="n"/>
      <c r="E120" s="47" t="str">
        <f>IF(ISNUMBER(A120),COUNTIFS('交易记录'!$B$5:$B$304,A120,'交易记录'!$Q$5:$Q$304,"已执行"),"")</f>
        <v/>
      </c>
      <c r="F120" s="31" t="n"/>
      <c r="G120" s="29" t="n"/>
      <c r="H120" s="48" t="str">
        <f>IF(NOT(ISNUMBER(A120)),"",IF(COUNTIFS('交易记录'!$S$5:$S$304,A120,'交易记录'!$Y$5:$Y$304,"已平仓")=0,"",SUMIFS('交易记录'!$AC$5:$AC$304,'交易记录'!$S$5:$S$304,A120,'交易记录'!$Y$5:$Y$304,"已平仓")))</f>
        <v/>
      </c>
      <c r="I120" s="40" t="str">
        <f>IF(NOT(ISNUMBER(H120)),"",IF(H120&lt;=-'参数'!$C$8,"触及停手线",""))</f>
        <v/>
      </c>
      <c r="J120" s="31" t="n"/>
      <c r="K120" s="31" t="n"/>
    </row>
    <row r="121">
      <c r="A121" s="30" t="n"/>
      <c r="B121" s="40" t="str">
        <f>IF(ISNUMBER(A121),"周"&amp;CHOOSE(WEEKDAY(A121,2),"一","二","三","四","五","六","日"),"")</f>
        <v/>
      </c>
      <c r="C121" s="32" t="n"/>
      <c r="D121" s="29" t="n"/>
      <c r="E121" s="47" t="str">
        <f>IF(ISNUMBER(A121),COUNTIFS('交易记录'!$B$5:$B$304,A121,'交易记录'!$Q$5:$Q$304,"已执行"),"")</f>
        <v/>
      </c>
      <c r="F121" s="31" t="n"/>
      <c r="G121" s="29" t="n"/>
      <c r="H121" s="48" t="str">
        <f>IF(NOT(ISNUMBER(A121)),"",IF(COUNTIFS('交易记录'!$S$5:$S$304,A121,'交易记录'!$Y$5:$Y$304,"已平仓")=0,"",SUMIFS('交易记录'!$AC$5:$AC$304,'交易记录'!$S$5:$S$304,A121,'交易记录'!$Y$5:$Y$304,"已平仓")))</f>
        <v/>
      </c>
      <c r="I121" s="40" t="str">
        <f>IF(NOT(ISNUMBER(H121)),"",IF(H121&lt;=-'参数'!$C$8,"触及停手线",""))</f>
        <v/>
      </c>
      <c r="J121" s="31" t="n"/>
      <c r="K121" s="31" t="n"/>
    </row>
    <row r="122">
      <c r="A122" s="30" t="n"/>
      <c r="B122" s="40" t="str">
        <f>IF(ISNUMBER(A122),"周"&amp;CHOOSE(WEEKDAY(A122,2),"一","二","三","四","五","六","日"),"")</f>
        <v/>
      </c>
      <c r="C122" s="32" t="n"/>
      <c r="D122" s="29" t="n"/>
      <c r="E122" s="47" t="str">
        <f>IF(ISNUMBER(A122),COUNTIFS('交易记录'!$B$5:$B$304,A122,'交易记录'!$Q$5:$Q$304,"已执行"),"")</f>
        <v/>
      </c>
      <c r="F122" s="31" t="n"/>
      <c r="G122" s="29" t="n"/>
      <c r="H122" s="48" t="str">
        <f>IF(NOT(ISNUMBER(A122)),"",IF(COUNTIFS('交易记录'!$S$5:$S$304,A122,'交易记录'!$Y$5:$Y$304,"已平仓")=0,"",SUMIFS('交易记录'!$AC$5:$AC$304,'交易记录'!$S$5:$S$304,A122,'交易记录'!$Y$5:$Y$304,"已平仓")))</f>
        <v/>
      </c>
      <c r="I122" s="40" t="str">
        <f>IF(NOT(ISNUMBER(H122)),"",IF(H122&lt;=-'参数'!$C$8,"触及停手线",""))</f>
        <v/>
      </c>
      <c r="J122" s="31" t="n"/>
      <c r="K122" s="31" t="n"/>
    </row>
    <row r="123">
      <c r="A123" s="30" t="n"/>
      <c r="B123" s="40" t="str">
        <f>IF(ISNUMBER(A123),"周"&amp;CHOOSE(WEEKDAY(A123,2),"一","二","三","四","五","六","日"),"")</f>
        <v/>
      </c>
      <c r="C123" s="32" t="n"/>
      <c r="D123" s="29" t="n"/>
      <c r="E123" s="47" t="str">
        <f>IF(ISNUMBER(A123),COUNTIFS('交易记录'!$B$5:$B$304,A123,'交易记录'!$Q$5:$Q$304,"已执行"),"")</f>
        <v/>
      </c>
      <c r="F123" s="31" t="n"/>
      <c r="G123" s="29" t="n"/>
      <c r="H123" s="48" t="str">
        <f>IF(NOT(ISNUMBER(A123)),"",IF(COUNTIFS('交易记录'!$S$5:$S$304,A123,'交易记录'!$Y$5:$Y$304,"已平仓")=0,"",SUMIFS('交易记录'!$AC$5:$AC$304,'交易记录'!$S$5:$S$304,A123,'交易记录'!$Y$5:$Y$304,"已平仓")))</f>
        <v/>
      </c>
      <c r="I123" s="40" t="str">
        <f>IF(NOT(ISNUMBER(H123)),"",IF(H123&lt;=-'参数'!$C$8,"触及停手线",""))</f>
        <v/>
      </c>
      <c r="J123" s="31" t="n"/>
      <c r="K123" s="31" t="n"/>
    </row>
    <row r="124">
      <c r="A124" s="30" t="n"/>
      <c r="B124" s="40" t="str">
        <f>IF(ISNUMBER(A124),"周"&amp;CHOOSE(WEEKDAY(A124,2),"一","二","三","四","五","六","日"),"")</f>
        <v/>
      </c>
      <c r="C124" s="32" t="n"/>
      <c r="D124" s="29" t="n"/>
      <c r="E124" s="47" t="str">
        <f>IF(ISNUMBER(A124),COUNTIFS('交易记录'!$B$5:$B$304,A124,'交易记录'!$Q$5:$Q$304,"已执行"),"")</f>
        <v/>
      </c>
      <c r="F124" s="31" t="n"/>
      <c r="G124" s="29" t="n"/>
      <c r="H124" s="48" t="str">
        <f>IF(NOT(ISNUMBER(A124)),"",IF(COUNTIFS('交易记录'!$S$5:$S$304,A124,'交易记录'!$Y$5:$Y$304,"已平仓")=0,"",SUMIFS('交易记录'!$AC$5:$AC$304,'交易记录'!$S$5:$S$304,A124,'交易记录'!$Y$5:$Y$304,"已平仓")))</f>
        <v/>
      </c>
      <c r="I124" s="40" t="str">
        <f>IF(NOT(ISNUMBER(H124)),"",IF(H124&lt;=-'参数'!$C$8,"触及停手线",""))</f>
        <v/>
      </c>
      <c r="J124" s="31" t="n"/>
      <c r="K124" s="31" t="n"/>
    </row>
    <row r="125">
      <c r="A125" s="30" t="n"/>
      <c r="B125" s="40" t="str">
        <f>IF(ISNUMBER(A125),"周"&amp;CHOOSE(WEEKDAY(A125,2),"一","二","三","四","五","六","日"),"")</f>
        <v/>
      </c>
      <c r="C125" s="32" t="n"/>
      <c r="D125" s="29" t="n"/>
      <c r="E125" s="47" t="str">
        <f>IF(ISNUMBER(A125),COUNTIFS('交易记录'!$B$5:$B$304,A125,'交易记录'!$Q$5:$Q$304,"已执行"),"")</f>
        <v/>
      </c>
      <c r="F125" s="31" t="n"/>
      <c r="G125" s="29" t="n"/>
      <c r="H125" s="48" t="str">
        <f>IF(NOT(ISNUMBER(A125)),"",IF(COUNTIFS('交易记录'!$S$5:$S$304,A125,'交易记录'!$Y$5:$Y$304,"已平仓")=0,"",SUMIFS('交易记录'!$AC$5:$AC$304,'交易记录'!$S$5:$S$304,A125,'交易记录'!$Y$5:$Y$304,"已平仓")))</f>
        <v/>
      </c>
      <c r="I125" s="40" t="str">
        <f>IF(NOT(ISNUMBER(H125)),"",IF(H125&lt;=-'参数'!$C$8,"触及停手线",""))</f>
        <v/>
      </c>
      <c r="J125" s="31" t="n"/>
      <c r="K125" s="31" t="n"/>
    </row>
    <row r="126">
      <c r="A126" s="30" t="n"/>
      <c r="B126" s="40" t="str">
        <f>IF(ISNUMBER(A126),"周"&amp;CHOOSE(WEEKDAY(A126,2),"一","二","三","四","五","六","日"),"")</f>
        <v/>
      </c>
      <c r="C126" s="32" t="n"/>
      <c r="D126" s="29" t="n"/>
      <c r="E126" s="47" t="str">
        <f>IF(ISNUMBER(A126),COUNTIFS('交易记录'!$B$5:$B$304,A126,'交易记录'!$Q$5:$Q$304,"已执行"),"")</f>
        <v/>
      </c>
      <c r="F126" s="31" t="n"/>
      <c r="G126" s="29" t="n"/>
      <c r="H126" s="48" t="str">
        <f>IF(NOT(ISNUMBER(A126)),"",IF(COUNTIFS('交易记录'!$S$5:$S$304,A126,'交易记录'!$Y$5:$Y$304,"已平仓")=0,"",SUMIFS('交易记录'!$AC$5:$AC$304,'交易记录'!$S$5:$S$304,A126,'交易记录'!$Y$5:$Y$304,"已平仓")))</f>
        <v/>
      </c>
      <c r="I126" s="40" t="str">
        <f>IF(NOT(ISNUMBER(H126)),"",IF(H126&lt;=-'参数'!$C$8,"触及停手线",""))</f>
        <v/>
      </c>
      <c r="J126" s="31" t="n"/>
      <c r="K126" s="31" t="n"/>
    </row>
    <row r="127">
      <c r="A127" s="30" t="n"/>
      <c r="B127" s="40" t="str">
        <f>IF(ISNUMBER(A127),"周"&amp;CHOOSE(WEEKDAY(A127,2),"一","二","三","四","五","六","日"),"")</f>
        <v/>
      </c>
      <c r="C127" s="32" t="n"/>
      <c r="D127" s="29" t="n"/>
      <c r="E127" s="47" t="str">
        <f>IF(ISNUMBER(A127),COUNTIFS('交易记录'!$B$5:$B$304,A127,'交易记录'!$Q$5:$Q$304,"已执行"),"")</f>
        <v/>
      </c>
      <c r="F127" s="31" t="n"/>
      <c r="G127" s="29" t="n"/>
      <c r="H127" s="48" t="str">
        <f>IF(NOT(ISNUMBER(A127)),"",IF(COUNTIFS('交易记录'!$S$5:$S$304,A127,'交易记录'!$Y$5:$Y$304,"已平仓")=0,"",SUMIFS('交易记录'!$AC$5:$AC$304,'交易记录'!$S$5:$S$304,A127,'交易记录'!$Y$5:$Y$304,"已平仓")))</f>
        <v/>
      </c>
      <c r="I127" s="40" t="str">
        <f>IF(NOT(ISNUMBER(H127)),"",IF(H127&lt;=-'参数'!$C$8,"触及停手线",""))</f>
        <v/>
      </c>
      <c r="J127" s="31" t="n"/>
      <c r="K127" s="31" t="n"/>
    </row>
    <row r="128">
      <c r="A128" s="30" t="n"/>
      <c r="B128" s="40" t="str">
        <f>IF(ISNUMBER(A128),"周"&amp;CHOOSE(WEEKDAY(A128,2),"一","二","三","四","五","六","日"),"")</f>
        <v/>
      </c>
      <c r="C128" s="32" t="n"/>
      <c r="D128" s="29" t="n"/>
      <c r="E128" s="47" t="str">
        <f>IF(ISNUMBER(A128),COUNTIFS('交易记录'!$B$5:$B$304,A128,'交易记录'!$Q$5:$Q$304,"已执行"),"")</f>
        <v/>
      </c>
      <c r="F128" s="31" t="n"/>
      <c r="G128" s="29" t="n"/>
      <c r="H128" s="48" t="str">
        <f>IF(NOT(ISNUMBER(A128)),"",IF(COUNTIFS('交易记录'!$S$5:$S$304,A128,'交易记录'!$Y$5:$Y$304,"已平仓")=0,"",SUMIFS('交易记录'!$AC$5:$AC$304,'交易记录'!$S$5:$S$304,A128,'交易记录'!$Y$5:$Y$304,"已平仓")))</f>
        <v/>
      </c>
      <c r="I128" s="40" t="str">
        <f>IF(NOT(ISNUMBER(H128)),"",IF(H128&lt;=-'参数'!$C$8,"触及停手线",""))</f>
        <v/>
      </c>
      <c r="J128" s="31" t="n"/>
      <c r="K128" s="31" t="n"/>
    </row>
    <row r="129">
      <c r="A129" s="30" t="n"/>
      <c r="B129" s="40" t="str">
        <f>IF(ISNUMBER(A129),"周"&amp;CHOOSE(WEEKDAY(A129,2),"一","二","三","四","五","六","日"),"")</f>
        <v/>
      </c>
      <c r="C129" s="32" t="n"/>
      <c r="D129" s="29" t="n"/>
      <c r="E129" s="47" t="str">
        <f>IF(ISNUMBER(A129),COUNTIFS('交易记录'!$B$5:$B$304,A129,'交易记录'!$Q$5:$Q$304,"已执行"),"")</f>
        <v/>
      </c>
      <c r="F129" s="31" t="n"/>
      <c r="G129" s="29" t="n"/>
      <c r="H129" s="48" t="str">
        <f>IF(NOT(ISNUMBER(A129)),"",IF(COUNTIFS('交易记录'!$S$5:$S$304,A129,'交易记录'!$Y$5:$Y$304,"已平仓")=0,"",SUMIFS('交易记录'!$AC$5:$AC$304,'交易记录'!$S$5:$S$304,A129,'交易记录'!$Y$5:$Y$304,"已平仓")))</f>
        <v/>
      </c>
      <c r="I129" s="40" t="str">
        <f>IF(NOT(ISNUMBER(H129)),"",IF(H129&lt;=-'参数'!$C$8,"触及停手线",""))</f>
        <v/>
      </c>
      <c r="J129" s="31" t="n"/>
      <c r="K129" s="31" t="n"/>
    </row>
    <row r="130">
      <c r="A130" s="30" t="n"/>
      <c r="B130" s="40" t="str">
        <f>IF(ISNUMBER(A130),"周"&amp;CHOOSE(WEEKDAY(A130,2),"一","二","三","四","五","六","日"),"")</f>
        <v/>
      </c>
      <c r="C130" s="32" t="n"/>
      <c r="D130" s="29" t="n"/>
      <c r="E130" s="47" t="str">
        <f>IF(ISNUMBER(A130),COUNTIFS('交易记录'!$B$5:$B$304,A130,'交易记录'!$Q$5:$Q$304,"已执行"),"")</f>
        <v/>
      </c>
      <c r="F130" s="31" t="n"/>
      <c r="G130" s="29" t="n"/>
      <c r="H130" s="48" t="str">
        <f>IF(NOT(ISNUMBER(A130)),"",IF(COUNTIFS('交易记录'!$S$5:$S$304,A130,'交易记录'!$Y$5:$Y$304,"已平仓")=0,"",SUMIFS('交易记录'!$AC$5:$AC$304,'交易记录'!$S$5:$S$304,A130,'交易记录'!$Y$5:$Y$304,"已平仓")))</f>
        <v/>
      </c>
      <c r="I130" s="40" t="str">
        <f>IF(NOT(ISNUMBER(H130)),"",IF(H130&lt;=-'参数'!$C$8,"触及停手线",""))</f>
        <v/>
      </c>
      <c r="J130" s="31" t="n"/>
      <c r="K130" s="31" t="n"/>
    </row>
    <row r="131">
      <c r="A131" s="30" t="n"/>
      <c r="B131" s="40" t="str">
        <f>IF(ISNUMBER(A131),"周"&amp;CHOOSE(WEEKDAY(A131,2),"一","二","三","四","五","六","日"),"")</f>
        <v/>
      </c>
      <c r="C131" s="32" t="n"/>
      <c r="D131" s="29" t="n"/>
      <c r="E131" s="47" t="str">
        <f>IF(ISNUMBER(A131),COUNTIFS('交易记录'!$B$5:$B$304,A131,'交易记录'!$Q$5:$Q$304,"已执行"),"")</f>
        <v/>
      </c>
      <c r="F131" s="31" t="n"/>
      <c r="G131" s="29" t="n"/>
      <c r="H131" s="48" t="str">
        <f>IF(NOT(ISNUMBER(A131)),"",IF(COUNTIFS('交易记录'!$S$5:$S$304,A131,'交易记录'!$Y$5:$Y$304,"已平仓")=0,"",SUMIFS('交易记录'!$AC$5:$AC$304,'交易记录'!$S$5:$S$304,A131,'交易记录'!$Y$5:$Y$304,"已平仓")))</f>
        <v/>
      </c>
      <c r="I131" s="40" t="str">
        <f>IF(NOT(ISNUMBER(H131)),"",IF(H131&lt;=-'参数'!$C$8,"触及停手线",""))</f>
        <v/>
      </c>
      <c r="J131" s="31" t="n"/>
      <c r="K131" s="31" t="n"/>
    </row>
    <row r="132">
      <c r="A132" s="30" t="n"/>
      <c r="B132" s="40" t="str">
        <f>IF(ISNUMBER(A132),"周"&amp;CHOOSE(WEEKDAY(A132,2),"一","二","三","四","五","六","日"),"")</f>
        <v/>
      </c>
      <c r="C132" s="32" t="n"/>
      <c r="D132" s="29" t="n"/>
      <c r="E132" s="47" t="str">
        <f>IF(ISNUMBER(A132),COUNTIFS('交易记录'!$B$5:$B$304,A132,'交易记录'!$Q$5:$Q$304,"已执行"),"")</f>
        <v/>
      </c>
      <c r="F132" s="31" t="n"/>
      <c r="G132" s="29" t="n"/>
      <c r="H132" s="48" t="str">
        <f>IF(NOT(ISNUMBER(A132)),"",IF(COUNTIFS('交易记录'!$S$5:$S$304,A132,'交易记录'!$Y$5:$Y$304,"已平仓")=0,"",SUMIFS('交易记录'!$AC$5:$AC$304,'交易记录'!$S$5:$S$304,A132,'交易记录'!$Y$5:$Y$304,"已平仓")))</f>
        <v/>
      </c>
      <c r="I132" s="40" t="str">
        <f>IF(NOT(ISNUMBER(H132)),"",IF(H132&lt;=-'参数'!$C$8,"触及停手线",""))</f>
        <v/>
      </c>
      <c r="J132" s="31" t="n"/>
      <c r="K132" s="31" t="n"/>
    </row>
    <row r="133">
      <c r="A133" s="30" t="n"/>
      <c r="B133" s="40" t="str">
        <f>IF(ISNUMBER(A133),"周"&amp;CHOOSE(WEEKDAY(A133,2),"一","二","三","四","五","六","日"),"")</f>
        <v/>
      </c>
      <c r="C133" s="32" t="n"/>
      <c r="D133" s="29" t="n"/>
      <c r="E133" s="47" t="str">
        <f>IF(ISNUMBER(A133),COUNTIFS('交易记录'!$B$5:$B$304,A133,'交易记录'!$Q$5:$Q$304,"已执行"),"")</f>
        <v/>
      </c>
      <c r="F133" s="31" t="n"/>
      <c r="G133" s="29" t="n"/>
      <c r="H133" s="48" t="str">
        <f>IF(NOT(ISNUMBER(A133)),"",IF(COUNTIFS('交易记录'!$S$5:$S$304,A133,'交易记录'!$Y$5:$Y$304,"已平仓")=0,"",SUMIFS('交易记录'!$AC$5:$AC$304,'交易记录'!$S$5:$S$304,A133,'交易记录'!$Y$5:$Y$304,"已平仓")))</f>
        <v/>
      </c>
      <c r="I133" s="40" t="str">
        <f>IF(NOT(ISNUMBER(H133)),"",IF(H133&lt;=-'参数'!$C$8,"触及停手线",""))</f>
        <v/>
      </c>
      <c r="J133" s="31" t="n"/>
      <c r="K133" s="31" t="n"/>
    </row>
    <row r="134">
      <c r="A134" s="30" t="n"/>
      <c r="B134" s="40" t="str">
        <f>IF(ISNUMBER(A134),"周"&amp;CHOOSE(WEEKDAY(A134,2),"一","二","三","四","五","六","日"),"")</f>
        <v/>
      </c>
      <c r="C134" s="32" t="n"/>
      <c r="D134" s="29" t="n"/>
      <c r="E134" s="47" t="str">
        <f>IF(ISNUMBER(A134),COUNTIFS('交易记录'!$B$5:$B$304,A134,'交易记录'!$Q$5:$Q$304,"已执行"),"")</f>
        <v/>
      </c>
      <c r="F134" s="31" t="n"/>
      <c r="G134" s="29" t="n"/>
      <c r="H134" s="48" t="str">
        <f>IF(NOT(ISNUMBER(A134)),"",IF(COUNTIFS('交易记录'!$S$5:$S$304,A134,'交易记录'!$Y$5:$Y$304,"已平仓")=0,"",SUMIFS('交易记录'!$AC$5:$AC$304,'交易记录'!$S$5:$S$304,A134,'交易记录'!$Y$5:$Y$304,"已平仓")))</f>
        <v/>
      </c>
      <c r="I134" s="40" t="str">
        <f>IF(NOT(ISNUMBER(H134)),"",IF(H134&lt;=-'参数'!$C$8,"触及停手线",""))</f>
        <v/>
      </c>
      <c r="J134" s="31" t="n"/>
      <c r="K134" s="31" t="n"/>
    </row>
    <row r="135">
      <c r="A135" s="30" t="n"/>
      <c r="B135" s="40" t="str">
        <f>IF(ISNUMBER(A135),"周"&amp;CHOOSE(WEEKDAY(A135,2),"一","二","三","四","五","六","日"),"")</f>
        <v/>
      </c>
      <c r="C135" s="32" t="n"/>
      <c r="D135" s="29" t="n"/>
      <c r="E135" s="47" t="str">
        <f>IF(ISNUMBER(A135),COUNTIFS('交易记录'!$B$5:$B$304,A135,'交易记录'!$Q$5:$Q$304,"已执行"),"")</f>
        <v/>
      </c>
      <c r="F135" s="31" t="n"/>
      <c r="G135" s="29" t="n"/>
      <c r="H135" s="48" t="str">
        <f>IF(NOT(ISNUMBER(A135)),"",IF(COUNTIFS('交易记录'!$S$5:$S$304,A135,'交易记录'!$Y$5:$Y$304,"已平仓")=0,"",SUMIFS('交易记录'!$AC$5:$AC$304,'交易记录'!$S$5:$S$304,A135,'交易记录'!$Y$5:$Y$304,"已平仓")))</f>
        <v/>
      </c>
      <c r="I135" s="40" t="str">
        <f>IF(NOT(ISNUMBER(H135)),"",IF(H135&lt;=-'参数'!$C$8,"触及停手线",""))</f>
        <v/>
      </c>
      <c r="J135" s="31" t="n"/>
      <c r="K135" s="31" t="n"/>
    </row>
    <row r="136">
      <c r="A136" s="30" t="n"/>
      <c r="B136" s="40" t="str">
        <f>IF(ISNUMBER(A136),"周"&amp;CHOOSE(WEEKDAY(A136,2),"一","二","三","四","五","六","日"),"")</f>
        <v/>
      </c>
      <c r="C136" s="32" t="n"/>
      <c r="D136" s="29" t="n"/>
      <c r="E136" s="47" t="str">
        <f>IF(ISNUMBER(A136),COUNTIFS('交易记录'!$B$5:$B$304,A136,'交易记录'!$Q$5:$Q$304,"已执行"),"")</f>
        <v/>
      </c>
      <c r="F136" s="31" t="n"/>
      <c r="G136" s="29" t="n"/>
      <c r="H136" s="48" t="str">
        <f>IF(NOT(ISNUMBER(A136)),"",IF(COUNTIFS('交易记录'!$S$5:$S$304,A136,'交易记录'!$Y$5:$Y$304,"已平仓")=0,"",SUMIFS('交易记录'!$AC$5:$AC$304,'交易记录'!$S$5:$S$304,A136,'交易记录'!$Y$5:$Y$304,"已平仓")))</f>
        <v/>
      </c>
      <c r="I136" s="40" t="str">
        <f>IF(NOT(ISNUMBER(H136)),"",IF(H136&lt;=-'参数'!$C$8,"触及停手线",""))</f>
        <v/>
      </c>
      <c r="J136" s="31" t="n"/>
      <c r="K136" s="31" t="n"/>
    </row>
    <row r="137">
      <c r="A137" s="30" t="n"/>
      <c r="B137" s="40" t="str">
        <f>IF(ISNUMBER(A137),"周"&amp;CHOOSE(WEEKDAY(A137,2),"一","二","三","四","五","六","日"),"")</f>
        <v/>
      </c>
      <c r="C137" s="32" t="n"/>
      <c r="D137" s="29" t="n"/>
      <c r="E137" s="47" t="str">
        <f>IF(ISNUMBER(A137),COUNTIFS('交易记录'!$B$5:$B$304,A137,'交易记录'!$Q$5:$Q$304,"已执行"),"")</f>
        <v/>
      </c>
      <c r="F137" s="31" t="n"/>
      <c r="G137" s="29" t="n"/>
      <c r="H137" s="48" t="str">
        <f>IF(NOT(ISNUMBER(A137)),"",IF(COUNTIFS('交易记录'!$S$5:$S$304,A137,'交易记录'!$Y$5:$Y$304,"已平仓")=0,"",SUMIFS('交易记录'!$AC$5:$AC$304,'交易记录'!$S$5:$S$304,A137,'交易记录'!$Y$5:$Y$304,"已平仓")))</f>
        <v/>
      </c>
      <c r="I137" s="40" t="str">
        <f>IF(NOT(ISNUMBER(H137)),"",IF(H137&lt;=-'参数'!$C$8,"触及停手线",""))</f>
        <v/>
      </c>
      <c r="J137" s="31" t="n"/>
      <c r="K137" s="31" t="n"/>
    </row>
    <row r="138">
      <c r="A138" s="30" t="n"/>
      <c r="B138" s="40" t="str">
        <f>IF(ISNUMBER(A138),"周"&amp;CHOOSE(WEEKDAY(A138,2),"一","二","三","四","五","六","日"),"")</f>
        <v/>
      </c>
      <c r="C138" s="32" t="n"/>
      <c r="D138" s="29" t="n"/>
      <c r="E138" s="47" t="str">
        <f>IF(ISNUMBER(A138),COUNTIFS('交易记录'!$B$5:$B$304,A138,'交易记录'!$Q$5:$Q$304,"已执行"),"")</f>
        <v/>
      </c>
      <c r="F138" s="31" t="n"/>
      <c r="G138" s="29" t="n"/>
      <c r="H138" s="48" t="str">
        <f>IF(NOT(ISNUMBER(A138)),"",IF(COUNTIFS('交易记录'!$S$5:$S$304,A138,'交易记录'!$Y$5:$Y$304,"已平仓")=0,"",SUMIFS('交易记录'!$AC$5:$AC$304,'交易记录'!$S$5:$S$304,A138,'交易记录'!$Y$5:$Y$304,"已平仓")))</f>
        <v/>
      </c>
      <c r="I138" s="40" t="str">
        <f>IF(NOT(ISNUMBER(H138)),"",IF(H138&lt;=-'参数'!$C$8,"触及停手线",""))</f>
        <v/>
      </c>
      <c r="J138" s="31" t="n"/>
      <c r="K138" s="31" t="n"/>
    </row>
    <row r="139">
      <c r="A139" s="30" t="n"/>
      <c r="B139" s="40" t="str">
        <f>IF(ISNUMBER(A139),"周"&amp;CHOOSE(WEEKDAY(A139,2),"一","二","三","四","五","六","日"),"")</f>
        <v/>
      </c>
      <c r="C139" s="32" t="n"/>
      <c r="D139" s="29" t="n"/>
      <c r="E139" s="47" t="str">
        <f>IF(ISNUMBER(A139),COUNTIFS('交易记录'!$B$5:$B$304,A139,'交易记录'!$Q$5:$Q$304,"已执行"),"")</f>
        <v/>
      </c>
      <c r="F139" s="31" t="n"/>
      <c r="G139" s="29" t="n"/>
      <c r="H139" s="48" t="str">
        <f>IF(NOT(ISNUMBER(A139)),"",IF(COUNTIFS('交易记录'!$S$5:$S$304,A139,'交易记录'!$Y$5:$Y$304,"已平仓")=0,"",SUMIFS('交易记录'!$AC$5:$AC$304,'交易记录'!$S$5:$S$304,A139,'交易记录'!$Y$5:$Y$304,"已平仓")))</f>
        <v/>
      </c>
      <c r="I139" s="40" t="str">
        <f>IF(NOT(ISNUMBER(H139)),"",IF(H139&lt;=-'参数'!$C$8,"触及停手线",""))</f>
        <v/>
      </c>
      <c r="J139" s="31" t="n"/>
      <c r="K139" s="31" t="n"/>
    </row>
    <row r="140">
      <c r="A140" s="30" t="n"/>
      <c r="B140" s="40" t="str">
        <f>IF(ISNUMBER(A140),"周"&amp;CHOOSE(WEEKDAY(A140,2),"一","二","三","四","五","六","日"),"")</f>
        <v/>
      </c>
      <c r="C140" s="32" t="n"/>
      <c r="D140" s="29" t="n"/>
      <c r="E140" s="47" t="str">
        <f>IF(ISNUMBER(A140),COUNTIFS('交易记录'!$B$5:$B$304,A140,'交易记录'!$Q$5:$Q$304,"已执行"),"")</f>
        <v/>
      </c>
      <c r="F140" s="31" t="n"/>
      <c r="G140" s="29" t="n"/>
      <c r="H140" s="48" t="str">
        <f>IF(NOT(ISNUMBER(A140)),"",IF(COUNTIFS('交易记录'!$S$5:$S$304,A140,'交易记录'!$Y$5:$Y$304,"已平仓")=0,"",SUMIFS('交易记录'!$AC$5:$AC$304,'交易记录'!$S$5:$S$304,A140,'交易记录'!$Y$5:$Y$304,"已平仓")))</f>
        <v/>
      </c>
      <c r="I140" s="40" t="str">
        <f>IF(NOT(ISNUMBER(H140)),"",IF(H140&lt;=-'参数'!$C$8,"触及停手线",""))</f>
        <v/>
      </c>
      <c r="J140" s="31" t="n"/>
      <c r="K140" s="31" t="n"/>
    </row>
    <row r="141">
      <c r="A141" s="30" t="n"/>
      <c r="B141" s="40" t="str">
        <f>IF(ISNUMBER(A141),"周"&amp;CHOOSE(WEEKDAY(A141,2),"一","二","三","四","五","六","日"),"")</f>
        <v/>
      </c>
      <c r="C141" s="32" t="n"/>
      <c r="D141" s="29" t="n"/>
      <c r="E141" s="47" t="str">
        <f>IF(ISNUMBER(A141),COUNTIFS('交易记录'!$B$5:$B$304,A141,'交易记录'!$Q$5:$Q$304,"已执行"),"")</f>
        <v/>
      </c>
      <c r="F141" s="31" t="n"/>
      <c r="G141" s="29" t="n"/>
      <c r="H141" s="48" t="str">
        <f>IF(NOT(ISNUMBER(A141)),"",IF(COUNTIFS('交易记录'!$S$5:$S$304,A141,'交易记录'!$Y$5:$Y$304,"已平仓")=0,"",SUMIFS('交易记录'!$AC$5:$AC$304,'交易记录'!$S$5:$S$304,A141,'交易记录'!$Y$5:$Y$304,"已平仓")))</f>
        <v/>
      </c>
      <c r="I141" s="40" t="str">
        <f>IF(NOT(ISNUMBER(H141)),"",IF(H141&lt;=-'参数'!$C$8,"触及停手线",""))</f>
        <v/>
      </c>
      <c r="J141" s="31" t="n"/>
      <c r="K141" s="31" t="n"/>
    </row>
    <row r="142">
      <c r="A142" s="30" t="n"/>
      <c r="B142" s="40" t="str">
        <f>IF(ISNUMBER(A142),"周"&amp;CHOOSE(WEEKDAY(A142,2),"一","二","三","四","五","六","日"),"")</f>
        <v/>
      </c>
      <c r="C142" s="32" t="n"/>
      <c r="D142" s="29" t="n"/>
      <c r="E142" s="47" t="str">
        <f>IF(ISNUMBER(A142),COUNTIFS('交易记录'!$B$5:$B$304,A142,'交易记录'!$Q$5:$Q$304,"已执行"),"")</f>
        <v/>
      </c>
      <c r="F142" s="31" t="n"/>
      <c r="G142" s="29" t="n"/>
      <c r="H142" s="48" t="str">
        <f>IF(NOT(ISNUMBER(A142)),"",IF(COUNTIFS('交易记录'!$S$5:$S$304,A142,'交易记录'!$Y$5:$Y$304,"已平仓")=0,"",SUMIFS('交易记录'!$AC$5:$AC$304,'交易记录'!$S$5:$S$304,A142,'交易记录'!$Y$5:$Y$304,"已平仓")))</f>
        <v/>
      </c>
      <c r="I142" s="40" t="str">
        <f>IF(NOT(ISNUMBER(H142)),"",IF(H142&lt;=-'参数'!$C$8,"触及停手线",""))</f>
        <v/>
      </c>
      <c r="J142" s="31" t="n"/>
      <c r="K142" s="31" t="n"/>
    </row>
    <row r="143">
      <c r="A143" s="30" t="n"/>
      <c r="B143" s="40" t="str">
        <f>IF(ISNUMBER(A143),"周"&amp;CHOOSE(WEEKDAY(A143,2),"一","二","三","四","五","六","日"),"")</f>
        <v/>
      </c>
      <c r="C143" s="32" t="n"/>
      <c r="D143" s="29" t="n"/>
      <c r="E143" s="47" t="str">
        <f>IF(ISNUMBER(A143),COUNTIFS('交易记录'!$B$5:$B$304,A143,'交易记录'!$Q$5:$Q$304,"已执行"),"")</f>
        <v/>
      </c>
      <c r="F143" s="31" t="n"/>
      <c r="G143" s="29" t="n"/>
      <c r="H143" s="48" t="str">
        <f>IF(NOT(ISNUMBER(A143)),"",IF(COUNTIFS('交易记录'!$S$5:$S$304,A143,'交易记录'!$Y$5:$Y$304,"已平仓")=0,"",SUMIFS('交易记录'!$AC$5:$AC$304,'交易记录'!$S$5:$S$304,A143,'交易记录'!$Y$5:$Y$304,"已平仓")))</f>
        <v/>
      </c>
      <c r="I143" s="40" t="str">
        <f>IF(NOT(ISNUMBER(H143)),"",IF(H143&lt;=-'参数'!$C$8,"触及停手线",""))</f>
        <v/>
      </c>
      <c r="J143" s="31" t="n"/>
      <c r="K143" s="31" t="n"/>
    </row>
    <row r="144">
      <c r="A144" s="30" t="n"/>
      <c r="B144" s="40" t="str">
        <f>IF(ISNUMBER(A144),"周"&amp;CHOOSE(WEEKDAY(A144,2),"一","二","三","四","五","六","日"),"")</f>
        <v/>
      </c>
      <c r="C144" s="32" t="n"/>
      <c r="D144" s="29" t="n"/>
      <c r="E144" s="47" t="str">
        <f>IF(ISNUMBER(A144),COUNTIFS('交易记录'!$B$5:$B$304,A144,'交易记录'!$Q$5:$Q$304,"已执行"),"")</f>
        <v/>
      </c>
      <c r="F144" s="31" t="n"/>
      <c r="G144" s="29" t="n"/>
      <c r="H144" s="48" t="str">
        <f>IF(NOT(ISNUMBER(A144)),"",IF(COUNTIFS('交易记录'!$S$5:$S$304,A144,'交易记录'!$Y$5:$Y$304,"已平仓")=0,"",SUMIFS('交易记录'!$AC$5:$AC$304,'交易记录'!$S$5:$S$304,A144,'交易记录'!$Y$5:$Y$304,"已平仓")))</f>
        <v/>
      </c>
      <c r="I144" s="40" t="str">
        <f>IF(NOT(ISNUMBER(H144)),"",IF(H144&lt;=-'参数'!$C$8,"触及停手线",""))</f>
        <v/>
      </c>
      <c r="J144" s="31" t="n"/>
      <c r="K144" s="31" t="n"/>
    </row>
    <row r="145">
      <c r="A145" s="30" t="n"/>
      <c r="B145" s="40" t="str">
        <f>IF(ISNUMBER(A145),"周"&amp;CHOOSE(WEEKDAY(A145,2),"一","二","三","四","五","六","日"),"")</f>
        <v/>
      </c>
      <c r="C145" s="32" t="n"/>
      <c r="D145" s="29" t="n"/>
      <c r="E145" s="47" t="str">
        <f>IF(ISNUMBER(A145),COUNTIFS('交易记录'!$B$5:$B$304,A145,'交易记录'!$Q$5:$Q$304,"已执行"),"")</f>
        <v/>
      </c>
      <c r="F145" s="31" t="n"/>
      <c r="G145" s="29" t="n"/>
      <c r="H145" s="48" t="str">
        <f>IF(NOT(ISNUMBER(A145)),"",IF(COUNTIFS('交易记录'!$S$5:$S$304,A145,'交易记录'!$Y$5:$Y$304,"已平仓")=0,"",SUMIFS('交易记录'!$AC$5:$AC$304,'交易记录'!$S$5:$S$304,A145,'交易记录'!$Y$5:$Y$304,"已平仓")))</f>
        <v/>
      </c>
      <c r="I145" s="40" t="str">
        <f>IF(NOT(ISNUMBER(H145)),"",IF(H145&lt;=-'参数'!$C$8,"触及停手线",""))</f>
        <v/>
      </c>
      <c r="J145" s="31" t="n"/>
      <c r="K145" s="31" t="n"/>
    </row>
    <row r="146">
      <c r="A146" s="30" t="n"/>
      <c r="B146" s="40" t="str">
        <f>IF(ISNUMBER(A146),"周"&amp;CHOOSE(WEEKDAY(A146,2),"一","二","三","四","五","六","日"),"")</f>
        <v/>
      </c>
      <c r="C146" s="32" t="n"/>
      <c r="D146" s="29" t="n"/>
      <c r="E146" s="47" t="str">
        <f>IF(ISNUMBER(A146),COUNTIFS('交易记录'!$B$5:$B$304,A146,'交易记录'!$Q$5:$Q$304,"已执行"),"")</f>
        <v/>
      </c>
      <c r="F146" s="31" t="n"/>
      <c r="G146" s="29" t="n"/>
      <c r="H146" s="48" t="str">
        <f>IF(NOT(ISNUMBER(A146)),"",IF(COUNTIFS('交易记录'!$S$5:$S$304,A146,'交易记录'!$Y$5:$Y$304,"已平仓")=0,"",SUMIFS('交易记录'!$AC$5:$AC$304,'交易记录'!$S$5:$S$304,A146,'交易记录'!$Y$5:$Y$304,"已平仓")))</f>
        <v/>
      </c>
      <c r="I146" s="40" t="str">
        <f>IF(NOT(ISNUMBER(H146)),"",IF(H146&lt;=-'参数'!$C$8,"触及停手线",""))</f>
        <v/>
      </c>
      <c r="J146" s="31" t="n"/>
      <c r="K146" s="31" t="n"/>
    </row>
    <row r="147">
      <c r="A147" s="30" t="n"/>
      <c r="B147" s="40" t="str">
        <f>IF(ISNUMBER(A147),"周"&amp;CHOOSE(WEEKDAY(A147,2),"一","二","三","四","五","六","日"),"")</f>
        <v/>
      </c>
      <c r="C147" s="32" t="n"/>
      <c r="D147" s="29" t="n"/>
      <c r="E147" s="47" t="str">
        <f>IF(ISNUMBER(A147),COUNTIFS('交易记录'!$B$5:$B$304,A147,'交易记录'!$Q$5:$Q$304,"已执行"),"")</f>
        <v/>
      </c>
      <c r="F147" s="31" t="n"/>
      <c r="G147" s="29" t="n"/>
      <c r="H147" s="48" t="str">
        <f>IF(NOT(ISNUMBER(A147)),"",IF(COUNTIFS('交易记录'!$S$5:$S$304,A147,'交易记录'!$Y$5:$Y$304,"已平仓")=0,"",SUMIFS('交易记录'!$AC$5:$AC$304,'交易记录'!$S$5:$S$304,A147,'交易记录'!$Y$5:$Y$304,"已平仓")))</f>
        <v/>
      </c>
      <c r="I147" s="40" t="str">
        <f>IF(NOT(ISNUMBER(H147)),"",IF(H147&lt;=-'参数'!$C$8,"触及停手线",""))</f>
        <v/>
      </c>
      <c r="J147" s="31" t="n"/>
      <c r="K147" s="31" t="n"/>
    </row>
    <row r="148">
      <c r="A148" s="30" t="n"/>
      <c r="B148" s="40" t="str">
        <f>IF(ISNUMBER(A148),"周"&amp;CHOOSE(WEEKDAY(A148,2),"一","二","三","四","五","六","日"),"")</f>
        <v/>
      </c>
      <c r="C148" s="32" t="n"/>
      <c r="D148" s="29" t="n"/>
      <c r="E148" s="47" t="str">
        <f>IF(ISNUMBER(A148),COUNTIFS('交易记录'!$B$5:$B$304,A148,'交易记录'!$Q$5:$Q$304,"已执行"),"")</f>
        <v/>
      </c>
      <c r="F148" s="31" t="n"/>
      <c r="G148" s="29" t="n"/>
      <c r="H148" s="48" t="str">
        <f>IF(NOT(ISNUMBER(A148)),"",IF(COUNTIFS('交易记录'!$S$5:$S$304,A148,'交易记录'!$Y$5:$Y$304,"已平仓")=0,"",SUMIFS('交易记录'!$AC$5:$AC$304,'交易记录'!$S$5:$S$304,A148,'交易记录'!$Y$5:$Y$304,"已平仓")))</f>
        <v/>
      </c>
      <c r="I148" s="40" t="str">
        <f>IF(NOT(ISNUMBER(H148)),"",IF(H148&lt;=-'参数'!$C$8,"触及停手线",""))</f>
        <v/>
      </c>
      <c r="J148" s="31" t="n"/>
      <c r="K148" s="31" t="n"/>
    </row>
    <row r="149">
      <c r="A149" s="30" t="n"/>
      <c r="B149" s="40" t="str">
        <f>IF(ISNUMBER(A149),"周"&amp;CHOOSE(WEEKDAY(A149,2),"一","二","三","四","五","六","日"),"")</f>
        <v/>
      </c>
      <c r="C149" s="32" t="n"/>
      <c r="D149" s="29" t="n"/>
      <c r="E149" s="47" t="str">
        <f>IF(ISNUMBER(A149),COUNTIFS('交易记录'!$B$5:$B$304,A149,'交易记录'!$Q$5:$Q$304,"已执行"),"")</f>
        <v/>
      </c>
      <c r="F149" s="31" t="n"/>
      <c r="G149" s="29" t="n"/>
      <c r="H149" s="48" t="str">
        <f>IF(NOT(ISNUMBER(A149)),"",IF(COUNTIFS('交易记录'!$S$5:$S$304,A149,'交易记录'!$Y$5:$Y$304,"已平仓")=0,"",SUMIFS('交易记录'!$AC$5:$AC$304,'交易记录'!$S$5:$S$304,A149,'交易记录'!$Y$5:$Y$304,"已平仓")))</f>
        <v/>
      </c>
      <c r="I149" s="40" t="str">
        <f>IF(NOT(ISNUMBER(H149)),"",IF(H149&lt;=-'参数'!$C$8,"触及停手线",""))</f>
        <v/>
      </c>
      <c r="J149" s="31" t="n"/>
      <c r="K149" s="31" t="n"/>
    </row>
    <row r="150">
      <c r="A150" s="30" t="n"/>
      <c r="B150" s="40" t="str">
        <f>IF(ISNUMBER(A150),"周"&amp;CHOOSE(WEEKDAY(A150,2),"一","二","三","四","五","六","日"),"")</f>
        <v/>
      </c>
      <c r="C150" s="32" t="n"/>
      <c r="D150" s="29" t="n"/>
      <c r="E150" s="47" t="str">
        <f>IF(ISNUMBER(A150),COUNTIFS('交易记录'!$B$5:$B$304,A150,'交易记录'!$Q$5:$Q$304,"已执行"),"")</f>
        <v/>
      </c>
      <c r="F150" s="31" t="n"/>
      <c r="G150" s="29" t="n"/>
      <c r="H150" s="48" t="str">
        <f>IF(NOT(ISNUMBER(A150)),"",IF(COUNTIFS('交易记录'!$S$5:$S$304,A150,'交易记录'!$Y$5:$Y$304,"已平仓")=0,"",SUMIFS('交易记录'!$AC$5:$AC$304,'交易记录'!$S$5:$S$304,A150,'交易记录'!$Y$5:$Y$304,"已平仓")))</f>
        <v/>
      </c>
      <c r="I150" s="40" t="str">
        <f>IF(NOT(ISNUMBER(H150)),"",IF(H150&lt;=-'参数'!$C$8,"触及停手线",""))</f>
        <v/>
      </c>
      <c r="J150" s="31" t="n"/>
      <c r="K150" s="31" t="n"/>
    </row>
    <row r="151">
      <c r="A151" s="30" t="n"/>
      <c r="B151" s="40" t="str">
        <f>IF(ISNUMBER(A151),"周"&amp;CHOOSE(WEEKDAY(A151,2),"一","二","三","四","五","六","日"),"")</f>
        <v/>
      </c>
      <c r="C151" s="32" t="n"/>
      <c r="D151" s="29" t="n"/>
      <c r="E151" s="47" t="str">
        <f>IF(ISNUMBER(A151),COUNTIFS('交易记录'!$B$5:$B$304,A151,'交易记录'!$Q$5:$Q$304,"已执行"),"")</f>
        <v/>
      </c>
      <c r="F151" s="31" t="n"/>
      <c r="G151" s="29" t="n"/>
      <c r="H151" s="48" t="str">
        <f>IF(NOT(ISNUMBER(A151)),"",IF(COUNTIFS('交易记录'!$S$5:$S$304,A151,'交易记录'!$Y$5:$Y$304,"已平仓")=0,"",SUMIFS('交易记录'!$AC$5:$AC$304,'交易记录'!$S$5:$S$304,A151,'交易记录'!$Y$5:$Y$304,"已平仓")))</f>
        <v/>
      </c>
      <c r="I151" s="40" t="str">
        <f>IF(NOT(ISNUMBER(H151)),"",IF(H151&lt;=-'参数'!$C$8,"触及停手线",""))</f>
        <v/>
      </c>
      <c r="J151" s="31" t="n"/>
      <c r="K151" s="31" t="n"/>
    </row>
    <row r="152">
      <c r="A152" s="30" t="n"/>
      <c r="B152" s="40" t="str">
        <f>IF(ISNUMBER(A152),"周"&amp;CHOOSE(WEEKDAY(A152,2),"一","二","三","四","五","六","日"),"")</f>
        <v/>
      </c>
      <c r="C152" s="32" t="n"/>
      <c r="D152" s="29" t="n"/>
      <c r="E152" s="47" t="str">
        <f>IF(ISNUMBER(A152),COUNTIFS('交易记录'!$B$5:$B$304,A152,'交易记录'!$Q$5:$Q$304,"已执行"),"")</f>
        <v/>
      </c>
      <c r="F152" s="31" t="n"/>
      <c r="G152" s="29" t="n"/>
      <c r="H152" s="48" t="str">
        <f>IF(NOT(ISNUMBER(A152)),"",IF(COUNTIFS('交易记录'!$S$5:$S$304,A152,'交易记录'!$Y$5:$Y$304,"已平仓")=0,"",SUMIFS('交易记录'!$AC$5:$AC$304,'交易记录'!$S$5:$S$304,A152,'交易记录'!$Y$5:$Y$304,"已平仓")))</f>
        <v/>
      </c>
      <c r="I152" s="40" t="str">
        <f>IF(NOT(ISNUMBER(H152)),"",IF(H152&lt;=-'参数'!$C$8,"触及停手线",""))</f>
        <v/>
      </c>
      <c r="J152" s="31" t="n"/>
      <c r="K152" s="31" t="n"/>
    </row>
    <row r="153">
      <c r="A153" s="30" t="n"/>
      <c r="B153" s="40" t="str">
        <f>IF(ISNUMBER(A153),"周"&amp;CHOOSE(WEEKDAY(A153,2),"一","二","三","四","五","六","日"),"")</f>
        <v/>
      </c>
      <c r="C153" s="32" t="n"/>
      <c r="D153" s="29" t="n"/>
      <c r="E153" s="47" t="str">
        <f>IF(ISNUMBER(A153),COUNTIFS('交易记录'!$B$5:$B$304,A153,'交易记录'!$Q$5:$Q$304,"已执行"),"")</f>
        <v/>
      </c>
      <c r="F153" s="31" t="n"/>
      <c r="G153" s="29" t="n"/>
      <c r="H153" s="48" t="str">
        <f>IF(NOT(ISNUMBER(A153)),"",IF(COUNTIFS('交易记录'!$S$5:$S$304,A153,'交易记录'!$Y$5:$Y$304,"已平仓")=0,"",SUMIFS('交易记录'!$AC$5:$AC$304,'交易记录'!$S$5:$S$304,A153,'交易记录'!$Y$5:$Y$304,"已平仓")))</f>
        <v/>
      </c>
      <c r="I153" s="40" t="str">
        <f>IF(NOT(ISNUMBER(H153)),"",IF(H153&lt;=-'参数'!$C$8,"触及停手线",""))</f>
        <v/>
      </c>
      <c r="J153" s="31" t="n"/>
      <c r="K153" s="31" t="n"/>
    </row>
    <row r="154">
      <c r="A154" s="30" t="n"/>
      <c r="B154" s="40" t="str">
        <f>IF(ISNUMBER(A154),"周"&amp;CHOOSE(WEEKDAY(A154,2),"一","二","三","四","五","六","日"),"")</f>
        <v/>
      </c>
      <c r="C154" s="32" t="n"/>
      <c r="D154" s="29" t="n"/>
      <c r="E154" s="47" t="str">
        <f>IF(ISNUMBER(A154),COUNTIFS('交易记录'!$B$5:$B$304,A154,'交易记录'!$Q$5:$Q$304,"已执行"),"")</f>
        <v/>
      </c>
      <c r="F154" s="31" t="n"/>
      <c r="G154" s="29" t="n"/>
      <c r="H154" s="48" t="str">
        <f>IF(NOT(ISNUMBER(A154)),"",IF(COUNTIFS('交易记录'!$S$5:$S$304,A154,'交易记录'!$Y$5:$Y$304,"已平仓")=0,"",SUMIFS('交易记录'!$AC$5:$AC$304,'交易记录'!$S$5:$S$304,A154,'交易记录'!$Y$5:$Y$304,"已平仓")))</f>
        <v/>
      </c>
      <c r="I154" s="40" t="str">
        <f>IF(NOT(ISNUMBER(H154)),"",IF(H154&lt;=-'参数'!$C$8,"触及停手线",""))</f>
        <v/>
      </c>
      <c r="J154" s="31" t="n"/>
      <c r="K154" s="31" t="n"/>
    </row>
    <row r="155">
      <c r="A155" s="30" t="n"/>
      <c r="B155" s="40" t="str">
        <f>IF(ISNUMBER(A155),"周"&amp;CHOOSE(WEEKDAY(A155,2),"一","二","三","四","五","六","日"),"")</f>
        <v/>
      </c>
      <c r="C155" s="32" t="n"/>
      <c r="D155" s="29" t="n"/>
      <c r="E155" s="47" t="str">
        <f>IF(ISNUMBER(A155),COUNTIFS('交易记录'!$B$5:$B$304,A155,'交易记录'!$Q$5:$Q$304,"已执行"),"")</f>
        <v/>
      </c>
      <c r="F155" s="31" t="n"/>
      <c r="G155" s="29" t="n"/>
      <c r="H155" s="48" t="str">
        <f>IF(NOT(ISNUMBER(A155)),"",IF(COUNTIFS('交易记录'!$S$5:$S$304,A155,'交易记录'!$Y$5:$Y$304,"已平仓")=0,"",SUMIFS('交易记录'!$AC$5:$AC$304,'交易记录'!$S$5:$S$304,A155,'交易记录'!$Y$5:$Y$304,"已平仓")))</f>
        <v/>
      </c>
      <c r="I155" s="40" t="str">
        <f>IF(NOT(ISNUMBER(H155)),"",IF(H155&lt;=-'参数'!$C$8,"触及停手线",""))</f>
        <v/>
      </c>
      <c r="J155" s="31" t="n"/>
      <c r="K155" s="31" t="n"/>
    </row>
    <row r="156">
      <c r="A156" s="30" t="n"/>
      <c r="B156" s="40" t="str">
        <f>IF(ISNUMBER(A156),"周"&amp;CHOOSE(WEEKDAY(A156,2),"一","二","三","四","五","六","日"),"")</f>
        <v/>
      </c>
      <c r="C156" s="32" t="n"/>
      <c r="D156" s="29" t="n"/>
      <c r="E156" s="47" t="str">
        <f>IF(ISNUMBER(A156),COUNTIFS('交易记录'!$B$5:$B$304,A156,'交易记录'!$Q$5:$Q$304,"已执行"),"")</f>
        <v/>
      </c>
      <c r="F156" s="31" t="n"/>
      <c r="G156" s="29" t="n"/>
      <c r="H156" s="48" t="str">
        <f>IF(NOT(ISNUMBER(A156)),"",IF(COUNTIFS('交易记录'!$S$5:$S$304,A156,'交易记录'!$Y$5:$Y$304,"已平仓")=0,"",SUMIFS('交易记录'!$AC$5:$AC$304,'交易记录'!$S$5:$S$304,A156,'交易记录'!$Y$5:$Y$304,"已平仓")))</f>
        <v/>
      </c>
      <c r="I156" s="40" t="str">
        <f>IF(NOT(ISNUMBER(H156)),"",IF(H156&lt;=-'参数'!$C$8,"触及停手线",""))</f>
        <v/>
      </c>
      <c r="J156" s="31" t="n"/>
      <c r="K156" s="31" t="n"/>
    </row>
    <row r="157">
      <c r="A157" s="30" t="n"/>
      <c r="B157" s="40" t="str">
        <f>IF(ISNUMBER(A157),"周"&amp;CHOOSE(WEEKDAY(A157,2),"一","二","三","四","五","六","日"),"")</f>
        <v/>
      </c>
      <c r="C157" s="32" t="n"/>
      <c r="D157" s="29" t="n"/>
      <c r="E157" s="47" t="str">
        <f>IF(ISNUMBER(A157),COUNTIFS('交易记录'!$B$5:$B$304,A157,'交易记录'!$Q$5:$Q$304,"已执行"),"")</f>
        <v/>
      </c>
      <c r="F157" s="31" t="n"/>
      <c r="G157" s="29" t="n"/>
      <c r="H157" s="48" t="str">
        <f>IF(NOT(ISNUMBER(A157)),"",IF(COUNTIFS('交易记录'!$S$5:$S$304,A157,'交易记录'!$Y$5:$Y$304,"已平仓")=0,"",SUMIFS('交易记录'!$AC$5:$AC$304,'交易记录'!$S$5:$S$304,A157,'交易记录'!$Y$5:$Y$304,"已平仓")))</f>
        <v/>
      </c>
      <c r="I157" s="40" t="str">
        <f>IF(NOT(ISNUMBER(H157)),"",IF(H157&lt;=-'参数'!$C$8,"触及停手线",""))</f>
        <v/>
      </c>
      <c r="J157" s="31" t="n"/>
      <c r="K157" s="31" t="n"/>
    </row>
    <row r="158">
      <c r="A158" s="30" t="n"/>
      <c r="B158" s="40" t="str">
        <f>IF(ISNUMBER(A158),"周"&amp;CHOOSE(WEEKDAY(A158,2),"一","二","三","四","五","六","日"),"")</f>
        <v/>
      </c>
      <c r="C158" s="32" t="n"/>
      <c r="D158" s="29" t="n"/>
      <c r="E158" s="47" t="str">
        <f>IF(ISNUMBER(A158),COUNTIFS('交易记录'!$B$5:$B$304,A158,'交易记录'!$Q$5:$Q$304,"已执行"),"")</f>
        <v/>
      </c>
      <c r="F158" s="31" t="n"/>
      <c r="G158" s="29" t="n"/>
      <c r="H158" s="48" t="str">
        <f>IF(NOT(ISNUMBER(A158)),"",IF(COUNTIFS('交易记录'!$S$5:$S$304,A158,'交易记录'!$Y$5:$Y$304,"已平仓")=0,"",SUMIFS('交易记录'!$AC$5:$AC$304,'交易记录'!$S$5:$S$304,A158,'交易记录'!$Y$5:$Y$304,"已平仓")))</f>
        <v/>
      </c>
      <c r="I158" s="40" t="str">
        <f>IF(NOT(ISNUMBER(H158)),"",IF(H158&lt;=-'参数'!$C$8,"触及停手线",""))</f>
        <v/>
      </c>
      <c r="J158" s="31" t="n"/>
      <c r="K158" s="31" t="n"/>
    </row>
    <row r="159">
      <c r="A159" s="30" t="n"/>
      <c r="B159" s="40" t="str">
        <f>IF(ISNUMBER(A159),"周"&amp;CHOOSE(WEEKDAY(A159,2),"一","二","三","四","五","六","日"),"")</f>
        <v/>
      </c>
      <c r="C159" s="32" t="n"/>
      <c r="D159" s="29" t="n"/>
      <c r="E159" s="47" t="str">
        <f>IF(ISNUMBER(A159),COUNTIFS('交易记录'!$B$5:$B$304,A159,'交易记录'!$Q$5:$Q$304,"已执行"),"")</f>
        <v/>
      </c>
      <c r="F159" s="31" t="n"/>
      <c r="G159" s="29" t="n"/>
      <c r="H159" s="48" t="str">
        <f>IF(NOT(ISNUMBER(A159)),"",IF(COUNTIFS('交易记录'!$S$5:$S$304,A159,'交易记录'!$Y$5:$Y$304,"已平仓")=0,"",SUMIFS('交易记录'!$AC$5:$AC$304,'交易记录'!$S$5:$S$304,A159,'交易记录'!$Y$5:$Y$304,"已平仓")))</f>
        <v/>
      </c>
      <c r="I159" s="40" t="str">
        <f>IF(NOT(ISNUMBER(H159)),"",IF(H159&lt;=-'参数'!$C$8,"触及停手线",""))</f>
        <v/>
      </c>
      <c r="J159" s="31" t="n"/>
      <c r="K159" s="31" t="n"/>
    </row>
    <row r="160">
      <c r="A160" s="30" t="n"/>
      <c r="B160" s="40" t="str">
        <f>IF(ISNUMBER(A160),"周"&amp;CHOOSE(WEEKDAY(A160,2),"一","二","三","四","五","六","日"),"")</f>
        <v/>
      </c>
      <c r="C160" s="32" t="n"/>
      <c r="D160" s="29" t="n"/>
      <c r="E160" s="47" t="str">
        <f>IF(ISNUMBER(A160),COUNTIFS('交易记录'!$B$5:$B$304,A160,'交易记录'!$Q$5:$Q$304,"已执行"),"")</f>
        <v/>
      </c>
      <c r="F160" s="31" t="n"/>
      <c r="G160" s="29" t="n"/>
      <c r="H160" s="48" t="str">
        <f>IF(NOT(ISNUMBER(A160)),"",IF(COUNTIFS('交易记录'!$S$5:$S$304,A160,'交易记录'!$Y$5:$Y$304,"已平仓")=0,"",SUMIFS('交易记录'!$AC$5:$AC$304,'交易记录'!$S$5:$S$304,A160,'交易记录'!$Y$5:$Y$304,"已平仓")))</f>
        <v/>
      </c>
      <c r="I160" s="40" t="str">
        <f>IF(NOT(ISNUMBER(H160)),"",IF(H160&lt;=-'参数'!$C$8,"触及停手线",""))</f>
        <v/>
      </c>
      <c r="J160" s="31" t="n"/>
      <c r="K160" s="31" t="n"/>
    </row>
    <row r="161">
      <c r="A161" s="30" t="n"/>
      <c r="B161" s="40" t="str">
        <f>IF(ISNUMBER(A161),"周"&amp;CHOOSE(WEEKDAY(A161,2),"一","二","三","四","五","六","日"),"")</f>
        <v/>
      </c>
      <c r="C161" s="32" t="n"/>
      <c r="D161" s="29" t="n"/>
      <c r="E161" s="47" t="str">
        <f>IF(ISNUMBER(A161),COUNTIFS('交易记录'!$B$5:$B$304,A161,'交易记录'!$Q$5:$Q$304,"已执行"),"")</f>
        <v/>
      </c>
      <c r="F161" s="31" t="n"/>
      <c r="G161" s="29" t="n"/>
      <c r="H161" s="48" t="str">
        <f>IF(NOT(ISNUMBER(A161)),"",IF(COUNTIFS('交易记录'!$S$5:$S$304,A161,'交易记录'!$Y$5:$Y$304,"已平仓")=0,"",SUMIFS('交易记录'!$AC$5:$AC$304,'交易记录'!$S$5:$S$304,A161,'交易记录'!$Y$5:$Y$304,"已平仓")))</f>
        <v/>
      </c>
      <c r="I161" s="40" t="str">
        <f>IF(NOT(ISNUMBER(H161)),"",IF(H161&lt;=-'参数'!$C$8,"触及停手线",""))</f>
        <v/>
      </c>
      <c r="J161" s="31" t="n"/>
      <c r="K161" s="31" t="n"/>
    </row>
    <row r="162">
      <c r="A162" s="30" t="n"/>
      <c r="B162" s="40" t="str">
        <f>IF(ISNUMBER(A162),"周"&amp;CHOOSE(WEEKDAY(A162,2),"一","二","三","四","五","六","日"),"")</f>
        <v/>
      </c>
      <c r="C162" s="32" t="n"/>
      <c r="D162" s="29" t="n"/>
      <c r="E162" s="47" t="str">
        <f>IF(ISNUMBER(A162),COUNTIFS('交易记录'!$B$5:$B$304,A162,'交易记录'!$Q$5:$Q$304,"已执行"),"")</f>
        <v/>
      </c>
      <c r="F162" s="31" t="n"/>
      <c r="G162" s="29" t="n"/>
      <c r="H162" s="48" t="str">
        <f>IF(NOT(ISNUMBER(A162)),"",IF(COUNTIFS('交易记录'!$S$5:$S$304,A162,'交易记录'!$Y$5:$Y$304,"已平仓")=0,"",SUMIFS('交易记录'!$AC$5:$AC$304,'交易记录'!$S$5:$S$304,A162,'交易记录'!$Y$5:$Y$304,"已平仓")))</f>
        <v/>
      </c>
      <c r="I162" s="40" t="str">
        <f>IF(NOT(ISNUMBER(H162)),"",IF(H162&lt;=-'参数'!$C$8,"触及停手线",""))</f>
        <v/>
      </c>
      <c r="J162" s="31" t="n"/>
      <c r="K162" s="31" t="n"/>
    </row>
    <row r="163">
      <c r="A163" s="30" t="n"/>
      <c r="B163" s="40" t="str">
        <f>IF(ISNUMBER(A163),"周"&amp;CHOOSE(WEEKDAY(A163,2),"一","二","三","四","五","六","日"),"")</f>
        <v/>
      </c>
      <c r="C163" s="32" t="n"/>
      <c r="D163" s="29" t="n"/>
      <c r="E163" s="47" t="str">
        <f>IF(ISNUMBER(A163),COUNTIFS('交易记录'!$B$5:$B$304,A163,'交易记录'!$Q$5:$Q$304,"已执行"),"")</f>
        <v/>
      </c>
      <c r="F163" s="31" t="n"/>
      <c r="G163" s="29" t="n"/>
      <c r="H163" s="48" t="str">
        <f>IF(NOT(ISNUMBER(A163)),"",IF(COUNTIFS('交易记录'!$S$5:$S$304,A163,'交易记录'!$Y$5:$Y$304,"已平仓")=0,"",SUMIFS('交易记录'!$AC$5:$AC$304,'交易记录'!$S$5:$S$304,A163,'交易记录'!$Y$5:$Y$304,"已平仓")))</f>
        <v/>
      </c>
      <c r="I163" s="40" t="str">
        <f>IF(NOT(ISNUMBER(H163)),"",IF(H163&lt;=-'参数'!$C$8,"触及停手线",""))</f>
        <v/>
      </c>
      <c r="J163" s="31" t="n"/>
      <c r="K163" s="31" t="n"/>
    </row>
    <row r="164">
      <c r="A164" s="30" t="n"/>
      <c r="B164" s="40" t="str">
        <f>IF(ISNUMBER(A164),"周"&amp;CHOOSE(WEEKDAY(A164,2),"一","二","三","四","五","六","日"),"")</f>
        <v/>
      </c>
      <c r="C164" s="32" t="n"/>
      <c r="D164" s="29" t="n"/>
      <c r="E164" s="47" t="str">
        <f>IF(ISNUMBER(A164),COUNTIFS('交易记录'!$B$5:$B$304,A164,'交易记录'!$Q$5:$Q$304,"已执行"),"")</f>
        <v/>
      </c>
      <c r="F164" s="31" t="n"/>
      <c r="G164" s="29" t="n"/>
      <c r="H164" s="48" t="str">
        <f>IF(NOT(ISNUMBER(A164)),"",IF(COUNTIFS('交易记录'!$S$5:$S$304,A164,'交易记录'!$Y$5:$Y$304,"已平仓")=0,"",SUMIFS('交易记录'!$AC$5:$AC$304,'交易记录'!$S$5:$S$304,A164,'交易记录'!$Y$5:$Y$304,"已平仓")))</f>
        <v/>
      </c>
      <c r="I164" s="40" t="str">
        <f>IF(NOT(ISNUMBER(H164)),"",IF(H164&lt;=-'参数'!$C$8,"触及停手线",""))</f>
        <v/>
      </c>
      <c r="J164" s="31" t="n"/>
      <c r="K164" s="31" t="n"/>
    </row>
    <row r="165">
      <c r="A165" s="30" t="n"/>
      <c r="B165" s="40" t="str">
        <f>IF(ISNUMBER(A165),"周"&amp;CHOOSE(WEEKDAY(A165,2),"一","二","三","四","五","六","日"),"")</f>
        <v/>
      </c>
      <c r="C165" s="32" t="n"/>
      <c r="D165" s="29" t="n"/>
      <c r="E165" s="47" t="str">
        <f>IF(ISNUMBER(A165),COUNTIFS('交易记录'!$B$5:$B$304,A165,'交易记录'!$Q$5:$Q$304,"已执行"),"")</f>
        <v/>
      </c>
      <c r="F165" s="31" t="n"/>
      <c r="G165" s="29" t="n"/>
      <c r="H165" s="48" t="str">
        <f>IF(NOT(ISNUMBER(A165)),"",IF(COUNTIFS('交易记录'!$S$5:$S$304,A165,'交易记录'!$Y$5:$Y$304,"已平仓")=0,"",SUMIFS('交易记录'!$AC$5:$AC$304,'交易记录'!$S$5:$S$304,A165,'交易记录'!$Y$5:$Y$304,"已平仓")))</f>
        <v/>
      </c>
      <c r="I165" s="40" t="str">
        <f>IF(NOT(ISNUMBER(H165)),"",IF(H165&lt;=-'参数'!$C$8,"触及停手线",""))</f>
        <v/>
      </c>
      <c r="J165" s="31" t="n"/>
      <c r="K165" s="31" t="n"/>
    </row>
    <row r="166">
      <c r="A166" s="30" t="n"/>
      <c r="B166" s="40" t="str">
        <f>IF(ISNUMBER(A166),"周"&amp;CHOOSE(WEEKDAY(A166,2),"一","二","三","四","五","六","日"),"")</f>
        <v/>
      </c>
      <c r="C166" s="32" t="n"/>
      <c r="D166" s="29" t="n"/>
      <c r="E166" s="47" t="str">
        <f>IF(ISNUMBER(A166),COUNTIFS('交易记录'!$B$5:$B$304,A166,'交易记录'!$Q$5:$Q$304,"已执行"),"")</f>
        <v/>
      </c>
      <c r="F166" s="31" t="n"/>
      <c r="G166" s="29" t="n"/>
      <c r="H166" s="48" t="str">
        <f>IF(NOT(ISNUMBER(A166)),"",IF(COUNTIFS('交易记录'!$S$5:$S$304,A166,'交易记录'!$Y$5:$Y$304,"已平仓")=0,"",SUMIFS('交易记录'!$AC$5:$AC$304,'交易记录'!$S$5:$S$304,A166,'交易记录'!$Y$5:$Y$304,"已平仓")))</f>
        <v/>
      </c>
      <c r="I166" s="40" t="str">
        <f>IF(NOT(ISNUMBER(H166)),"",IF(H166&lt;=-'参数'!$C$8,"触及停手线",""))</f>
        <v/>
      </c>
      <c r="J166" s="31" t="n"/>
      <c r="K166" s="31" t="n"/>
    </row>
    <row r="167">
      <c r="A167" s="30" t="n"/>
      <c r="B167" s="40" t="str">
        <f>IF(ISNUMBER(A167),"周"&amp;CHOOSE(WEEKDAY(A167,2),"一","二","三","四","五","六","日"),"")</f>
        <v/>
      </c>
      <c r="C167" s="32" t="n"/>
      <c r="D167" s="29" t="n"/>
      <c r="E167" s="47" t="str">
        <f>IF(ISNUMBER(A167),COUNTIFS('交易记录'!$B$5:$B$304,A167,'交易记录'!$Q$5:$Q$304,"已执行"),"")</f>
        <v/>
      </c>
      <c r="F167" s="31" t="n"/>
      <c r="G167" s="29" t="n"/>
      <c r="H167" s="48" t="str">
        <f>IF(NOT(ISNUMBER(A167)),"",IF(COUNTIFS('交易记录'!$S$5:$S$304,A167,'交易记录'!$Y$5:$Y$304,"已平仓")=0,"",SUMIFS('交易记录'!$AC$5:$AC$304,'交易记录'!$S$5:$S$304,A167,'交易记录'!$Y$5:$Y$304,"已平仓")))</f>
        <v/>
      </c>
      <c r="I167" s="40" t="str">
        <f>IF(NOT(ISNUMBER(H167)),"",IF(H167&lt;=-'参数'!$C$8,"触及停手线",""))</f>
        <v/>
      </c>
      <c r="J167" s="31" t="n"/>
      <c r="K167" s="31" t="n"/>
    </row>
    <row r="168">
      <c r="A168" s="30" t="n"/>
      <c r="B168" s="40" t="str">
        <f>IF(ISNUMBER(A168),"周"&amp;CHOOSE(WEEKDAY(A168,2),"一","二","三","四","五","六","日"),"")</f>
        <v/>
      </c>
      <c r="C168" s="32" t="n"/>
      <c r="D168" s="29" t="n"/>
      <c r="E168" s="47" t="str">
        <f>IF(ISNUMBER(A168),COUNTIFS('交易记录'!$B$5:$B$304,A168,'交易记录'!$Q$5:$Q$304,"已执行"),"")</f>
        <v/>
      </c>
      <c r="F168" s="31" t="n"/>
      <c r="G168" s="29" t="n"/>
      <c r="H168" s="48" t="str">
        <f>IF(NOT(ISNUMBER(A168)),"",IF(COUNTIFS('交易记录'!$S$5:$S$304,A168,'交易记录'!$Y$5:$Y$304,"已平仓")=0,"",SUMIFS('交易记录'!$AC$5:$AC$304,'交易记录'!$S$5:$S$304,A168,'交易记录'!$Y$5:$Y$304,"已平仓")))</f>
        <v/>
      </c>
      <c r="I168" s="40" t="str">
        <f>IF(NOT(ISNUMBER(H168)),"",IF(H168&lt;=-'参数'!$C$8,"触及停手线",""))</f>
        <v/>
      </c>
      <c r="J168" s="31" t="n"/>
      <c r="K168" s="31" t="n"/>
    </row>
    <row r="169">
      <c r="A169" s="30" t="n"/>
      <c r="B169" s="40" t="str">
        <f>IF(ISNUMBER(A169),"周"&amp;CHOOSE(WEEKDAY(A169,2),"一","二","三","四","五","六","日"),"")</f>
        <v/>
      </c>
      <c r="C169" s="32" t="n"/>
      <c r="D169" s="29" t="n"/>
      <c r="E169" s="47" t="str">
        <f>IF(ISNUMBER(A169),COUNTIFS('交易记录'!$B$5:$B$304,A169,'交易记录'!$Q$5:$Q$304,"已执行"),"")</f>
        <v/>
      </c>
      <c r="F169" s="31" t="n"/>
      <c r="G169" s="29" t="n"/>
      <c r="H169" s="48" t="str">
        <f>IF(NOT(ISNUMBER(A169)),"",IF(COUNTIFS('交易记录'!$S$5:$S$304,A169,'交易记录'!$Y$5:$Y$304,"已平仓")=0,"",SUMIFS('交易记录'!$AC$5:$AC$304,'交易记录'!$S$5:$S$304,A169,'交易记录'!$Y$5:$Y$304,"已平仓")))</f>
        <v/>
      </c>
      <c r="I169" s="40" t="str">
        <f>IF(NOT(ISNUMBER(H169)),"",IF(H169&lt;=-'参数'!$C$8,"触及停手线",""))</f>
        <v/>
      </c>
      <c r="J169" s="31" t="n"/>
      <c r="K169" s="31" t="n"/>
    </row>
    <row r="170">
      <c r="A170" s="30" t="n"/>
      <c r="B170" s="40" t="str">
        <f>IF(ISNUMBER(A170),"周"&amp;CHOOSE(WEEKDAY(A170,2),"一","二","三","四","五","六","日"),"")</f>
        <v/>
      </c>
      <c r="C170" s="32" t="n"/>
      <c r="D170" s="29" t="n"/>
      <c r="E170" s="47" t="str">
        <f>IF(ISNUMBER(A170),COUNTIFS('交易记录'!$B$5:$B$304,A170,'交易记录'!$Q$5:$Q$304,"已执行"),"")</f>
        <v/>
      </c>
      <c r="F170" s="31" t="n"/>
      <c r="G170" s="29" t="n"/>
      <c r="H170" s="48" t="str">
        <f>IF(NOT(ISNUMBER(A170)),"",IF(COUNTIFS('交易记录'!$S$5:$S$304,A170,'交易记录'!$Y$5:$Y$304,"已平仓")=0,"",SUMIFS('交易记录'!$AC$5:$AC$304,'交易记录'!$S$5:$S$304,A170,'交易记录'!$Y$5:$Y$304,"已平仓")))</f>
        <v/>
      </c>
      <c r="I170" s="40" t="str">
        <f>IF(NOT(ISNUMBER(H170)),"",IF(H170&lt;=-'参数'!$C$8,"触及停手线",""))</f>
        <v/>
      </c>
      <c r="J170" s="31" t="n"/>
      <c r="K170" s="31" t="n"/>
    </row>
    <row r="171">
      <c r="A171" s="30" t="n"/>
      <c r="B171" s="40" t="str">
        <f>IF(ISNUMBER(A171),"周"&amp;CHOOSE(WEEKDAY(A171,2),"一","二","三","四","五","六","日"),"")</f>
        <v/>
      </c>
      <c r="C171" s="32" t="n"/>
      <c r="D171" s="29" t="n"/>
      <c r="E171" s="47" t="str">
        <f>IF(ISNUMBER(A171),COUNTIFS('交易记录'!$B$5:$B$304,A171,'交易记录'!$Q$5:$Q$304,"已执行"),"")</f>
        <v/>
      </c>
      <c r="F171" s="31" t="n"/>
      <c r="G171" s="29" t="n"/>
      <c r="H171" s="48" t="str">
        <f>IF(NOT(ISNUMBER(A171)),"",IF(COUNTIFS('交易记录'!$S$5:$S$304,A171,'交易记录'!$Y$5:$Y$304,"已平仓")=0,"",SUMIFS('交易记录'!$AC$5:$AC$304,'交易记录'!$S$5:$S$304,A171,'交易记录'!$Y$5:$Y$304,"已平仓")))</f>
        <v/>
      </c>
      <c r="I171" s="40" t="str">
        <f>IF(NOT(ISNUMBER(H171)),"",IF(H171&lt;=-'参数'!$C$8,"触及停手线",""))</f>
        <v/>
      </c>
      <c r="J171" s="31" t="n"/>
      <c r="K171" s="31" t="n"/>
    </row>
    <row r="172">
      <c r="A172" s="30" t="n"/>
      <c r="B172" s="40" t="str">
        <f>IF(ISNUMBER(A172),"周"&amp;CHOOSE(WEEKDAY(A172,2),"一","二","三","四","五","六","日"),"")</f>
        <v/>
      </c>
      <c r="C172" s="32" t="n"/>
      <c r="D172" s="29" t="n"/>
      <c r="E172" s="47" t="str">
        <f>IF(ISNUMBER(A172),COUNTIFS('交易记录'!$B$5:$B$304,A172,'交易记录'!$Q$5:$Q$304,"已执行"),"")</f>
        <v/>
      </c>
      <c r="F172" s="31" t="n"/>
      <c r="G172" s="29" t="n"/>
      <c r="H172" s="48" t="str">
        <f>IF(NOT(ISNUMBER(A172)),"",IF(COUNTIFS('交易记录'!$S$5:$S$304,A172,'交易记录'!$Y$5:$Y$304,"已平仓")=0,"",SUMIFS('交易记录'!$AC$5:$AC$304,'交易记录'!$S$5:$S$304,A172,'交易记录'!$Y$5:$Y$304,"已平仓")))</f>
        <v/>
      </c>
      <c r="I172" s="40" t="str">
        <f>IF(NOT(ISNUMBER(H172)),"",IF(H172&lt;=-'参数'!$C$8,"触及停手线",""))</f>
        <v/>
      </c>
      <c r="J172" s="31" t="n"/>
      <c r="K172" s="31" t="n"/>
    </row>
    <row r="173">
      <c r="A173" s="30" t="n"/>
      <c r="B173" s="40" t="str">
        <f>IF(ISNUMBER(A173),"周"&amp;CHOOSE(WEEKDAY(A173,2),"一","二","三","四","五","六","日"),"")</f>
        <v/>
      </c>
      <c r="C173" s="32" t="n"/>
      <c r="D173" s="29" t="n"/>
      <c r="E173" s="47" t="str">
        <f>IF(ISNUMBER(A173),COUNTIFS('交易记录'!$B$5:$B$304,A173,'交易记录'!$Q$5:$Q$304,"已执行"),"")</f>
        <v/>
      </c>
      <c r="F173" s="31" t="n"/>
      <c r="G173" s="29" t="n"/>
      <c r="H173" s="48" t="str">
        <f>IF(NOT(ISNUMBER(A173)),"",IF(COUNTIFS('交易记录'!$S$5:$S$304,A173,'交易记录'!$Y$5:$Y$304,"已平仓")=0,"",SUMIFS('交易记录'!$AC$5:$AC$304,'交易记录'!$S$5:$S$304,A173,'交易记录'!$Y$5:$Y$304,"已平仓")))</f>
        <v/>
      </c>
      <c r="I173" s="40" t="str">
        <f>IF(NOT(ISNUMBER(H173)),"",IF(H173&lt;=-'参数'!$C$8,"触及停手线",""))</f>
        <v/>
      </c>
      <c r="J173" s="31" t="n"/>
      <c r="K173" s="31" t="n"/>
    </row>
    <row r="174">
      <c r="A174" s="30" t="n"/>
      <c r="B174" s="40" t="str">
        <f>IF(ISNUMBER(A174),"周"&amp;CHOOSE(WEEKDAY(A174,2),"一","二","三","四","五","六","日"),"")</f>
        <v/>
      </c>
      <c r="C174" s="32" t="n"/>
      <c r="D174" s="29" t="n"/>
      <c r="E174" s="47" t="str">
        <f>IF(ISNUMBER(A174),COUNTIFS('交易记录'!$B$5:$B$304,A174,'交易记录'!$Q$5:$Q$304,"已执行"),"")</f>
        <v/>
      </c>
      <c r="F174" s="31" t="n"/>
      <c r="G174" s="29" t="n"/>
      <c r="H174" s="48" t="str">
        <f>IF(NOT(ISNUMBER(A174)),"",IF(COUNTIFS('交易记录'!$S$5:$S$304,A174,'交易记录'!$Y$5:$Y$304,"已平仓")=0,"",SUMIFS('交易记录'!$AC$5:$AC$304,'交易记录'!$S$5:$S$304,A174,'交易记录'!$Y$5:$Y$304,"已平仓")))</f>
        <v/>
      </c>
      <c r="I174" s="40" t="str">
        <f>IF(NOT(ISNUMBER(H174)),"",IF(H174&lt;=-'参数'!$C$8,"触及停手线",""))</f>
        <v/>
      </c>
      <c r="J174" s="31" t="n"/>
      <c r="K174" s="31" t="n"/>
    </row>
    <row r="175">
      <c r="A175" s="30" t="n"/>
      <c r="B175" s="40" t="str">
        <f>IF(ISNUMBER(A175),"周"&amp;CHOOSE(WEEKDAY(A175,2),"一","二","三","四","五","六","日"),"")</f>
        <v/>
      </c>
      <c r="C175" s="32" t="n"/>
      <c r="D175" s="29" t="n"/>
      <c r="E175" s="47" t="str">
        <f>IF(ISNUMBER(A175),COUNTIFS('交易记录'!$B$5:$B$304,A175,'交易记录'!$Q$5:$Q$304,"已执行"),"")</f>
        <v/>
      </c>
      <c r="F175" s="31" t="n"/>
      <c r="G175" s="29" t="n"/>
      <c r="H175" s="48" t="str">
        <f>IF(NOT(ISNUMBER(A175)),"",IF(COUNTIFS('交易记录'!$S$5:$S$304,A175,'交易记录'!$Y$5:$Y$304,"已平仓")=0,"",SUMIFS('交易记录'!$AC$5:$AC$304,'交易记录'!$S$5:$S$304,A175,'交易记录'!$Y$5:$Y$304,"已平仓")))</f>
        <v/>
      </c>
      <c r="I175" s="40" t="str">
        <f>IF(NOT(ISNUMBER(H175)),"",IF(H175&lt;=-'参数'!$C$8,"触及停手线",""))</f>
        <v/>
      </c>
      <c r="J175" s="31" t="n"/>
      <c r="K175" s="31" t="n"/>
    </row>
    <row r="176">
      <c r="A176" s="30" t="n"/>
      <c r="B176" s="40" t="str">
        <f>IF(ISNUMBER(A176),"周"&amp;CHOOSE(WEEKDAY(A176,2),"一","二","三","四","五","六","日"),"")</f>
        <v/>
      </c>
      <c r="C176" s="32" t="n"/>
      <c r="D176" s="29" t="n"/>
      <c r="E176" s="47" t="str">
        <f>IF(ISNUMBER(A176),COUNTIFS('交易记录'!$B$5:$B$304,A176,'交易记录'!$Q$5:$Q$304,"已执行"),"")</f>
        <v/>
      </c>
      <c r="F176" s="31" t="n"/>
      <c r="G176" s="29" t="n"/>
      <c r="H176" s="48" t="str">
        <f>IF(NOT(ISNUMBER(A176)),"",IF(COUNTIFS('交易记录'!$S$5:$S$304,A176,'交易记录'!$Y$5:$Y$304,"已平仓")=0,"",SUMIFS('交易记录'!$AC$5:$AC$304,'交易记录'!$S$5:$S$304,A176,'交易记录'!$Y$5:$Y$304,"已平仓")))</f>
        <v/>
      </c>
      <c r="I176" s="40" t="str">
        <f>IF(NOT(ISNUMBER(H176)),"",IF(H176&lt;=-'参数'!$C$8,"触及停手线",""))</f>
        <v/>
      </c>
      <c r="J176" s="31" t="n"/>
      <c r="K176" s="31" t="n"/>
    </row>
    <row r="177">
      <c r="A177" s="30" t="n"/>
      <c r="B177" s="40" t="str">
        <f>IF(ISNUMBER(A177),"周"&amp;CHOOSE(WEEKDAY(A177,2),"一","二","三","四","五","六","日"),"")</f>
        <v/>
      </c>
      <c r="C177" s="32" t="n"/>
      <c r="D177" s="29" t="n"/>
      <c r="E177" s="47" t="str">
        <f>IF(ISNUMBER(A177),COUNTIFS('交易记录'!$B$5:$B$304,A177,'交易记录'!$Q$5:$Q$304,"已执行"),"")</f>
        <v/>
      </c>
      <c r="F177" s="31" t="n"/>
      <c r="G177" s="29" t="n"/>
      <c r="H177" s="48" t="str">
        <f>IF(NOT(ISNUMBER(A177)),"",IF(COUNTIFS('交易记录'!$S$5:$S$304,A177,'交易记录'!$Y$5:$Y$304,"已平仓")=0,"",SUMIFS('交易记录'!$AC$5:$AC$304,'交易记录'!$S$5:$S$304,A177,'交易记录'!$Y$5:$Y$304,"已平仓")))</f>
        <v/>
      </c>
      <c r="I177" s="40" t="str">
        <f>IF(NOT(ISNUMBER(H177)),"",IF(H177&lt;=-'参数'!$C$8,"触及停手线",""))</f>
        <v/>
      </c>
      <c r="J177" s="31" t="n"/>
      <c r="K177" s="31" t="n"/>
    </row>
    <row r="178">
      <c r="A178" s="30" t="n"/>
      <c r="B178" s="40" t="str">
        <f>IF(ISNUMBER(A178),"周"&amp;CHOOSE(WEEKDAY(A178,2),"一","二","三","四","五","六","日"),"")</f>
        <v/>
      </c>
      <c r="C178" s="32" t="n"/>
      <c r="D178" s="29" t="n"/>
      <c r="E178" s="47" t="str">
        <f>IF(ISNUMBER(A178),COUNTIFS('交易记录'!$B$5:$B$304,A178,'交易记录'!$Q$5:$Q$304,"已执行"),"")</f>
        <v/>
      </c>
      <c r="F178" s="31" t="n"/>
      <c r="G178" s="29" t="n"/>
      <c r="H178" s="48" t="str">
        <f>IF(NOT(ISNUMBER(A178)),"",IF(COUNTIFS('交易记录'!$S$5:$S$304,A178,'交易记录'!$Y$5:$Y$304,"已平仓")=0,"",SUMIFS('交易记录'!$AC$5:$AC$304,'交易记录'!$S$5:$S$304,A178,'交易记录'!$Y$5:$Y$304,"已平仓")))</f>
        <v/>
      </c>
      <c r="I178" s="40" t="str">
        <f>IF(NOT(ISNUMBER(H178)),"",IF(H178&lt;=-'参数'!$C$8,"触及停手线",""))</f>
        <v/>
      </c>
      <c r="J178" s="31" t="n"/>
      <c r="K178" s="31" t="n"/>
    </row>
    <row r="179">
      <c r="A179" s="30" t="n"/>
      <c r="B179" s="40" t="str">
        <f>IF(ISNUMBER(A179),"周"&amp;CHOOSE(WEEKDAY(A179,2),"一","二","三","四","五","六","日"),"")</f>
        <v/>
      </c>
      <c r="C179" s="32" t="n"/>
      <c r="D179" s="29" t="n"/>
      <c r="E179" s="47" t="str">
        <f>IF(ISNUMBER(A179),COUNTIFS('交易记录'!$B$5:$B$304,A179,'交易记录'!$Q$5:$Q$304,"已执行"),"")</f>
        <v/>
      </c>
      <c r="F179" s="31" t="n"/>
      <c r="G179" s="29" t="n"/>
      <c r="H179" s="48" t="str">
        <f>IF(NOT(ISNUMBER(A179)),"",IF(COUNTIFS('交易记录'!$S$5:$S$304,A179,'交易记录'!$Y$5:$Y$304,"已平仓")=0,"",SUMIFS('交易记录'!$AC$5:$AC$304,'交易记录'!$S$5:$S$304,A179,'交易记录'!$Y$5:$Y$304,"已平仓")))</f>
        <v/>
      </c>
      <c r="I179" s="40" t="str">
        <f>IF(NOT(ISNUMBER(H179)),"",IF(H179&lt;=-'参数'!$C$8,"触及停手线",""))</f>
        <v/>
      </c>
      <c r="J179" s="31" t="n"/>
      <c r="K179" s="31" t="n"/>
    </row>
    <row r="180">
      <c r="A180" s="30" t="n"/>
      <c r="B180" s="40" t="str">
        <f>IF(ISNUMBER(A180),"周"&amp;CHOOSE(WEEKDAY(A180,2),"一","二","三","四","五","六","日"),"")</f>
        <v/>
      </c>
      <c r="C180" s="32" t="n"/>
      <c r="D180" s="29" t="n"/>
      <c r="E180" s="47" t="str">
        <f>IF(ISNUMBER(A180),COUNTIFS('交易记录'!$B$5:$B$304,A180,'交易记录'!$Q$5:$Q$304,"已执行"),"")</f>
        <v/>
      </c>
      <c r="F180" s="31" t="n"/>
      <c r="G180" s="29" t="n"/>
      <c r="H180" s="48" t="str">
        <f>IF(NOT(ISNUMBER(A180)),"",IF(COUNTIFS('交易记录'!$S$5:$S$304,A180,'交易记录'!$Y$5:$Y$304,"已平仓")=0,"",SUMIFS('交易记录'!$AC$5:$AC$304,'交易记录'!$S$5:$S$304,A180,'交易记录'!$Y$5:$Y$304,"已平仓")))</f>
        <v/>
      </c>
      <c r="I180" s="40" t="str">
        <f>IF(NOT(ISNUMBER(H180)),"",IF(H180&lt;=-'参数'!$C$8,"触及停手线",""))</f>
        <v/>
      </c>
      <c r="J180" s="31" t="n"/>
      <c r="K180" s="31" t="n"/>
    </row>
    <row r="181">
      <c r="A181" s="30" t="n"/>
      <c r="B181" s="40" t="str">
        <f>IF(ISNUMBER(A181),"周"&amp;CHOOSE(WEEKDAY(A181,2),"一","二","三","四","五","六","日"),"")</f>
        <v/>
      </c>
      <c r="C181" s="32" t="n"/>
      <c r="D181" s="29" t="n"/>
      <c r="E181" s="47" t="str">
        <f>IF(ISNUMBER(A181),COUNTIFS('交易记录'!$B$5:$B$304,A181,'交易记录'!$Q$5:$Q$304,"已执行"),"")</f>
        <v/>
      </c>
      <c r="F181" s="31" t="n"/>
      <c r="G181" s="29" t="n"/>
      <c r="H181" s="48" t="str">
        <f>IF(NOT(ISNUMBER(A181)),"",IF(COUNTIFS('交易记录'!$S$5:$S$304,A181,'交易记录'!$Y$5:$Y$304,"已平仓")=0,"",SUMIFS('交易记录'!$AC$5:$AC$304,'交易记录'!$S$5:$S$304,A181,'交易记录'!$Y$5:$Y$304,"已平仓")))</f>
        <v/>
      </c>
      <c r="I181" s="40" t="str">
        <f>IF(NOT(ISNUMBER(H181)),"",IF(H181&lt;=-'参数'!$C$8,"触及停手线",""))</f>
        <v/>
      </c>
      <c r="J181" s="31" t="n"/>
      <c r="K181" s="31" t="n"/>
    </row>
    <row r="182">
      <c r="A182" s="30" t="n"/>
      <c r="B182" s="40" t="str">
        <f>IF(ISNUMBER(A182),"周"&amp;CHOOSE(WEEKDAY(A182,2),"一","二","三","四","五","六","日"),"")</f>
        <v/>
      </c>
      <c r="C182" s="32" t="n"/>
      <c r="D182" s="29" t="n"/>
      <c r="E182" s="47" t="str">
        <f>IF(ISNUMBER(A182),COUNTIFS('交易记录'!$B$5:$B$304,A182,'交易记录'!$Q$5:$Q$304,"已执行"),"")</f>
        <v/>
      </c>
      <c r="F182" s="31" t="n"/>
      <c r="G182" s="29" t="n"/>
      <c r="H182" s="48" t="str">
        <f>IF(NOT(ISNUMBER(A182)),"",IF(COUNTIFS('交易记录'!$S$5:$S$304,A182,'交易记录'!$Y$5:$Y$304,"已平仓")=0,"",SUMIFS('交易记录'!$AC$5:$AC$304,'交易记录'!$S$5:$S$304,A182,'交易记录'!$Y$5:$Y$304,"已平仓")))</f>
        <v/>
      </c>
      <c r="I182" s="40" t="str">
        <f>IF(NOT(ISNUMBER(H182)),"",IF(H182&lt;=-'参数'!$C$8,"触及停手线",""))</f>
        <v/>
      </c>
      <c r="J182" s="31" t="n"/>
      <c r="K182" s="31" t="n"/>
    </row>
    <row r="183">
      <c r="A183" s="30" t="n"/>
      <c r="B183" s="40" t="str">
        <f>IF(ISNUMBER(A183),"周"&amp;CHOOSE(WEEKDAY(A183,2),"一","二","三","四","五","六","日"),"")</f>
        <v/>
      </c>
      <c r="C183" s="32" t="n"/>
      <c r="D183" s="29" t="n"/>
      <c r="E183" s="47" t="str">
        <f>IF(ISNUMBER(A183),COUNTIFS('交易记录'!$B$5:$B$304,A183,'交易记录'!$Q$5:$Q$304,"已执行"),"")</f>
        <v/>
      </c>
      <c r="F183" s="31" t="n"/>
      <c r="G183" s="29" t="n"/>
      <c r="H183" s="48" t="str">
        <f>IF(NOT(ISNUMBER(A183)),"",IF(COUNTIFS('交易记录'!$S$5:$S$304,A183,'交易记录'!$Y$5:$Y$304,"已平仓")=0,"",SUMIFS('交易记录'!$AC$5:$AC$304,'交易记录'!$S$5:$S$304,A183,'交易记录'!$Y$5:$Y$304,"已平仓")))</f>
        <v/>
      </c>
      <c r="I183" s="40" t="str">
        <f>IF(NOT(ISNUMBER(H183)),"",IF(H183&lt;=-'参数'!$C$8,"触及停手线",""))</f>
        <v/>
      </c>
      <c r="J183" s="31" t="n"/>
      <c r="K183" s="31" t="n"/>
    </row>
    <row r="184">
      <c r="A184" s="30" t="n"/>
      <c r="B184" s="40" t="str">
        <f>IF(ISNUMBER(A184),"周"&amp;CHOOSE(WEEKDAY(A184,2),"一","二","三","四","五","六","日"),"")</f>
        <v/>
      </c>
      <c r="C184" s="32" t="n"/>
      <c r="D184" s="29" t="n"/>
      <c r="E184" s="47" t="str">
        <f>IF(ISNUMBER(A184),COUNTIFS('交易记录'!$B$5:$B$304,A184,'交易记录'!$Q$5:$Q$304,"已执行"),"")</f>
        <v/>
      </c>
      <c r="F184" s="31" t="n"/>
      <c r="G184" s="29" t="n"/>
      <c r="H184" s="48" t="str">
        <f>IF(NOT(ISNUMBER(A184)),"",IF(COUNTIFS('交易记录'!$S$5:$S$304,A184,'交易记录'!$Y$5:$Y$304,"已平仓")=0,"",SUMIFS('交易记录'!$AC$5:$AC$304,'交易记录'!$S$5:$S$304,A184,'交易记录'!$Y$5:$Y$304,"已平仓")))</f>
        <v/>
      </c>
      <c r="I184" s="40" t="str">
        <f>IF(NOT(ISNUMBER(H184)),"",IF(H184&lt;=-'参数'!$C$8,"触及停手线",""))</f>
        <v/>
      </c>
      <c r="J184" s="31" t="n"/>
      <c r="K184" s="31" t="n"/>
    </row>
    <row r="185">
      <c r="A185" s="30" t="n"/>
      <c r="B185" s="40" t="str">
        <f>IF(ISNUMBER(A185),"周"&amp;CHOOSE(WEEKDAY(A185,2),"一","二","三","四","五","六","日"),"")</f>
        <v/>
      </c>
      <c r="C185" s="32" t="n"/>
      <c r="D185" s="29" t="n"/>
      <c r="E185" s="47" t="str">
        <f>IF(ISNUMBER(A185),COUNTIFS('交易记录'!$B$5:$B$304,A185,'交易记录'!$Q$5:$Q$304,"已执行"),"")</f>
        <v/>
      </c>
      <c r="F185" s="31" t="n"/>
      <c r="G185" s="29" t="n"/>
      <c r="H185" s="48" t="str">
        <f>IF(NOT(ISNUMBER(A185)),"",IF(COUNTIFS('交易记录'!$S$5:$S$304,A185,'交易记录'!$Y$5:$Y$304,"已平仓")=0,"",SUMIFS('交易记录'!$AC$5:$AC$304,'交易记录'!$S$5:$S$304,A185,'交易记录'!$Y$5:$Y$304,"已平仓")))</f>
        <v/>
      </c>
      <c r="I185" s="40" t="str">
        <f>IF(NOT(ISNUMBER(H185)),"",IF(H185&lt;=-'参数'!$C$8,"触及停手线",""))</f>
        <v/>
      </c>
      <c r="J185" s="31" t="n"/>
      <c r="K185" s="31" t="n"/>
    </row>
    <row r="186">
      <c r="A186" s="30" t="n"/>
      <c r="B186" s="40" t="str">
        <f>IF(ISNUMBER(A186),"周"&amp;CHOOSE(WEEKDAY(A186,2),"一","二","三","四","五","六","日"),"")</f>
        <v/>
      </c>
      <c r="C186" s="32" t="n"/>
      <c r="D186" s="29" t="n"/>
      <c r="E186" s="47" t="str">
        <f>IF(ISNUMBER(A186),COUNTIFS('交易记录'!$B$5:$B$304,A186,'交易记录'!$Q$5:$Q$304,"已执行"),"")</f>
        <v/>
      </c>
      <c r="F186" s="31" t="n"/>
      <c r="G186" s="29" t="n"/>
      <c r="H186" s="48" t="str">
        <f>IF(NOT(ISNUMBER(A186)),"",IF(COUNTIFS('交易记录'!$S$5:$S$304,A186,'交易记录'!$Y$5:$Y$304,"已平仓")=0,"",SUMIFS('交易记录'!$AC$5:$AC$304,'交易记录'!$S$5:$S$304,A186,'交易记录'!$Y$5:$Y$304,"已平仓")))</f>
        <v/>
      </c>
      <c r="I186" s="40" t="str">
        <f>IF(NOT(ISNUMBER(H186)),"",IF(H186&lt;=-'参数'!$C$8,"触及停手线",""))</f>
        <v/>
      </c>
      <c r="J186" s="31" t="n"/>
      <c r="K186" s="31" t="n"/>
    </row>
    <row r="187">
      <c r="A187" s="30" t="n"/>
      <c r="B187" s="40" t="str">
        <f>IF(ISNUMBER(A187),"周"&amp;CHOOSE(WEEKDAY(A187,2),"一","二","三","四","五","六","日"),"")</f>
        <v/>
      </c>
      <c r="C187" s="32" t="n"/>
      <c r="D187" s="29" t="n"/>
      <c r="E187" s="47" t="str">
        <f>IF(ISNUMBER(A187),COUNTIFS('交易记录'!$B$5:$B$304,A187,'交易记录'!$Q$5:$Q$304,"已执行"),"")</f>
        <v/>
      </c>
      <c r="F187" s="31" t="n"/>
      <c r="G187" s="29" t="n"/>
      <c r="H187" s="48" t="str">
        <f>IF(NOT(ISNUMBER(A187)),"",IF(COUNTIFS('交易记录'!$S$5:$S$304,A187,'交易记录'!$Y$5:$Y$304,"已平仓")=0,"",SUMIFS('交易记录'!$AC$5:$AC$304,'交易记录'!$S$5:$S$304,A187,'交易记录'!$Y$5:$Y$304,"已平仓")))</f>
        <v/>
      </c>
      <c r="I187" s="40" t="str">
        <f>IF(NOT(ISNUMBER(H187)),"",IF(H187&lt;=-'参数'!$C$8,"触及停手线",""))</f>
        <v/>
      </c>
      <c r="J187" s="31" t="n"/>
      <c r="K187" s="31" t="n"/>
    </row>
    <row r="188">
      <c r="A188" s="30" t="n"/>
      <c r="B188" s="40" t="str">
        <f>IF(ISNUMBER(A188),"周"&amp;CHOOSE(WEEKDAY(A188,2),"一","二","三","四","五","六","日"),"")</f>
        <v/>
      </c>
      <c r="C188" s="32" t="n"/>
      <c r="D188" s="29" t="n"/>
      <c r="E188" s="47" t="str">
        <f>IF(ISNUMBER(A188),COUNTIFS('交易记录'!$B$5:$B$304,A188,'交易记录'!$Q$5:$Q$304,"已执行"),"")</f>
        <v/>
      </c>
      <c r="F188" s="31" t="n"/>
      <c r="G188" s="29" t="n"/>
      <c r="H188" s="48" t="str">
        <f>IF(NOT(ISNUMBER(A188)),"",IF(COUNTIFS('交易记录'!$S$5:$S$304,A188,'交易记录'!$Y$5:$Y$304,"已平仓")=0,"",SUMIFS('交易记录'!$AC$5:$AC$304,'交易记录'!$S$5:$S$304,A188,'交易记录'!$Y$5:$Y$304,"已平仓")))</f>
        <v/>
      </c>
      <c r="I188" s="40" t="str">
        <f>IF(NOT(ISNUMBER(H188)),"",IF(H188&lt;=-'参数'!$C$8,"触及停手线",""))</f>
        <v/>
      </c>
      <c r="J188" s="31" t="n"/>
      <c r="K188" s="31" t="n"/>
    </row>
    <row r="189">
      <c r="A189" s="30" t="n"/>
      <c r="B189" s="40" t="str">
        <f>IF(ISNUMBER(A189),"周"&amp;CHOOSE(WEEKDAY(A189,2),"一","二","三","四","五","六","日"),"")</f>
        <v/>
      </c>
      <c r="C189" s="32" t="n"/>
      <c r="D189" s="29" t="n"/>
      <c r="E189" s="47" t="str">
        <f>IF(ISNUMBER(A189),COUNTIFS('交易记录'!$B$5:$B$304,A189,'交易记录'!$Q$5:$Q$304,"已执行"),"")</f>
        <v/>
      </c>
      <c r="F189" s="31" t="n"/>
      <c r="G189" s="29" t="n"/>
      <c r="H189" s="48" t="str">
        <f>IF(NOT(ISNUMBER(A189)),"",IF(COUNTIFS('交易记录'!$S$5:$S$304,A189,'交易记录'!$Y$5:$Y$304,"已平仓")=0,"",SUMIFS('交易记录'!$AC$5:$AC$304,'交易记录'!$S$5:$S$304,A189,'交易记录'!$Y$5:$Y$304,"已平仓")))</f>
        <v/>
      </c>
      <c r="I189" s="40" t="str">
        <f>IF(NOT(ISNUMBER(H189)),"",IF(H189&lt;=-'参数'!$C$8,"触及停手线",""))</f>
        <v/>
      </c>
      <c r="J189" s="31" t="n"/>
      <c r="K189" s="31" t="n"/>
    </row>
    <row r="190">
      <c r="A190" s="30" t="n"/>
      <c r="B190" s="40" t="str">
        <f>IF(ISNUMBER(A190),"周"&amp;CHOOSE(WEEKDAY(A190,2),"一","二","三","四","五","六","日"),"")</f>
        <v/>
      </c>
      <c r="C190" s="32" t="n"/>
      <c r="D190" s="29" t="n"/>
      <c r="E190" s="47" t="str">
        <f>IF(ISNUMBER(A190),COUNTIFS('交易记录'!$B$5:$B$304,A190,'交易记录'!$Q$5:$Q$304,"已执行"),"")</f>
        <v/>
      </c>
      <c r="F190" s="31" t="n"/>
      <c r="G190" s="29" t="n"/>
      <c r="H190" s="48" t="str">
        <f>IF(NOT(ISNUMBER(A190)),"",IF(COUNTIFS('交易记录'!$S$5:$S$304,A190,'交易记录'!$Y$5:$Y$304,"已平仓")=0,"",SUMIFS('交易记录'!$AC$5:$AC$304,'交易记录'!$S$5:$S$304,A190,'交易记录'!$Y$5:$Y$304,"已平仓")))</f>
        <v/>
      </c>
      <c r="I190" s="40" t="str">
        <f>IF(NOT(ISNUMBER(H190)),"",IF(H190&lt;=-'参数'!$C$8,"触及停手线",""))</f>
        <v/>
      </c>
      <c r="J190" s="31" t="n"/>
      <c r="K190" s="31" t="n"/>
    </row>
    <row r="191">
      <c r="A191" s="30" t="n"/>
      <c r="B191" s="40" t="str">
        <f>IF(ISNUMBER(A191),"周"&amp;CHOOSE(WEEKDAY(A191,2),"一","二","三","四","五","六","日"),"")</f>
        <v/>
      </c>
      <c r="C191" s="32" t="n"/>
      <c r="D191" s="29" t="n"/>
      <c r="E191" s="47" t="str">
        <f>IF(ISNUMBER(A191),COUNTIFS('交易记录'!$B$5:$B$304,A191,'交易记录'!$Q$5:$Q$304,"已执行"),"")</f>
        <v/>
      </c>
      <c r="F191" s="31" t="n"/>
      <c r="G191" s="29" t="n"/>
      <c r="H191" s="48" t="str">
        <f>IF(NOT(ISNUMBER(A191)),"",IF(COUNTIFS('交易记录'!$S$5:$S$304,A191,'交易记录'!$Y$5:$Y$304,"已平仓")=0,"",SUMIFS('交易记录'!$AC$5:$AC$304,'交易记录'!$S$5:$S$304,A191,'交易记录'!$Y$5:$Y$304,"已平仓")))</f>
        <v/>
      </c>
      <c r="I191" s="40" t="str">
        <f>IF(NOT(ISNUMBER(H191)),"",IF(H191&lt;=-'参数'!$C$8,"触及停手线",""))</f>
        <v/>
      </c>
      <c r="J191" s="31" t="n"/>
      <c r="K191" s="31" t="n"/>
    </row>
    <row r="192">
      <c r="A192" s="30" t="n"/>
      <c r="B192" s="40" t="str">
        <f>IF(ISNUMBER(A192),"周"&amp;CHOOSE(WEEKDAY(A192,2),"一","二","三","四","五","六","日"),"")</f>
        <v/>
      </c>
      <c r="C192" s="32" t="n"/>
      <c r="D192" s="29" t="n"/>
      <c r="E192" s="47" t="str">
        <f>IF(ISNUMBER(A192),COUNTIFS('交易记录'!$B$5:$B$304,A192,'交易记录'!$Q$5:$Q$304,"已执行"),"")</f>
        <v/>
      </c>
      <c r="F192" s="31" t="n"/>
      <c r="G192" s="29" t="n"/>
      <c r="H192" s="48" t="str">
        <f>IF(NOT(ISNUMBER(A192)),"",IF(COUNTIFS('交易记录'!$S$5:$S$304,A192,'交易记录'!$Y$5:$Y$304,"已平仓")=0,"",SUMIFS('交易记录'!$AC$5:$AC$304,'交易记录'!$S$5:$S$304,A192,'交易记录'!$Y$5:$Y$304,"已平仓")))</f>
        <v/>
      </c>
      <c r="I192" s="40" t="str">
        <f>IF(NOT(ISNUMBER(H192)),"",IF(H192&lt;=-'参数'!$C$8,"触及停手线",""))</f>
        <v/>
      </c>
      <c r="J192" s="31" t="n"/>
      <c r="K192" s="31" t="n"/>
    </row>
    <row r="193">
      <c r="A193" s="30" t="n"/>
      <c r="B193" s="40" t="str">
        <f>IF(ISNUMBER(A193),"周"&amp;CHOOSE(WEEKDAY(A193,2),"一","二","三","四","五","六","日"),"")</f>
        <v/>
      </c>
      <c r="C193" s="32" t="n"/>
      <c r="D193" s="29" t="n"/>
      <c r="E193" s="47" t="str">
        <f>IF(ISNUMBER(A193),COUNTIFS('交易记录'!$B$5:$B$304,A193,'交易记录'!$Q$5:$Q$304,"已执行"),"")</f>
        <v/>
      </c>
      <c r="F193" s="31" t="n"/>
      <c r="G193" s="29" t="n"/>
      <c r="H193" s="48" t="str">
        <f>IF(NOT(ISNUMBER(A193)),"",IF(COUNTIFS('交易记录'!$S$5:$S$304,A193,'交易记录'!$Y$5:$Y$304,"已平仓")=0,"",SUMIFS('交易记录'!$AC$5:$AC$304,'交易记录'!$S$5:$S$304,A193,'交易记录'!$Y$5:$Y$304,"已平仓")))</f>
        <v/>
      </c>
      <c r="I193" s="40" t="str">
        <f>IF(NOT(ISNUMBER(H193)),"",IF(H193&lt;=-'参数'!$C$8,"触及停手线",""))</f>
        <v/>
      </c>
      <c r="J193" s="31" t="n"/>
      <c r="K193" s="31" t="n"/>
    </row>
    <row r="194">
      <c r="A194" s="30" t="n"/>
      <c r="B194" s="40" t="str">
        <f>IF(ISNUMBER(A194),"周"&amp;CHOOSE(WEEKDAY(A194,2),"一","二","三","四","五","六","日"),"")</f>
        <v/>
      </c>
      <c r="C194" s="32" t="n"/>
      <c r="D194" s="29" t="n"/>
      <c r="E194" s="47" t="str">
        <f>IF(ISNUMBER(A194),COUNTIFS('交易记录'!$B$5:$B$304,A194,'交易记录'!$Q$5:$Q$304,"已执行"),"")</f>
        <v/>
      </c>
      <c r="F194" s="31" t="n"/>
      <c r="G194" s="29" t="n"/>
      <c r="H194" s="48" t="str">
        <f>IF(NOT(ISNUMBER(A194)),"",IF(COUNTIFS('交易记录'!$S$5:$S$304,A194,'交易记录'!$Y$5:$Y$304,"已平仓")=0,"",SUMIFS('交易记录'!$AC$5:$AC$304,'交易记录'!$S$5:$S$304,A194,'交易记录'!$Y$5:$Y$304,"已平仓")))</f>
        <v/>
      </c>
      <c r="I194" s="40" t="str">
        <f>IF(NOT(ISNUMBER(H194)),"",IF(H194&lt;=-'参数'!$C$8,"触及停手线",""))</f>
        <v/>
      </c>
      <c r="J194" s="31" t="n"/>
      <c r="K194" s="31" t="n"/>
    </row>
    <row r="195">
      <c r="A195" s="30" t="n"/>
      <c r="B195" s="40" t="str">
        <f>IF(ISNUMBER(A195),"周"&amp;CHOOSE(WEEKDAY(A195,2),"一","二","三","四","五","六","日"),"")</f>
        <v/>
      </c>
      <c r="C195" s="32" t="n"/>
      <c r="D195" s="29" t="n"/>
      <c r="E195" s="47" t="str">
        <f>IF(ISNUMBER(A195),COUNTIFS('交易记录'!$B$5:$B$304,A195,'交易记录'!$Q$5:$Q$304,"已执行"),"")</f>
        <v/>
      </c>
      <c r="F195" s="31" t="n"/>
      <c r="G195" s="29" t="n"/>
      <c r="H195" s="48" t="str">
        <f>IF(NOT(ISNUMBER(A195)),"",IF(COUNTIFS('交易记录'!$S$5:$S$304,A195,'交易记录'!$Y$5:$Y$304,"已平仓")=0,"",SUMIFS('交易记录'!$AC$5:$AC$304,'交易记录'!$S$5:$S$304,A195,'交易记录'!$Y$5:$Y$304,"已平仓")))</f>
        <v/>
      </c>
      <c r="I195" s="40" t="str">
        <f>IF(NOT(ISNUMBER(H195)),"",IF(H195&lt;=-'参数'!$C$8,"触及停手线",""))</f>
        <v/>
      </c>
      <c r="J195" s="31" t="n"/>
      <c r="K195" s="31" t="n"/>
    </row>
    <row r="196">
      <c r="A196" s="30" t="n"/>
      <c r="B196" s="40" t="str">
        <f>IF(ISNUMBER(A196),"周"&amp;CHOOSE(WEEKDAY(A196,2),"一","二","三","四","五","六","日"),"")</f>
        <v/>
      </c>
      <c r="C196" s="32" t="n"/>
      <c r="D196" s="29" t="n"/>
      <c r="E196" s="47" t="str">
        <f>IF(ISNUMBER(A196),COUNTIFS('交易记录'!$B$5:$B$304,A196,'交易记录'!$Q$5:$Q$304,"已执行"),"")</f>
        <v/>
      </c>
      <c r="F196" s="31" t="n"/>
      <c r="G196" s="29" t="n"/>
      <c r="H196" s="48" t="str">
        <f>IF(NOT(ISNUMBER(A196)),"",IF(COUNTIFS('交易记录'!$S$5:$S$304,A196,'交易记录'!$Y$5:$Y$304,"已平仓")=0,"",SUMIFS('交易记录'!$AC$5:$AC$304,'交易记录'!$S$5:$S$304,A196,'交易记录'!$Y$5:$Y$304,"已平仓")))</f>
        <v/>
      </c>
      <c r="I196" s="40" t="str">
        <f>IF(NOT(ISNUMBER(H196)),"",IF(H196&lt;=-'参数'!$C$8,"触及停手线",""))</f>
        <v/>
      </c>
      <c r="J196" s="31" t="n"/>
      <c r="K196" s="31" t="n"/>
    </row>
    <row r="197">
      <c r="A197" s="30" t="n"/>
      <c r="B197" s="40" t="str">
        <f>IF(ISNUMBER(A197),"周"&amp;CHOOSE(WEEKDAY(A197,2),"一","二","三","四","五","六","日"),"")</f>
        <v/>
      </c>
      <c r="C197" s="32" t="n"/>
      <c r="D197" s="29" t="n"/>
      <c r="E197" s="47" t="str">
        <f>IF(ISNUMBER(A197),COUNTIFS('交易记录'!$B$5:$B$304,A197,'交易记录'!$Q$5:$Q$304,"已执行"),"")</f>
        <v/>
      </c>
      <c r="F197" s="31" t="n"/>
      <c r="G197" s="29" t="n"/>
      <c r="H197" s="48" t="str">
        <f>IF(NOT(ISNUMBER(A197)),"",IF(COUNTIFS('交易记录'!$S$5:$S$304,A197,'交易记录'!$Y$5:$Y$304,"已平仓")=0,"",SUMIFS('交易记录'!$AC$5:$AC$304,'交易记录'!$S$5:$S$304,A197,'交易记录'!$Y$5:$Y$304,"已平仓")))</f>
        <v/>
      </c>
      <c r="I197" s="40" t="str">
        <f>IF(NOT(ISNUMBER(H197)),"",IF(H197&lt;=-'参数'!$C$8,"触及停手线",""))</f>
        <v/>
      </c>
      <c r="J197" s="31" t="n"/>
      <c r="K197" s="31" t="n"/>
    </row>
    <row r="198">
      <c r="A198" s="30" t="n"/>
      <c r="B198" s="40" t="str">
        <f>IF(ISNUMBER(A198),"周"&amp;CHOOSE(WEEKDAY(A198,2),"一","二","三","四","五","六","日"),"")</f>
        <v/>
      </c>
      <c r="C198" s="32" t="n"/>
      <c r="D198" s="29" t="n"/>
      <c r="E198" s="47" t="str">
        <f>IF(ISNUMBER(A198),COUNTIFS('交易记录'!$B$5:$B$304,A198,'交易记录'!$Q$5:$Q$304,"已执行"),"")</f>
        <v/>
      </c>
      <c r="F198" s="31" t="n"/>
      <c r="G198" s="29" t="n"/>
      <c r="H198" s="48" t="str">
        <f>IF(NOT(ISNUMBER(A198)),"",IF(COUNTIFS('交易记录'!$S$5:$S$304,A198,'交易记录'!$Y$5:$Y$304,"已平仓")=0,"",SUMIFS('交易记录'!$AC$5:$AC$304,'交易记录'!$S$5:$S$304,A198,'交易记录'!$Y$5:$Y$304,"已平仓")))</f>
        <v/>
      </c>
      <c r="I198" s="40" t="str">
        <f>IF(NOT(ISNUMBER(H198)),"",IF(H198&lt;=-'参数'!$C$8,"触及停手线",""))</f>
        <v/>
      </c>
      <c r="J198" s="31" t="n"/>
      <c r="K198" s="31" t="n"/>
    </row>
    <row r="199">
      <c r="A199" s="30" t="n"/>
      <c r="B199" s="40" t="str">
        <f>IF(ISNUMBER(A199),"周"&amp;CHOOSE(WEEKDAY(A199,2),"一","二","三","四","五","六","日"),"")</f>
        <v/>
      </c>
      <c r="C199" s="32" t="n"/>
      <c r="D199" s="29" t="n"/>
      <c r="E199" s="47" t="str">
        <f>IF(ISNUMBER(A199),COUNTIFS('交易记录'!$B$5:$B$304,A199,'交易记录'!$Q$5:$Q$304,"已执行"),"")</f>
        <v/>
      </c>
      <c r="F199" s="31" t="n"/>
      <c r="G199" s="29" t="n"/>
      <c r="H199" s="48" t="str">
        <f>IF(NOT(ISNUMBER(A199)),"",IF(COUNTIFS('交易记录'!$S$5:$S$304,A199,'交易记录'!$Y$5:$Y$304,"已平仓")=0,"",SUMIFS('交易记录'!$AC$5:$AC$304,'交易记录'!$S$5:$S$304,A199,'交易记录'!$Y$5:$Y$304,"已平仓")))</f>
        <v/>
      </c>
      <c r="I199" s="40" t="str">
        <f>IF(NOT(ISNUMBER(H199)),"",IF(H199&lt;=-'参数'!$C$8,"触及停手线",""))</f>
        <v/>
      </c>
      <c r="J199" s="31" t="n"/>
      <c r="K199" s="31" t="n"/>
    </row>
    <row r="200">
      <c r="A200" s="30" t="n"/>
      <c r="B200" s="40" t="str">
        <f>IF(ISNUMBER(A200),"周"&amp;CHOOSE(WEEKDAY(A200,2),"一","二","三","四","五","六","日"),"")</f>
        <v/>
      </c>
      <c r="C200" s="32" t="n"/>
      <c r="D200" s="29" t="n"/>
      <c r="E200" s="47" t="str">
        <f>IF(ISNUMBER(A200),COUNTIFS('交易记录'!$B$5:$B$304,A200,'交易记录'!$Q$5:$Q$304,"已执行"),"")</f>
        <v/>
      </c>
      <c r="F200" s="31" t="n"/>
      <c r="G200" s="29" t="n"/>
      <c r="H200" s="48" t="str">
        <f>IF(NOT(ISNUMBER(A200)),"",IF(COUNTIFS('交易记录'!$S$5:$S$304,A200,'交易记录'!$Y$5:$Y$304,"已平仓")=0,"",SUMIFS('交易记录'!$AC$5:$AC$304,'交易记录'!$S$5:$S$304,A200,'交易记录'!$Y$5:$Y$304,"已平仓")))</f>
        <v/>
      </c>
      <c r="I200" s="40" t="str">
        <f>IF(NOT(ISNUMBER(H200)),"",IF(H200&lt;=-'参数'!$C$8,"触及停手线",""))</f>
        <v/>
      </c>
      <c r="J200" s="31" t="n"/>
      <c r="K200" s="31" t="n"/>
    </row>
    <row r="201">
      <c r="A201" s="30" t="n"/>
      <c r="B201" s="40" t="str">
        <f>IF(ISNUMBER(A201),"周"&amp;CHOOSE(WEEKDAY(A201,2),"一","二","三","四","五","六","日"),"")</f>
        <v/>
      </c>
      <c r="C201" s="32" t="n"/>
      <c r="D201" s="29" t="n"/>
      <c r="E201" s="47" t="str">
        <f>IF(ISNUMBER(A201),COUNTIFS('交易记录'!$B$5:$B$304,A201,'交易记录'!$Q$5:$Q$304,"已执行"),"")</f>
        <v/>
      </c>
      <c r="F201" s="31" t="n"/>
      <c r="G201" s="29" t="n"/>
      <c r="H201" s="48" t="str">
        <f>IF(NOT(ISNUMBER(A201)),"",IF(COUNTIFS('交易记录'!$S$5:$S$304,A201,'交易记录'!$Y$5:$Y$304,"已平仓")=0,"",SUMIFS('交易记录'!$AC$5:$AC$304,'交易记录'!$S$5:$S$304,A201,'交易记录'!$Y$5:$Y$304,"已平仓")))</f>
        <v/>
      </c>
      <c r="I201" s="40" t="str">
        <f>IF(NOT(ISNUMBER(H201)),"",IF(H201&lt;=-'参数'!$C$8,"触及停手线",""))</f>
        <v/>
      </c>
      <c r="J201" s="31" t="n"/>
      <c r="K201" s="31" t="n"/>
    </row>
    <row r="202">
      <c r="A202" s="30" t="n"/>
      <c r="B202" s="40" t="str">
        <f>IF(ISNUMBER(A202),"周"&amp;CHOOSE(WEEKDAY(A202,2),"一","二","三","四","五","六","日"),"")</f>
        <v/>
      </c>
      <c r="C202" s="32" t="n"/>
      <c r="D202" s="29" t="n"/>
      <c r="E202" s="47" t="str">
        <f>IF(ISNUMBER(A202),COUNTIFS('交易记录'!$B$5:$B$304,A202,'交易记录'!$Q$5:$Q$304,"已执行"),"")</f>
        <v/>
      </c>
      <c r="F202" s="31" t="n"/>
      <c r="G202" s="29" t="n"/>
      <c r="H202" s="48" t="str">
        <f>IF(NOT(ISNUMBER(A202)),"",IF(COUNTIFS('交易记录'!$S$5:$S$304,A202,'交易记录'!$Y$5:$Y$304,"已平仓")=0,"",SUMIFS('交易记录'!$AC$5:$AC$304,'交易记录'!$S$5:$S$304,A202,'交易记录'!$Y$5:$Y$304,"已平仓")))</f>
        <v/>
      </c>
      <c r="I202" s="40" t="str">
        <f>IF(NOT(ISNUMBER(H202)),"",IF(H202&lt;=-'参数'!$C$8,"触及停手线",""))</f>
        <v/>
      </c>
      <c r="J202" s="31" t="n"/>
      <c r="K202" s="31" t="n"/>
    </row>
    <row r="203">
      <c r="A203" s="30" t="n"/>
      <c r="B203" s="40" t="str">
        <f>IF(ISNUMBER(A203),"周"&amp;CHOOSE(WEEKDAY(A203,2),"一","二","三","四","五","六","日"),"")</f>
        <v/>
      </c>
      <c r="C203" s="32" t="n"/>
      <c r="D203" s="29" t="n"/>
      <c r="E203" s="47" t="str">
        <f>IF(ISNUMBER(A203),COUNTIFS('交易记录'!$B$5:$B$304,A203,'交易记录'!$Q$5:$Q$304,"已执行"),"")</f>
        <v/>
      </c>
      <c r="F203" s="31" t="n"/>
      <c r="G203" s="29" t="n"/>
      <c r="H203" s="48" t="str">
        <f>IF(NOT(ISNUMBER(A203)),"",IF(COUNTIFS('交易记录'!$S$5:$S$304,A203,'交易记录'!$Y$5:$Y$304,"已平仓")=0,"",SUMIFS('交易记录'!$AC$5:$AC$304,'交易记录'!$S$5:$S$304,A203,'交易记录'!$Y$5:$Y$304,"已平仓")))</f>
        <v/>
      </c>
      <c r="I203" s="40" t="str">
        <f>IF(NOT(ISNUMBER(H203)),"",IF(H203&lt;=-'参数'!$C$8,"触及停手线",""))</f>
        <v/>
      </c>
      <c r="J203" s="31" t="n"/>
      <c r="K203" s="31" t="n"/>
    </row>
    <row r="204">
      <c r="A204" s="30" t="n"/>
      <c r="B204" s="40" t="str">
        <f>IF(ISNUMBER(A204),"周"&amp;CHOOSE(WEEKDAY(A204,2),"一","二","三","四","五","六","日"),"")</f>
        <v/>
      </c>
      <c r="C204" s="32" t="n"/>
      <c r="D204" s="29" t="n"/>
      <c r="E204" s="47" t="str">
        <f>IF(ISNUMBER(A204),COUNTIFS('交易记录'!$B$5:$B$304,A204,'交易记录'!$Q$5:$Q$304,"已执行"),"")</f>
        <v/>
      </c>
      <c r="F204" s="31" t="n"/>
      <c r="G204" s="29" t="n"/>
      <c r="H204" s="48" t="str">
        <f>IF(NOT(ISNUMBER(A204)),"",IF(COUNTIFS('交易记录'!$S$5:$S$304,A204,'交易记录'!$Y$5:$Y$304,"已平仓")=0,"",SUMIFS('交易记录'!$AC$5:$AC$304,'交易记录'!$S$5:$S$304,A204,'交易记录'!$Y$5:$Y$304,"已平仓")))</f>
        <v/>
      </c>
      <c r="I204" s="40" t="str">
        <f>IF(NOT(ISNUMBER(H204)),"",IF(H204&lt;=-'参数'!$C$8,"触及停手线",""))</f>
        <v/>
      </c>
      <c r="J204" s="31" t="n"/>
      <c r="K204" s="31" t="n"/>
    </row>
    <row r="205">
      <c r="A205" s="30" t="n"/>
      <c r="B205" s="40" t="str">
        <f>IF(ISNUMBER(A205),"周"&amp;CHOOSE(WEEKDAY(A205,2),"一","二","三","四","五","六","日"),"")</f>
        <v/>
      </c>
      <c r="C205" s="32" t="n"/>
      <c r="D205" s="29" t="n"/>
      <c r="E205" s="47" t="str">
        <f>IF(ISNUMBER(A205),COUNTIFS('交易记录'!$B$5:$B$304,A205,'交易记录'!$Q$5:$Q$304,"已执行"),"")</f>
        <v/>
      </c>
      <c r="F205" s="31" t="n"/>
      <c r="G205" s="29" t="n"/>
      <c r="H205" s="48" t="str">
        <f>IF(NOT(ISNUMBER(A205)),"",IF(COUNTIFS('交易记录'!$S$5:$S$304,A205,'交易记录'!$Y$5:$Y$304,"已平仓")=0,"",SUMIFS('交易记录'!$AC$5:$AC$304,'交易记录'!$S$5:$S$304,A205,'交易记录'!$Y$5:$Y$304,"已平仓")))</f>
        <v/>
      </c>
      <c r="I205" s="40" t="str">
        <f>IF(NOT(ISNUMBER(H205)),"",IF(H205&lt;=-'参数'!$C$8,"触及停手线",""))</f>
        <v/>
      </c>
      <c r="J205" s="31" t="n"/>
      <c r="K205" s="31" t="n"/>
    </row>
    <row r="206">
      <c r="A206" s="30" t="n"/>
      <c r="B206" s="40" t="str">
        <f>IF(ISNUMBER(A206),"周"&amp;CHOOSE(WEEKDAY(A206,2),"一","二","三","四","五","六","日"),"")</f>
        <v/>
      </c>
      <c r="C206" s="32" t="n"/>
      <c r="D206" s="29" t="n"/>
      <c r="E206" s="47" t="str">
        <f>IF(ISNUMBER(A206),COUNTIFS('交易记录'!$B$5:$B$304,A206,'交易记录'!$Q$5:$Q$304,"已执行"),"")</f>
        <v/>
      </c>
      <c r="F206" s="31" t="n"/>
      <c r="G206" s="29" t="n"/>
      <c r="H206" s="48" t="str">
        <f>IF(NOT(ISNUMBER(A206)),"",IF(COUNTIFS('交易记录'!$S$5:$S$304,A206,'交易记录'!$Y$5:$Y$304,"已平仓")=0,"",SUMIFS('交易记录'!$AC$5:$AC$304,'交易记录'!$S$5:$S$304,A206,'交易记录'!$Y$5:$Y$304,"已平仓")))</f>
        <v/>
      </c>
      <c r="I206" s="40" t="str">
        <f>IF(NOT(ISNUMBER(H206)),"",IF(H206&lt;=-'参数'!$C$8,"触及停手线",""))</f>
        <v/>
      </c>
      <c r="J206" s="31" t="n"/>
      <c r="K206" s="31" t="n"/>
    </row>
    <row r="207">
      <c r="A207" s="30" t="n"/>
      <c r="B207" s="40" t="str">
        <f>IF(ISNUMBER(A207),"周"&amp;CHOOSE(WEEKDAY(A207,2),"一","二","三","四","五","六","日"),"")</f>
        <v/>
      </c>
      <c r="C207" s="32" t="n"/>
      <c r="D207" s="29" t="n"/>
      <c r="E207" s="47" t="str">
        <f>IF(ISNUMBER(A207),COUNTIFS('交易记录'!$B$5:$B$304,A207,'交易记录'!$Q$5:$Q$304,"已执行"),"")</f>
        <v/>
      </c>
      <c r="F207" s="31" t="n"/>
      <c r="G207" s="29" t="n"/>
      <c r="H207" s="48" t="str">
        <f>IF(NOT(ISNUMBER(A207)),"",IF(COUNTIFS('交易记录'!$S$5:$S$304,A207,'交易记录'!$Y$5:$Y$304,"已平仓")=0,"",SUMIFS('交易记录'!$AC$5:$AC$304,'交易记录'!$S$5:$S$304,A207,'交易记录'!$Y$5:$Y$304,"已平仓")))</f>
        <v/>
      </c>
      <c r="I207" s="40" t="str">
        <f>IF(NOT(ISNUMBER(H207)),"",IF(H207&lt;=-'参数'!$C$8,"触及停手线",""))</f>
        <v/>
      </c>
      <c r="J207" s="31" t="n"/>
      <c r="K207" s="31" t="n"/>
    </row>
    <row r="208">
      <c r="A208" s="30" t="n"/>
      <c r="B208" s="40" t="str">
        <f>IF(ISNUMBER(A208),"周"&amp;CHOOSE(WEEKDAY(A208,2),"一","二","三","四","五","六","日"),"")</f>
        <v/>
      </c>
      <c r="C208" s="32" t="n"/>
      <c r="D208" s="29" t="n"/>
      <c r="E208" s="47" t="str">
        <f>IF(ISNUMBER(A208),COUNTIFS('交易记录'!$B$5:$B$304,A208,'交易记录'!$Q$5:$Q$304,"已执行"),"")</f>
        <v/>
      </c>
      <c r="F208" s="31" t="n"/>
      <c r="G208" s="29" t="n"/>
      <c r="H208" s="48" t="str">
        <f>IF(NOT(ISNUMBER(A208)),"",IF(COUNTIFS('交易记录'!$S$5:$S$304,A208,'交易记录'!$Y$5:$Y$304,"已平仓")=0,"",SUMIFS('交易记录'!$AC$5:$AC$304,'交易记录'!$S$5:$S$304,A208,'交易记录'!$Y$5:$Y$304,"已平仓")))</f>
        <v/>
      </c>
      <c r="I208" s="40" t="str">
        <f>IF(NOT(ISNUMBER(H208)),"",IF(H208&lt;=-'参数'!$C$8,"触及停手线",""))</f>
        <v/>
      </c>
      <c r="J208" s="31" t="n"/>
      <c r="K208" s="31" t="n"/>
    </row>
    <row r="209">
      <c r="A209" s="30" t="n"/>
      <c r="B209" s="40" t="str">
        <f>IF(ISNUMBER(A209),"周"&amp;CHOOSE(WEEKDAY(A209,2),"一","二","三","四","五","六","日"),"")</f>
        <v/>
      </c>
      <c r="C209" s="32" t="n"/>
      <c r="D209" s="29" t="n"/>
      <c r="E209" s="47" t="str">
        <f>IF(ISNUMBER(A209),COUNTIFS('交易记录'!$B$5:$B$304,A209,'交易记录'!$Q$5:$Q$304,"已执行"),"")</f>
        <v/>
      </c>
      <c r="F209" s="31" t="n"/>
      <c r="G209" s="29" t="n"/>
      <c r="H209" s="48" t="str">
        <f>IF(NOT(ISNUMBER(A209)),"",IF(COUNTIFS('交易记录'!$S$5:$S$304,A209,'交易记录'!$Y$5:$Y$304,"已平仓")=0,"",SUMIFS('交易记录'!$AC$5:$AC$304,'交易记录'!$S$5:$S$304,A209,'交易记录'!$Y$5:$Y$304,"已平仓")))</f>
        <v/>
      </c>
      <c r="I209" s="40" t="str">
        <f>IF(NOT(ISNUMBER(H209)),"",IF(H209&lt;=-'参数'!$C$8,"触及停手线",""))</f>
        <v/>
      </c>
      <c r="J209" s="31" t="n"/>
      <c r="K209" s="31" t="n"/>
    </row>
    <row r="210">
      <c r="A210" s="30" t="n"/>
      <c r="B210" s="40" t="str">
        <f>IF(ISNUMBER(A210),"周"&amp;CHOOSE(WEEKDAY(A210,2),"一","二","三","四","五","六","日"),"")</f>
        <v/>
      </c>
      <c r="C210" s="32" t="n"/>
      <c r="D210" s="29" t="n"/>
      <c r="E210" s="47" t="str">
        <f>IF(ISNUMBER(A210),COUNTIFS('交易记录'!$B$5:$B$304,A210,'交易记录'!$Q$5:$Q$304,"已执行"),"")</f>
        <v/>
      </c>
      <c r="F210" s="31" t="n"/>
      <c r="G210" s="29" t="n"/>
      <c r="H210" s="48" t="str">
        <f>IF(NOT(ISNUMBER(A210)),"",IF(COUNTIFS('交易记录'!$S$5:$S$304,A210,'交易记录'!$Y$5:$Y$304,"已平仓")=0,"",SUMIFS('交易记录'!$AC$5:$AC$304,'交易记录'!$S$5:$S$304,A210,'交易记录'!$Y$5:$Y$304,"已平仓")))</f>
        <v/>
      </c>
      <c r="I210" s="40" t="str">
        <f>IF(NOT(ISNUMBER(H210)),"",IF(H210&lt;=-'参数'!$C$8,"触及停手线",""))</f>
        <v/>
      </c>
      <c r="J210" s="31" t="n"/>
      <c r="K210" s="31" t="n"/>
    </row>
    <row r="211">
      <c r="A211" s="30" t="n"/>
      <c r="B211" s="40" t="str">
        <f>IF(ISNUMBER(A211),"周"&amp;CHOOSE(WEEKDAY(A211,2),"一","二","三","四","五","六","日"),"")</f>
        <v/>
      </c>
      <c r="C211" s="32" t="n"/>
      <c r="D211" s="29" t="n"/>
      <c r="E211" s="47" t="str">
        <f>IF(ISNUMBER(A211),COUNTIFS('交易记录'!$B$5:$B$304,A211,'交易记录'!$Q$5:$Q$304,"已执行"),"")</f>
        <v/>
      </c>
      <c r="F211" s="31" t="n"/>
      <c r="G211" s="29" t="n"/>
      <c r="H211" s="48" t="str">
        <f>IF(NOT(ISNUMBER(A211)),"",IF(COUNTIFS('交易记录'!$S$5:$S$304,A211,'交易记录'!$Y$5:$Y$304,"已平仓")=0,"",SUMIFS('交易记录'!$AC$5:$AC$304,'交易记录'!$S$5:$S$304,A211,'交易记录'!$Y$5:$Y$304,"已平仓")))</f>
        <v/>
      </c>
      <c r="I211" s="40" t="str">
        <f>IF(NOT(ISNUMBER(H211)),"",IF(H211&lt;=-'参数'!$C$8,"触及停手线",""))</f>
        <v/>
      </c>
      <c r="J211" s="31" t="n"/>
      <c r="K211" s="31" t="n"/>
    </row>
    <row r="212">
      <c r="A212" s="30" t="n"/>
      <c r="B212" s="40" t="str">
        <f>IF(ISNUMBER(A212),"周"&amp;CHOOSE(WEEKDAY(A212,2),"一","二","三","四","五","六","日"),"")</f>
        <v/>
      </c>
      <c r="C212" s="32" t="n"/>
      <c r="D212" s="29" t="n"/>
      <c r="E212" s="47" t="str">
        <f>IF(ISNUMBER(A212),COUNTIFS('交易记录'!$B$5:$B$304,A212,'交易记录'!$Q$5:$Q$304,"已执行"),"")</f>
        <v/>
      </c>
      <c r="F212" s="31" t="n"/>
      <c r="G212" s="29" t="n"/>
      <c r="H212" s="48" t="str">
        <f>IF(NOT(ISNUMBER(A212)),"",IF(COUNTIFS('交易记录'!$S$5:$S$304,A212,'交易记录'!$Y$5:$Y$304,"已平仓")=0,"",SUMIFS('交易记录'!$AC$5:$AC$304,'交易记录'!$S$5:$S$304,A212,'交易记录'!$Y$5:$Y$304,"已平仓")))</f>
        <v/>
      </c>
      <c r="I212" s="40" t="str">
        <f>IF(NOT(ISNUMBER(H212)),"",IF(H212&lt;=-'参数'!$C$8,"触及停手线",""))</f>
        <v/>
      </c>
      <c r="J212" s="31" t="n"/>
      <c r="K212" s="31" t="n"/>
    </row>
    <row r="213">
      <c r="A213" s="30" t="n"/>
      <c r="B213" s="40" t="str">
        <f>IF(ISNUMBER(A213),"周"&amp;CHOOSE(WEEKDAY(A213,2),"一","二","三","四","五","六","日"),"")</f>
        <v/>
      </c>
      <c r="C213" s="32" t="n"/>
      <c r="D213" s="29" t="n"/>
      <c r="E213" s="47" t="str">
        <f>IF(ISNUMBER(A213),COUNTIFS('交易记录'!$B$5:$B$304,A213,'交易记录'!$Q$5:$Q$304,"已执行"),"")</f>
        <v/>
      </c>
      <c r="F213" s="31" t="n"/>
      <c r="G213" s="29" t="n"/>
      <c r="H213" s="48" t="str">
        <f>IF(NOT(ISNUMBER(A213)),"",IF(COUNTIFS('交易记录'!$S$5:$S$304,A213,'交易记录'!$Y$5:$Y$304,"已平仓")=0,"",SUMIFS('交易记录'!$AC$5:$AC$304,'交易记录'!$S$5:$S$304,A213,'交易记录'!$Y$5:$Y$304,"已平仓")))</f>
        <v/>
      </c>
      <c r="I213" s="40" t="str">
        <f>IF(NOT(ISNUMBER(H213)),"",IF(H213&lt;=-'参数'!$C$8,"触及停手线",""))</f>
        <v/>
      </c>
      <c r="J213" s="31" t="n"/>
      <c r="K213" s="31" t="n"/>
    </row>
    <row r="214">
      <c r="A214" s="30" t="n"/>
      <c r="B214" s="40" t="str">
        <f>IF(ISNUMBER(A214),"周"&amp;CHOOSE(WEEKDAY(A214,2),"一","二","三","四","五","六","日"),"")</f>
        <v/>
      </c>
      <c r="C214" s="32" t="n"/>
      <c r="D214" s="29" t="n"/>
      <c r="E214" s="47" t="str">
        <f>IF(ISNUMBER(A214),COUNTIFS('交易记录'!$B$5:$B$304,A214,'交易记录'!$Q$5:$Q$304,"已执行"),"")</f>
        <v/>
      </c>
      <c r="F214" s="31" t="n"/>
      <c r="G214" s="29" t="n"/>
      <c r="H214" s="48" t="str">
        <f>IF(NOT(ISNUMBER(A214)),"",IF(COUNTIFS('交易记录'!$S$5:$S$304,A214,'交易记录'!$Y$5:$Y$304,"已平仓")=0,"",SUMIFS('交易记录'!$AC$5:$AC$304,'交易记录'!$S$5:$S$304,A214,'交易记录'!$Y$5:$Y$304,"已平仓")))</f>
        <v/>
      </c>
      <c r="I214" s="40" t="str">
        <f>IF(NOT(ISNUMBER(H214)),"",IF(H214&lt;=-'参数'!$C$8,"触及停手线",""))</f>
        <v/>
      </c>
      <c r="J214" s="31" t="n"/>
      <c r="K214" s="31" t="n"/>
    </row>
    <row r="215">
      <c r="A215" s="30" t="n"/>
      <c r="B215" s="40" t="str">
        <f>IF(ISNUMBER(A215),"周"&amp;CHOOSE(WEEKDAY(A215,2),"一","二","三","四","五","六","日"),"")</f>
        <v/>
      </c>
      <c r="C215" s="32" t="n"/>
      <c r="D215" s="29" t="n"/>
      <c r="E215" s="47" t="str">
        <f>IF(ISNUMBER(A215),COUNTIFS('交易记录'!$B$5:$B$304,A215,'交易记录'!$Q$5:$Q$304,"已执行"),"")</f>
        <v/>
      </c>
      <c r="F215" s="31" t="n"/>
      <c r="G215" s="29" t="n"/>
      <c r="H215" s="48" t="str">
        <f>IF(NOT(ISNUMBER(A215)),"",IF(COUNTIFS('交易记录'!$S$5:$S$304,A215,'交易记录'!$Y$5:$Y$304,"已平仓")=0,"",SUMIFS('交易记录'!$AC$5:$AC$304,'交易记录'!$S$5:$S$304,A215,'交易记录'!$Y$5:$Y$304,"已平仓")))</f>
        <v/>
      </c>
      <c r="I215" s="40" t="str">
        <f>IF(NOT(ISNUMBER(H215)),"",IF(H215&lt;=-'参数'!$C$8,"触及停手线",""))</f>
        <v/>
      </c>
      <c r="J215" s="31" t="n"/>
      <c r="K215" s="31" t="n"/>
    </row>
    <row r="216">
      <c r="A216" s="30" t="n"/>
      <c r="B216" s="40" t="str">
        <f>IF(ISNUMBER(A216),"周"&amp;CHOOSE(WEEKDAY(A216,2),"一","二","三","四","五","六","日"),"")</f>
        <v/>
      </c>
      <c r="C216" s="32" t="n"/>
      <c r="D216" s="29" t="n"/>
      <c r="E216" s="47" t="str">
        <f>IF(ISNUMBER(A216),COUNTIFS('交易记录'!$B$5:$B$304,A216,'交易记录'!$Q$5:$Q$304,"已执行"),"")</f>
        <v/>
      </c>
      <c r="F216" s="31" t="n"/>
      <c r="G216" s="29" t="n"/>
      <c r="H216" s="48" t="str">
        <f>IF(NOT(ISNUMBER(A216)),"",IF(COUNTIFS('交易记录'!$S$5:$S$304,A216,'交易记录'!$Y$5:$Y$304,"已平仓")=0,"",SUMIFS('交易记录'!$AC$5:$AC$304,'交易记录'!$S$5:$S$304,A216,'交易记录'!$Y$5:$Y$304,"已平仓")))</f>
        <v/>
      </c>
      <c r="I216" s="40" t="str">
        <f>IF(NOT(ISNUMBER(H216)),"",IF(H216&lt;=-'参数'!$C$8,"触及停手线",""))</f>
        <v/>
      </c>
      <c r="J216" s="31" t="n"/>
      <c r="K216" s="31" t="n"/>
    </row>
    <row r="217">
      <c r="A217" s="30" t="n"/>
      <c r="B217" s="40" t="str">
        <f>IF(ISNUMBER(A217),"周"&amp;CHOOSE(WEEKDAY(A217,2),"一","二","三","四","五","六","日"),"")</f>
        <v/>
      </c>
      <c r="C217" s="32" t="n"/>
      <c r="D217" s="29" t="n"/>
      <c r="E217" s="47" t="str">
        <f>IF(ISNUMBER(A217),COUNTIFS('交易记录'!$B$5:$B$304,A217,'交易记录'!$Q$5:$Q$304,"已执行"),"")</f>
        <v/>
      </c>
      <c r="F217" s="31" t="n"/>
      <c r="G217" s="29" t="n"/>
      <c r="H217" s="48" t="str">
        <f>IF(NOT(ISNUMBER(A217)),"",IF(COUNTIFS('交易记录'!$S$5:$S$304,A217,'交易记录'!$Y$5:$Y$304,"已平仓")=0,"",SUMIFS('交易记录'!$AC$5:$AC$304,'交易记录'!$S$5:$S$304,A217,'交易记录'!$Y$5:$Y$304,"已平仓")))</f>
        <v/>
      </c>
      <c r="I217" s="40" t="str">
        <f>IF(NOT(ISNUMBER(H217)),"",IF(H217&lt;=-'参数'!$C$8,"触及停手线",""))</f>
        <v/>
      </c>
      <c r="J217" s="31" t="n"/>
      <c r="K217" s="31" t="n"/>
    </row>
    <row r="218">
      <c r="A218" s="30" t="n"/>
      <c r="B218" s="40" t="str">
        <f>IF(ISNUMBER(A218),"周"&amp;CHOOSE(WEEKDAY(A218,2),"一","二","三","四","五","六","日"),"")</f>
        <v/>
      </c>
      <c r="C218" s="32" t="n"/>
      <c r="D218" s="29" t="n"/>
      <c r="E218" s="47" t="str">
        <f>IF(ISNUMBER(A218),COUNTIFS('交易记录'!$B$5:$B$304,A218,'交易记录'!$Q$5:$Q$304,"已执行"),"")</f>
        <v/>
      </c>
      <c r="F218" s="31" t="n"/>
      <c r="G218" s="29" t="n"/>
      <c r="H218" s="48" t="str">
        <f>IF(NOT(ISNUMBER(A218)),"",IF(COUNTIFS('交易记录'!$S$5:$S$304,A218,'交易记录'!$Y$5:$Y$304,"已平仓")=0,"",SUMIFS('交易记录'!$AC$5:$AC$304,'交易记录'!$S$5:$S$304,A218,'交易记录'!$Y$5:$Y$304,"已平仓")))</f>
        <v/>
      </c>
      <c r="I218" s="40" t="str">
        <f>IF(NOT(ISNUMBER(H218)),"",IF(H218&lt;=-'参数'!$C$8,"触及停手线",""))</f>
        <v/>
      </c>
      <c r="J218" s="31" t="n"/>
      <c r="K218" s="31" t="n"/>
    </row>
    <row r="219">
      <c r="A219" s="30" t="n"/>
      <c r="B219" s="40" t="str">
        <f>IF(ISNUMBER(A219),"周"&amp;CHOOSE(WEEKDAY(A219,2),"一","二","三","四","五","六","日"),"")</f>
        <v/>
      </c>
      <c r="C219" s="32" t="n"/>
      <c r="D219" s="29" t="n"/>
      <c r="E219" s="47" t="str">
        <f>IF(ISNUMBER(A219),COUNTIFS('交易记录'!$B$5:$B$304,A219,'交易记录'!$Q$5:$Q$304,"已执行"),"")</f>
        <v/>
      </c>
      <c r="F219" s="31" t="n"/>
      <c r="G219" s="29" t="n"/>
      <c r="H219" s="48" t="str">
        <f>IF(NOT(ISNUMBER(A219)),"",IF(COUNTIFS('交易记录'!$S$5:$S$304,A219,'交易记录'!$Y$5:$Y$304,"已平仓")=0,"",SUMIFS('交易记录'!$AC$5:$AC$304,'交易记录'!$S$5:$S$304,A219,'交易记录'!$Y$5:$Y$304,"已平仓")))</f>
        <v/>
      </c>
      <c r="I219" s="40" t="str">
        <f>IF(NOT(ISNUMBER(H219)),"",IF(H219&lt;=-'参数'!$C$8,"触及停手线",""))</f>
        <v/>
      </c>
      <c r="J219" s="31" t="n"/>
      <c r="K219" s="31" t="n"/>
    </row>
    <row r="220">
      <c r="A220" s="30" t="n"/>
      <c r="B220" s="40" t="str">
        <f>IF(ISNUMBER(A220),"周"&amp;CHOOSE(WEEKDAY(A220,2),"一","二","三","四","五","六","日"),"")</f>
        <v/>
      </c>
      <c r="C220" s="32" t="n"/>
      <c r="D220" s="29" t="n"/>
      <c r="E220" s="47" t="str">
        <f>IF(ISNUMBER(A220),COUNTIFS('交易记录'!$B$5:$B$304,A220,'交易记录'!$Q$5:$Q$304,"已执行"),"")</f>
        <v/>
      </c>
      <c r="F220" s="31" t="n"/>
      <c r="G220" s="29" t="n"/>
      <c r="H220" s="48" t="str">
        <f>IF(NOT(ISNUMBER(A220)),"",IF(COUNTIFS('交易记录'!$S$5:$S$304,A220,'交易记录'!$Y$5:$Y$304,"已平仓")=0,"",SUMIFS('交易记录'!$AC$5:$AC$304,'交易记录'!$S$5:$S$304,A220,'交易记录'!$Y$5:$Y$304,"已平仓")))</f>
        <v/>
      </c>
      <c r="I220" s="40" t="str">
        <f>IF(NOT(ISNUMBER(H220)),"",IF(H220&lt;=-'参数'!$C$8,"触及停手线",""))</f>
        <v/>
      </c>
      <c r="J220" s="31" t="n"/>
      <c r="K220" s="31" t="n"/>
    </row>
    <row r="221">
      <c r="A221" s="30" t="n"/>
      <c r="B221" s="40" t="str">
        <f>IF(ISNUMBER(A221),"周"&amp;CHOOSE(WEEKDAY(A221,2),"一","二","三","四","五","六","日"),"")</f>
        <v/>
      </c>
      <c r="C221" s="32" t="n"/>
      <c r="D221" s="29" t="n"/>
      <c r="E221" s="47" t="str">
        <f>IF(ISNUMBER(A221),COUNTIFS('交易记录'!$B$5:$B$304,A221,'交易记录'!$Q$5:$Q$304,"已执行"),"")</f>
        <v/>
      </c>
      <c r="F221" s="31" t="n"/>
      <c r="G221" s="29" t="n"/>
      <c r="H221" s="48" t="str">
        <f>IF(NOT(ISNUMBER(A221)),"",IF(COUNTIFS('交易记录'!$S$5:$S$304,A221,'交易记录'!$Y$5:$Y$304,"已平仓")=0,"",SUMIFS('交易记录'!$AC$5:$AC$304,'交易记录'!$S$5:$S$304,A221,'交易记录'!$Y$5:$Y$304,"已平仓")))</f>
        <v/>
      </c>
      <c r="I221" s="40" t="str">
        <f>IF(NOT(ISNUMBER(H221)),"",IF(H221&lt;=-'参数'!$C$8,"触及停手线",""))</f>
        <v/>
      </c>
      <c r="J221" s="31" t="n"/>
      <c r="K221" s="31" t="n"/>
    </row>
    <row r="222">
      <c r="A222" s="30" t="n"/>
      <c r="B222" s="40" t="str">
        <f>IF(ISNUMBER(A222),"周"&amp;CHOOSE(WEEKDAY(A222,2),"一","二","三","四","五","六","日"),"")</f>
        <v/>
      </c>
      <c r="C222" s="32" t="n"/>
      <c r="D222" s="29" t="n"/>
      <c r="E222" s="47" t="str">
        <f>IF(ISNUMBER(A222),COUNTIFS('交易记录'!$B$5:$B$304,A222,'交易记录'!$Q$5:$Q$304,"已执行"),"")</f>
        <v/>
      </c>
      <c r="F222" s="31" t="n"/>
      <c r="G222" s="29" t="n"/>
      <c r="H222" s="48" t="str">
        <f>IF(NOT(ISNUMBER(A222)),"",IF(COUNTIFS('交易记录'!$S$5:$S$304,A222,'交易记录'!$Y$5:$Y$304,"已平仓")=0,"",SUMIFS('交易记录'!$AC$5:$AC$304,'交易记录'!$S$5:$S$304,A222,'交易记录'!$Y$5:$Y$304,"已平仓")))</f>
        <v/>
      </c>
      <c r="I222" s="40" t="str">
        <f>IF(NOT(ISNUMBER(H222)),"",IF(H222&lt;=-'参数'!$C$8,"触及停手线",""))</f>
        <v/>
      </c>
      <c r="J222" s="31" t="n"/>
      <c r="K222" s="31" t="n"/>
    </row>
    <row r="223">
      <c r="A223" s="30" t="n"/>
      <c r="B223" s="40" t="str">
        <f>IF(ISNUMBER(A223),"周"&amp;CHOOSE(WEEKDAY(A223,2),"一","二","三","四","五","六","日"),"")</f>
        <v/>
      </c>
      <c r="C223" s="32" t="n"/>
      <c r="D223" s="29" t="n"/>
      <c r="E223" s="47" t="str">
        <f>IF(ISNUMBER(A223),COUNTIFS('交易记录'!$B$5:$B$304,A223,'交易记录'!$Q$5:$Q$304,"已执行"),"")</f>
        <v/>
      </c>
      <c r="F223" s="31" t="n"/>
      <c r="G223" s="29" t="n"/>
      <c r="H223" s="48" t="str">
        <f>IF(NOT(ISNUMBER(A223)),"",IF(COUNTIFS('交易记录'!$S$5:$S$304,A223,'交易记录'!$Y$5:$Y$304,"已平仓")=0,"",SUMIFS('交易记录'!$AC$5:$AC$304,'交易记录'!$S$5:$S$304,A223,'交易记录'!$Y$5:$Y$304,"已平仓")))</f>
        <v/>
      </c>
      <c r="I223" s="40" t="str">
        <f>IF(NOT(ISNUMBER(H223)),"",IF(H223&lt;=-'参数'!$C$8,"触及停手线",""))</f>
        <v/>
      </c>
      <c r="J223" s="31" t="n"/>
      <c r="K223" s="31" t="n"/>
    </row>
    <row r="224">
      <c r="A224" s="30" t="n"/>
      <c r="B224" s="40" t="str">
        <f>IF(ISNUMBER(A224),"周"&amp;CHOOSE(WEEKDAY(A224,2),"一","二","三","四","五","六","日"),"")</f>
        <v/>
      </c>
      <c r="C224" s="32" t="n"/>
      <c r="D224" s="29" t="n"/>
      <c r="E224" s="47" t="str">
        <f>IF(ISNUMBER(A224),COUNTIFS('交易记录'!$B$5:$B$304,A224,'交易记录'!$Q$5:$Q$304,"已执行"),"")</f>
        <v/>
      </c>
      <c r="F224" s="31" t="n"/>
      <c r="G224" s="29" t="n"/>
      <c r="H224" s="48" t="str">
        <f>IF(NOT(ISNUMBER(A224)),"",IF(COUNTIFS('交易记录'!$S$5:$S$304,A224,'交易记录'!$Y$5:$Y$304,"已平仓")=0,"",SUMIFS('交易记录'!$AC$5:$AC$304,'交易记录'!$S$5:$S$304,A224,'交易记录'!$Y$5:$Y$304,"已平仓")))</f>
        <v/>
      </c>
      <c r="I224" s="40" t="str">
        <f>IF(NOT(ISNUMBER(H224)),"",IF(H224&lt;=-'参数'!$C$8,"触及停手线",""))</f>
        <v/>
      </c>
      <c r="J224" s="31" t="n"/>
      <c r="K224" s="31" t="n"/>
    </row>
    <row r="225">
      <c r="A225" s="30" t="n"/>
      <c r="B225" s="40" t="str">
        <f>IF(ISNUMBER(A225),"周"&amp;CHOOSE(WEEKDAY(A225,2),"一","二","三","四","五","六","日"),"")</f>
        <v/>
      </c>
      <c r="C225" s="32" t="n"/>
      <c r="D225" s="29" t="n"/>
      <c r="E225" s="47" t="str">
        <f>IF(ISNUMBER(A225),COUNTIFS('交易记录'!$B$5:$B$304,A225,'交易记录'!$Q$5:$Q$304,"已执行"),"")</f>
        <v/>
      </c>
      <c r="F225" s="31" t="n"/>
      <c r="G225" s="29" t="n"/>
      <c r="H225" s="48" t="str">
        <f>IF(NOT(ISNUMBER(A225)),"",IF(COUNTIFS('交易记录'!$S$5:$S$304,A225,'交易记录'!$Y$5:$Y$304,"已平仓")=0,"",SUMIFS('交易记录'!$AC$5:$AC$304,'交易记录'!$S$5:$S$304,A225,'交易记录'!$Y$5:$Y$304,"已平仓")))</f>
        <v/>
      </c>
      <c r="I225" s="40" t="str">
        <f>IF(NOT(ISNUMBER(H225)),"",IF(H225&lt;=-'参数'!$C$8,"触及停手线",""))</f>
        <v/>
      </c>
      <c r="J225" s="31" t="n"/>
      <c r="K225" s="31" t="n"/>
    </row>
    <row r="226">
      <c r="A226" s="30" t="n"/>
      <c r="B226" s="40" t="str">
        <f>IF(ISNUMBER(A226),"周"&amp;CHOOSE(WEEKDAY(A226,2),"一","二","三","四","五","六","日"),"")</f>
        <v/>
      </c>
      <c r="C226" s="32" t="n"/>
      <c r="D226" s="29" t="n"/>
      <c r="E226" s="47" t="str">
        <f>IF(ISNUMBER(A226),COUNTIFS('交易记录'!$B$5:$B$304,A226,'交易记录'!$Q$5:$Q$304,"已执行"),"")</f>
        <v/>
      </c>
      <c r="F226" s="31" t="n"/>
      <c r="G226" s="29" t="n"/>
      <c r="H226" s="48" t="str">
        <f>IF(NOT(ISNUMBER(A226)),"",IF(COUNTIFS('交易记录'!$S$5:$S$304,A226,'交易记录'!$Y$5:$Y$304,"已平仓")=0,"",SUMIFS('交易记录'!$AC$5:$AC$304,'交易记录'!$S$5:$S$304,A226,'交易记录'!$Y$5:$Y$304,"已平仓")))</f>
        <v/>
      </c>
      <c r="I226" s="40" t="str">
        <f>IF(NOT(ISNUMBER(H226)),"",IF(H226&lt;=-'参数'!$C$8,"触及停手线",""))</f>
        <v/>
      </c>
      <c r="J226" s="31" t="n"/>
      <c r="K226" s="31" t="n"/>
    </row>
    <row r="227">
      <c r="A227" s="30" t="n"/>
      <c r="B227" s="40" t="str">
        <f>IF(ISNUMBER(A227),"周"&amp;CHOOSE(WEEKDAY(A227,2),"一","二","三","四","五","六","日"),"")</f>
        <v/>
      </c>
      <c r="C227" s="32" t="n"/>
      <c r="D227" s="29" t="n"/>
      <c r="E227" s="47" t="str">
        <f>IF(ISNUMBER(A227),COUNTIFS('交易记录'!$B$5:$B$304,A227,'交易记录'!$Q$5:$Q$304,"已执行"),"")</f>
        <v/>
      </c>
      <c r="F227" s="31" t="n"/>
      <c r="G227" s="29" t="n"/>
      <c r="H227" s="48" t="str">
        <f>IF(NOT(ISNUMBER(A227)),"",IF(COUNTIFS('交易记录'!$S$5:$S$304,A227,'交易记录'!$Y$5:$Y$304,"已平仓")=0,"",SUMIFS('交易记录'!$AC$5:$AC$304,'交易记录'!$S$5:$S$304,A227,'交易记录'!$Y$5:$Y$304,"已平仓")))</f>
        <v/>
      </c>
      <c r="I227" s="40" t="str">
        <f>IF(NOT(ISNUMBER(H227)),"",IF(H227&lt;=-'参数'!$C$8,"触及停手线",""))</f>
        <v/>
      </c>
      <c r="J227" s="31" t="n"/>
      <c r="K227" s="31" t="n"/>
    </row>
    <row r="228">
      <c r="A228" s="30" t="n"/>
      <c r="B228" s="40" t="str">
        <f>IF(ISNUMBER(A228),"周"&amp;CHOOSE(WEEKDAY(A228,2),"一","二","三","四","五","六","日"),"")</f>
        <v/>
      </c>
      <c r="C228" s="32" t="n"/>
      <c r="D228" s="29" t="n"/>
      <c r="E228" s="47" t="str">
        <f>IF(ISNUMBER(A228),COUNTIFS('交易记录'!$B$5:$B$304,A228,'交易记录'!$Q$5:$Q$304,"已执行"),"")</f>
        <v/>
      </c>
      <c r="F228" s="31" t="n"/>
      <c r="G228" s="29" t="n"/>
      <c r="H228" s="48" t="str">
        <f>IF(NOT(ISNUMBER(A228)),"",IF(COUNTIFS('交易记录'!$S$5:$S$304,A228,'交易记录'!$Y$5:$Y$304,"已平仓")=0,"",SUMIFS('交易记录'!$AC$5:$AC$304,'交易记录'!$S$5:$S$304,A228,'交易记录'!$Y$5:$Y$304,"已平仓")))</f>
        <v/>
      </c>
      <c r="I228" s="40" t="str">
        <f>IF(NOT(ISNUMBER(H228)),"",IF(H228&lt;=-'参数'!$C$8,"触及停手线",""))</f>
        <v/>
      </c>
      <c r="J228" s="31" t="n"/>
      <c r="K228" s="31" t="n"/>
    </row>
    <row r="229">
      <c r="A229" s="30" t="n"/>
      <c r="B229" s="40" t="str">
        <f>IF(ISNUMBER(A229),"周"&amp;CHOOSE(WEEKDAY(A229,2),"一","二","三","四","五","六","日"),"")</f>
        <v/>
      </c>
      <c r="C229" s="32" t="n"/>
      <c r="D229" s="29" t="n"/>
      <c r="E229" s="47" t="str">
        <f>IF(ISNUMBER(A229),COUNTIFS('交易记录'!$B$5:$B$304,A229,'交易记录'!$Q$5:$Q$304,"已执行"),"")</f>
        <v/>
      </c>
      <c r="F229" s="31" t="n"/>
      <c r="G229" s="29" t="n"/>
      <c r="H229" s="48" t="str">
        <f>IF(NOT(ISNUMBER(A229)),"",IF(COUNTIFS('交易记录'!$S$5:$S$304,A229,'交易记录'!$Y$5:$Y$304,"已平仓")=0,"",SUMIFS('交易记录'!$AC$5:$AC$304,'交易记录'!$S$5:$S$304,A229,'交易记录'!$Y$5:$Y$304,"已平仓")))</f>
        <v/>
      </c>
      <c r="I229" s="40" t="str">
        <f>IF(NOT(ISNUMBER(H229)),"",IF(H229&lt;=-'参数'!$C$8,"触及停手线",""))</f>
        <v/>
      </c>
      <c r="J229" s="31" t="n"/>
      <c r="K229" s="31" t="n"/>
    </row>
    <row r="230">
      <c r="A230" s="30" t="n"/>
      <c r="B230" s="40" t="str">
        <f>IF(ISNUMBER(A230),"周"&amp;CHOOSE(WEEKDAY(A230,2),"一","二","三","四","五","六","日"),"")</f>
        <v/>
      </c>
      <c r="C230" s="32" t="n"/>
      <c r="D230" s="29" t="n"/>
      <c r="E230" s="47" t="str">
        <f>IF(ISNUMBER(A230),COUNTIFS('交易记录'!$B$5:$B$304,A230,'交易记录'!$Q$5:$Q$304,"已执行"),"")</f>
        <v/>
      </c>
      <c r="F230" s="31" t="n"/>
      <c r="G230" s="29" t="n"/>
      <c r="H230" s="48" t="str">
        <f>IF(NOT(ISNUMBER(A230)),"",IF(COUNTIFS('交易记录'!$S$5:$S$304,A230,'交易记录'!$Y$5:$Y$304,"已平仓")=0,"",SUMIFS('交易记录'!$AC$5:$AC$304,'交易记录'!$S$5:$S$304,A230,'交易记录'!$Y$5:$Y$304,"已平仓")))</f>
        <v/>
      </c>
      <c r="I230" s="40" t="str">
        <f>IF(NOT(ISNUMBER(H230)),"",IF(H230&lt;=-'参数'!$C$8,"触及停手线",""))</f>
        <v/>
      </c>
      <c r="J230" s="31" t="n"/>
      <c r="K230" s="31" t="n"/>
    </row>
    <row r="231">
      <c r="A231" s="30" t="n"/>
      <c r="B231" s="40" t="str">
        <f>IF(ISNUMBER(A231),"周"&amp;CHOOSE(WEEKDAY(A231,2),"一","二","三","四","五","六","日"),"")</f>
        <v/>
      </c>
      <c r="C231" s="32" t="n"/>
      <c r="D231" s="29" t="n"/>
      <c r="E231" s="47" t="str">
        <f>IF(ISNUMBER(A231),COUNTIFS('交易记录'!$B$5:$B$304,A231,'交易记录'!$Q$5:$Q$304,"已执行"),"")</f>
        <v/>
      </c>
      <c r="F231" s="31" t="n"/>
      <c r="G231" s="29" t="n"/>
      <c r="H231" s="48" t="str">
        <f>IF(NOT(ISNUMBER(A231)),"",IF(COUNTIFS('交易记录'!$S$5:$S$304,A231,'交易记录'!$Y$5:$Y$304,"已平仓")=0,"",SUMIFS('交易记录'!$AC$5:$AC$304,'交易记录'!$S$5:$S$304,A231,'交易记录'!$Y$5:$Y$304,"已平仓")))</f>
        <v/>
      </c>
      <c r="I231" s="40" t="str">
        <f>IF(NOT(ISNUMBER(H231)),"",IF(H231&lt;=-'参数'!$C$8,"触及停手线",""))</f>
        <v/>
      </c>
      <c r="J231" s="31" t="n"/>
      <c r="K231" s="31" t="n"/>
    </row>
    <row r="232">
      <c r="A232" s="30" t="n"/>
      <c r="B232" s="40" t="str">
        <f>IF(ISNUMBER(A232),"周"&amp;CHOOSE(WEEKDAY(A232,2),"一","二","三","四","五","六","日"),"")</f>
        <v/>
      </c>
      <c r="C232" s="32" t="n"/>
      <c r="D232" s="29" t="n"/>
      <c r="E232" s="47" t="str">
        <f>IF(ISNUMBER(A232),COUNTIFS('交易记录'!$B$5:$B$304,A232,'交易记录'!$Q$5:$Q$304,"已执行"),"")</f>
        <v/>
      </c>
      <c r="F232" s="31" t="n"/>
      <c r="G232" s="29" t="n"/>
      <c r="H232" s="48" t="str">
        <f>IF(NOT(ISNUMBER(A232)),"",IF(COUNTIFS('交易记录'!$S$5:$S$304,A232,'交易记录'!$Y$5:$Y$304,"已平仓")=0,"",SUMIFS('交易记录'!$AC$5:$AC$304,'交易记录'!$S$5:$S$304,A232,'交易记录'!$Y$5:$Y$304,"已平仓")))</f>
        <v/>
      </c>
      <c r="I232" s="40" t="str">
        <f>IF(NOT(ISNUMBER(H232)),"",IF(H232&lt;=-'参数'!$C$8,"触及停手线",""))</f>
        <v/>
      </c>
      <c r="J232" s="31" t="n"/>
      <c r="K232" s="31" t="n"/>
    </row>
    <row r="233">
      <c r="A233" s="30" t="n"/>
      <c r="B233" s="40" t="str">
        <f>IF(ISNUMBER(A233),"周"&amp;CHOOSE(WEEKDAY(A233,2),"一","二","三","四","五","六","日"),"")</f>
        <v/>
      </c>
      <c r="C233" s="32" t="n"/>
      <c r="D233" s="29" t="n"/>
      <c r="E233" s="47" t="str">
        <f>IF(ISNUMBER(A233),COUNTIFS('交易记录'!$B$5:$B$304,A233,'交易记录'!$Q$5:$Q$304,"已执行"),"")</f>
        <v/>
      </c>
      <c r="F233" s="31" t="n"/>
      <c r="G233" s="29" t="n"/>
      <c r="H233" s="48" t="str">
        <f>IF(NOT(ISNUMBER(A233)),"",IF(COUNTIFS('交易记录'!$S$5:$S$304,A233,'交易记录'!$Y$5:$Y$304,"已平仓")=0,"",SUMIFS('交易记录'!$AC$5:$AC$304,'交易记录'!$S$5:$S$304,A233,'交易记录'!$Y$5:$Y$304,"已平仓")))</f>
        <v/>
      </c>
      <c r="I233" s="40" t="str">
        <f>IF(NOT(ISNUMBER(H233)),"",IF(H233&lt;=-'参数'!$C$8,"触及停手线",""))</f>
        <v/>
      </c>
      <c r="J233" s="31" t="n"/>
      <c r="K233" s="31" t="n"/>
    </row>
    <row r="234">
      <c r="A234" s="30" t="n"/>
      <c r="B234" s="40" t="str">
        <f>IF(ISNUMBER(A234),"周"&amp;CHOOSE(WEEKDAY(A234,2),"一","二","三","四","五","六","日"),"")</f>
        <v/>
      </c>
      <c r="C234" s="32" t="n"/>
      <c r="D234" s="29" t="n"/>
      <c r="E234" s="47" t="str">
        <f>IF(ISNUMBER(A234),COUNTIFS('交易记录'!$B$5:$B$304,A234,'交易记录'!$Q$5:$Q$304,"已执行"),"")</f>
        <v/>
      </c>
      <c r="F234" s="31" t="n"/>
      <c r="G234" s="29" t="n"/>
      <c r="H234" s="48" t="str">
        <f>IF(NOT(ISNUMBER(A234)),"",IF(COUNTIFS('交易记录'!$S$5:$S$304,A234,'交易记录'!$Y$5:$Y$304,"已平仓")=0,"",SUMIFS('交易记录'!$AC$5:$AC$304,'交易记录'!$S$5:$S$304,A234,'交易记录'!$Y$5:$Y$304,"已平仓")))</f>
        <v/>
      </c>
      <c r="I234" s="40" t="str">
        <f>IF(NOT(ISNUMBER(H234)),"",IF(H234&lt;=-'参数'!$C$8,"触及停手线",""))</f>
        <v/>
      </c>
      <c r="J234" s="31" t="n"/>
      <c r="K234" s="31" t="n"/>
    </row>
    <row r="235">
      <c r="A235" s="30" t="n"/>
      <c r="B235" s="40" t="str">
        <f>IF(ISNUMBER(A235),"周"&amp;CHOOSE(WEEKDAY(A235,2),"一","二","三","四","五","六","日"),"")</f>
        <v/>
      </c>
      <c r="C235" s="32" t="n"/>
      <c r="D235" s="29" t="n"/>
      <c r="E235" s="47" t="str">
        <f>IF(ISNUMBER(A235),COUNTIFS('交易记录'!$B$5:$B$304,A235,'交易记录'!$Q$5:$Q$304,"已执行"),"")</f>
        <v/>
      </c>
      <c r="F235" s="31" t="n"/>
      <c r="G235" s="29" t="n"/>
      <c r="H235" s="48" t="str">
        <f>IF(NOT(ISNUMBER(A235)),"",IF(COUNTIFS('交易记录'!$S$5:$S$304,A235,'交易记录'!$Y$5:$Y$304,"已平仓")=0,"",SUMIFS('交易记录'!$AC$5:$AC$304,'交易记录'!$S$5:$S$304,A235,'交易记录'!$Y$5:$Y$304,"已平仓")))</f>
        <v/>
      </c>
      <c r="I235" s="40" t="str">
        <f>IF(NOT(ISNUMBER(H235)),"",IF(H235&lt;=-'参数'!$C$8,"触及停手线",""))</f>
        <v/>
      </c>
      <c r="J235" s="31" t="n"/>
      <c r="K235" s="31" t="n"/>
    </row>
    <row r="236">
      <c r="A236" s="30" t="n"/>
      <c r="B236" s="40" t="str">
        <f>IF(ISNUMBER(A236),"周"&amp;CHOOSE(WEEKDAY(A236,2),"一","二","三","四","五","六","日"),"")</f>
        <v/>
      </c>
      <c r="C236" s="32" t="n"/>
      <c r="D236" s="29" t="n"/>
      <c r="E236" s="47" t="str">
        <f>IF(ISNUMBER(A236),COUNTIFS('交易记录'!$B$5:$B$304,A236,'交易记录'!$Q$5:$Q$304,"已执行"),"")</f>
        <v/>
      </c>
      <c r="F236" s="31" t="n"/>
      <c r="G236" s="29" t="n"/>
      <c r="H236" s="48" t="str">
        <f>IF(NOT(ISNUMBER(A236)),"",IF(COUNTIFS('交易记录'!$S$5:$S$304,A236,'交易记录'!$Y$5:$Y$304,"已平仓")=0,"",SUMIFS('交易记录'!$AC$5:$AC$304,'交易记录'!$S$5:$S$304,A236,'交易记录'!$Y$5:$Y$304,"已平仓")))</f>
        <v/>
      </c>
      <c r="I236" s="40" t="str">
        <f>IF(NOT(ISNUMBER(H236)),"",IF(H236&lt;=-'参数'!$C$8,"触及停手线",""))</f>
        <v/>
      </c>
      <c r="J236" s="31" t="n"/>
      <c r="K236" s="31" t="n"/>
    </row>
    <row r="237">
      <c r="A237" s="30" t="n"/>
      <c r="B237" s="40" t="str">
        <f>IF(ISNUMBER(A237),"周"&amp;CHOOSE(WEEKDAY(A237,2),"一","二","三","四","五","六","日"),"")</f>
        <v/>
      </c>
      <c r="C237" s="32" t="n"/>
      <c r="D237" s="29" t="n"/>
      <c r="E237" s="47" t="str">
        <f>IF(ISNUMBER(A237),COUNTIFS('交易记录'!$B$5:$B$304,A237,'交易记录'!$Q$5:$Q$304,"已执行"),"")</f>
        <v/>
      </c>
      <c r="F237" s="31" t="n"/>
      <c r="G237" s="29" t="n"/>
      <c r="H237" s="48" t="str">
        <f>IF(NOT(ISNUMBER(A237)),"",IF(COUNTIFS('交易记录'!$S$5:$S$304,A237,'交易记录'!$Y$5:$Y$304,"已平仓")=0,"",SUMIFS('交易记录'!$AC$5:$AC$304,'交易记录'!$S$5:$S$304,A237,'交易记录'!$Y$5:$Y$304,"已平仓")))</f>
        <v/>
      </c>
      <c r="I237" s="40" t="str">
        <f>IF(NOT(ISNUMBER(H237)),"",IF(H237&lt;=-'参数'!$C$8,"触及停手线",""))</f>
        <v/>
      </c>
      <c r="J237" s="31" t="n"/>
      <c r="K237" s="31" t="n"/>
    </row>
    <row r="238">
      <c r="A238" s="30" t="n"/>
      <c r="B238" s="40" t="str">
        <f>IF(ISNUMBER(A238),"周"&amp;CHOOSE(WEEKDAY(A238,2),"一","二","三","四","五","六","日"),"")</f>
        <v/>
      </c>
      <c r="C238" s="32" t="n"/>
      <c r="D238" s="29" t="n"/>
      <c r="E238" s="47" t="str">
        <f>IF(ISNUMBER(A238),COUNTIFS('交易记录'!$B$5:$B$304,A238,'交易记录'!$Q$5:$Q$304,"已执行"),"")</f>
        <v/>
      </c>
      <c r="F238" s="31" t="n"/>
      <c r="G238" s="29" t="n"/>
      <c r="H238" s="48" t="str">
        <f>IF(NOT(ISNUMBER(A238)),"",IF(COUNTIFS('交易记录'!$S$5:$S$304,A238,'交易记录'!$Y$5:$Y$304,"已平仓")=0,"",SUMIFS('交易记录'!$AC$5:$AC$304,'交易记录'!$S$5:$S$304,A238,'交易记录'!$Y$5:$Y$304,"已平仓")))</f>
        <v/>
      </c>
      <c r="I238" s="40" t="str">
        <f>IF(NOT(ISNUMBER(H238)),"",IF(H238&lt;=-'参数'!$C$8,"触及停手线",""))</f>
        <v/>
      </c>
      <c r="J238" s="31" t="n"/>
      <c r="K238" s="31" t="n"/>
    </row>
    <row r="239">
      <c r="A239" s="30" t="n"/>
      <c r="B239" s="40" t="str">
        <f>IF(ISNUMBER(A239),"周"&amp;CHOOSE(WEEKDAY(A239,2),"一","二","三","四","五","六","日"),"")</f>
        <v/>
      </c>
      <c r="C239" s="32" t="n"/>
      <c r="D239" s="29" t="n"/>
      <c r="E239" s="47" t="str">
        <f>IF(ISNUMBER(A239),COUNTIFS('交易记录'!$B$5:$B$304,A239,'交易记录'!$Q$5:$Q$304,"已执行"),"")</f>
        <v/>
      </c>
      <c r="F239" s="31" t="n"/>
      <c r="G239" s="29" t="n"/>
      <c r="H239" s="48" t="str">
        <f>IF(NOT(ISNUMBER(A239)),"",IF(COUNTIFS('交易记录'!$S$5:$S$304,A239,'交易记录'!$Y$5:$Y$304,"已平仓")=0,"",SUMIFS('交易记录'!$AC$5:$AC$304,'交易记录'!$S$5:$S$304,A239,'交易记录'!$Y$5:$Y$304,"已平仓")))</f>
        <v/>
      </c>
      <c r="I239" s="40" t="str">
        <f>IF(NOT(ISNUMBER(H239)),"",IF(H239&lt;=-'参数'!$C$8,"触及停手线",""))</f>
        <v/>
      </c>
      <c r="J239" s="31" t="n"/>
      <c r="K239" s="31" t="n"/>
    </row>
    <row r="240">
      <c r="A240" s="30" t="n"/>
      <c r="B240" s="40" t="str">
        <f>IF(ISNUMBER(A240),"周"&amp;CHOOSE(WEEKDAY(A240,2),"一","二","三","四","五","六","日"),"")</f>
        <v/>
      </c>
      <c r="C240" s="32" t="n"/>
      <c r="D240" s="29" t="n"/>
      <c r="E240" s="47" t="str">
        <f>IF(ISNUMBER(A240),COUNTIFS('交易记录'!$B$5:$B$304,A240,'交易记录'!$Q$5:$Q$304,"已执行"),"")</f>
        <v/>
      </c>
      <c r="F240" s="31" t="n"/>
      <c r="G240" s="29" t="n"/>
      <c r="H240" s="48" t="str">
        <f>IF(NOT(ISNUMBER(A240)),"",IF(COUNTIFS('交易记录'!$S$5:$S$304,A240,'交易记录'!$Y$5:$Y$304,"已平仓")=0,"",SUMIFS('交易记录'!$AC$5:$AC$304,'交易记录'!$S$5:$S$304,A240,'交易记录'!$Y$5:$Y$304,"已平仓")))</f>
        <v/>
      </c>
      <c r="I240" s="40" t="str">
        <f>IF(NOT(ISNUMBER(H240)),"",IF(H240&lt;=-'参数'!$C$8,"触及停手线",""))</f>
        <v/>
      </c>
      <c r="J240" s="31" t="n"/>
      <c r="K240" s="31" t="n"/>
    </row>
    <row r="241">
      <c r="A241" s="30" t="n"/>
      <c r="B241" s="40" t="str">
        <f>IF(ISNUMBER(A241),"周"&amp;CHOOSE(WEEKDAY(A241,2),"一","二","三","四","五","六","日"),"")</f>
        <v/>
      </c>
      <c r="C241" s="32" t="n"/>
      <c r="D241" s="29" t="n"/>
      <c r="E241" s="47" t="str">
        <f>IF(ISNUMBER(A241),COUNTIFS('交易记录'!$B$5:$B$304,A241,'交易记录'!$Q$5:$Q$304,"已执行"),"")</f>
        <v/>
      </c>
      <c r="F241" s="31" t="n"/>
      <c r="G241" s="29" t="n"/>
      <c r="H241" s="48" t="str">
        <f>IF(NOT(ISNUMBER(A241)),"",IF(COUNTIFS('交易记录'!$S$5:$S$304,A241,'交易记录'!$Y$5:$Y$304,"已平仓")=0,"",SUMIFS('交易记录'!$AC$5:$AC$304,'交易记录'!$S$5:$S$304,A241,'交易记录'!$Y$5:$Y$304,"已平仓")))</f>
        <v/>
      </c>
      <c r="I241" s="40" t="str">
        <f>IF(NOT(ISNUMBER(H241)),"",IF(H241&lt;=-'参数'!$C$8,"触及停手线",""))</f>
        <v/>
      </c>
      <c r="J241" s="31" t="n"/>
      <c r="K241" s="31" t="n"/>
    </row>
    <row r="242">
      <c r="A242" s="30" t="n"/>
      <c r="B242" s="40" t="str">
        <f>IF(ISNUMBER(A242),"周"&amp;CHOOSE(WEEKDAY(A242,2),"一","二","三","四","五","六","日"),"")</f>
        <v/>
      </c>
      <c r="C242" s="32" t="n"/>
      <c r="D242" s="29" t="n"/>
      <c r="E242" s="47" t="str">
        <f>IF(ISNUMBER(A242),COUNTIFS('交易记录'!$B$5:$B$304,A242,'交易记录'!$Q$5:$Q$304,"已执行"),"")</f>
        <v/>
      </c>
      <c r="F242" s="31" t="n"/>
      <c r="G242" s="29" t="n"/>
      <c r="H242" s="48" t="str">
        <f>IF(NOT(ISNUMBER(A242)),"",IF(COUNTIFS('交易记录'!$S$5:$S$304,A242,'交易记录'!$Y$5:$Y$304,"已平仓")=0,"",SUMIFS('交易记录'!$AC$5:$AC$304,'交易记录'!$S$5:$S$304,A242,'交易记录'!$Y$5:$Y$304,"已平仓")))</f>
        <v/>
      </c>
      <c r="I242" s="40" t="str">
        <f>IF(NOT(ISNUMBER(H242)),"",IF(H242&lt;=-'参数'!$C$8,"触及停手线",""))</f>
        <v/>
      </c>
      <c r="J242" s="31" t="n"/>
      <c r="K242" s="31" t="n"/>
    </row>
    <row r="243">
      <c r="A243" s="30" t="n"/>
      <c r="B243" s="40" t="str">
        <f>IF(ISNUMBER(A243),"周"&amp;CHOOSE(WEEKDAY(A243,2),"一","二","三","四","五","六","日"),"")</f>
        <v/>
      </c>
      <c r="C243" s="32" t="n"/>
      <c r="D243" s="29" t="n"/>
      <c r="E243" s="47" t="str">
        <f>IF(ISNUMBER(A243),COUNTIFS('交易记录'!$B$5:$B$304,A243,'交易记录'!$Q$5:$Q$304,"已执行"),"")</f>
        <v/>
      </c>
      <c r="F243" s="31" t="n"/>
      <c r="G243" s="29" t="n"/>
      <c r="H243" s="48" t="str">
        <f>IF(NOT(ISNUMBER(A243)),"",IF(COUNTIFS('交易记录'!$S$5:$S$304,A243,'交易记录'!$Y$5:$Y$304,"已平仓")=0,"",SUMIFS('交易记录'!$AC$5:$AC$304,'交易记录'!$S$5:$S$304,A243,'交易记录'!$Y$5:$Y$304,"已平仓")))</f>
        <v/>
      </c>
      <c r="I243" s="40" t="str">
        <f>IF(NOT(ISNUMBER(H243)),"",IF(H243&lt;=-'参数'!$C$8,"触及停手线",""))</f>
        <v/>
      </c>
      <c r="J243" s="31" t="n"/>
      <c r="K243" s="31" t="n"/>
    </row>
    <row r="244">
      <c r="A244" s="30" t="n"/>
      <c r="B244" s="40" t="str">
        <f>IF(ISNUMBER(A244),"周"&amp;CHOOSE(WEEKDAY(A244,2),"一","二","三","四","五","六","日"),"")</f>
        <v/>
      </c>
      <c r="C244" s="32" t="n"/>
      <c r="D244" s="29" t="n"/>
      <c r="E244" s="47" t="str">
        <f>IF(ISNUMBER(A244),COUNTIFS('交易记录'!$B$5:$B$304,A244,'交易记录'!$Q$5:$Q$304,"已执行"),"")</f>
        <v/>
      </c>
      <c r="F244" s="31" t="n"/>
      <c r="G244" s="29" t="n"/>
      <c r="H244" s="48" t="str">
        <f>IF(NOT(ISNUMBER(A244)),"",IF(COUNTIFS('交易记录'!$S$5:$S$304,A244,'交易记录'!$Y$5:$Y$304,"已平仓")=0,"",SUMIFS('交易记录'!$AC$5:$AC$304,'交易记录'!$S$5:$S$304,A244,'交易记录'!$Y$5:$Y$304,"已平仓")))</f>
        <v/>
      </c>
      <c r="I244" s="40" t="str">
        <f>IF(NOT(ISNUMBER(H244)),"",IF(H244&lt;=-'参数'!$C$8,"触及停手线",""))</f>
        <v/>
      </c>
      <c r="J244" s="31" t="n"/>
      <c r="K244" s="31" t="n"/>
    </row>
    <row r="245">
      <c r="A245" s="30" t="n"/>
      <c r="B245" s="40" t="str">
        <f>IF(ISNUMBER(A245),"周"&amp;CHOOSE(WEEKDAY(A245,2),"一","二","三","四","五","六","日"),"")</f>
        <v/>
      </c>
      <c r="C245" s="32" t="n"/>
      <c r="D245" s="29" t="n"/>
      <c r="E245" s="47" t="str">
        <f>IF(ISNUMBER(A245),COUNTIFS('交易记录'!$B$5:$B$304,A245,'交易记录'!$Q$5:$Q$304,"已执行"),"")</f>
        <v/>
      </c>
      <c r="F245" s="31" t="n"/>
      <c r="G245" s="29" t="n"/>
      <c r="H245" s="48" t="str">
        <f>IF(NOT(ISNUMBER(A245)),"",IF(COUNTIFS('交易记录'!$S$5:$S$304,A245,'交易记录'!$Y$5:$Y$304,"已平仓")=0,"",SUMIFS('交易记录'!$AC$5:$AC$304,'交易记录'!$S$5:$S$304,A245,'交易记录'!$Y$5:$Y$304,"已平仓")))</f>
        <v/>
      </c>
      <c r="I245" s="40" t="str">
        <f>IF(NOT(ISNUMBER(H245)),"",IF(H245&lt;=-'参数'!$C$8,"触及停手线",""))</f>
        <v/>
      </c>
      <c r="J245" s="31" t="n"/>
      <c r="K245" s="31" t="n"/>
    </row>
    <row r="246">
      <c r="A246" s="30" t="n"/>
      <c r="B246" s="40" t="str">
        <f>IF(ISNUMBER(A246),"周"&amp;CHOOSE(WEEKDAY(A246,2),"一","二","三","四","五","六","日"),"")</f>
        <v/>
      </c>
      <c r="C246" s="32" t="n"/>
      <c r="D246" s="29" t="n"/>
      <c r="E246" s="47" t="str">
        <f>IF(ISNUMBER(A246),COUNTIFS('交易记录'!$B$5:$B$304,A246,'交易记录'!$Q$5:$Q$304,"已执行"),"")</f>
        <v/>
      </c>
      <c r="F246" s="31" t="n"/>
      <c r="G246" s="29" t="n"/>
      <c r="H246" s="48" t="str">
        <f>IF(NOT(ISNUMBER(A246)),"",IF(COUNTIFS('交易记录'!$S$5:$S$304,A246,'交易记录'!$Y$5:$Y$304,"已平仓")=0,"",SUMIFS('交易记录'!$AC$5:$AC$304,'交易记录'!$S$5:$S$304,A246,'交易记录'!$Y$5:$Y$304,"已平仓")))</f>
        <v/>
      </c>
      <c r="I246" s="40" t="str">
        <f>IF(NOT(ISNUMBER(H246)),"",IF(H246&lt;=-'参数'!$C$8,"触及停手线",""))</f>
        <v/>
      </c>
      <c r="J246" s="31" t="n"/>
      <c r="K246" s="31" t="n"/>
    </row>
    <row r="247">
      <c r="A247" s="30" t="n"/>
      <c r="B247" s="40" t="str">
        <f>IF(ISNUMBER(A247),"周"&amp;CHOOSE(WEEKDAY(A247,2),"一","二","三","四","五","六","日"),"")</f>
        <v/>
      </c>
      <c r="C247" s="32" t="n"/>
      <c r="D247" s="29" t="n"/>
      <c r="E247" s="47" t="str">
        <f>IF(ISNUMBER(A247),COUNTIFS('交易记录'!$B$5:$B$304,A247,'交易记录'!$Q$5:$Q$304,"已执行"),"")</f>
        <v/>
      </c>
      <c r="F247" s="31" t="n"/>
      <c r="G247" s="29" t="n"/>
      <c r="H247" s="48" t="str">
        <f>IF(NOT(ISNUMBER(A247)),"",IF(COUNTIFS('交易记录'!$S$5:$S$304,A247,'交易记录'!$Y$5:$Y$304,"已平仓")=0,"",SUMIFS('交易记录'!$AC$5:$AC$304,'交易记录'!$S$5:$S$304,A247,'交易记录'!$Y$5:$Y$304,"已平仓")))</f>
        <v/>
      </c>
      <c r="I247" s="40" t="str">
        <f>IF(NOT(ISNUMBER(H247)),"",IF(H247&lt;=-'参数'!$C$8,"触及停手线",""))</f>
        <v/>
      </c>
      <c r="J247" s="31" t="n"/>
      <c r="K247" s="31" t="n"/>
    </row>
    <row r="248">
      <c r="A248" s="30" t="n"/>
      <c r="B248" s="40" t="str">
        <f>IF(ISNUMBER(A248),"周"&amp;CHOOSE(WEEKDAY(A248,2),"一","二","三","四","五","六","日"),"")</f>
        <v/>
      </c>
      <c r="C248" s="32" t="n"/>
      <c r="D248" s="29" t="n"/>
      <c r="E248" s="47" t="str">
        <f>IF(ISNUMBER(A248),COUNTIFS('交易记录'!$B$5:$B$304,A248,'交易记录'!$Q$5:$Q$304,"已执行"),"")</f>
        <v/>
      </c>
      <c r="F248" s="31" t="n"/>
      <c r="G248" s="29" t="n"/>
      <c r="H248" s="48" t="str">
        <f>IF(NOT(ISNUMBER(A248)),"",IF(COUNTIFS('交易记录'!$S$5:$S$304,A248,'交易记录'!$Y$5:$Y$304,"已平仓")=0,"",SUMIFS('交易记录'!$AC$5:$AC$304,'交易记录'!$S$5:$S$304,A248,'交易记录'!$Y$5:$Y$304,"已平仓")))</f>
        <v/>
      </c>
      <c r="I248" s="40" t="str">
        <f>IF(NOT(ISNUMBER(H248)),"",IF(H248&lt;=-'参数'!$C$8,"触及停手线",""))</f>
        <v/>
      </c>
      <c r="J248" s="31" t="n"/>
      <c r="K248" s="31" t="n"/>
    </row>
    <row r="249">
      <c r="A249" s="30" t="n"/>
      <c r="B249" s="40" t="str">
        <f>IF(ISNUMBER(A249),"周"&amp;CHOOSE(WEEKDAY(A249,2),"一","二","三","四","五","六","日"),"")</f>
        <v/>
      </c>
      <c r="C249" s="32" t="n"/>
      <c r="D249" s="29" t="n"/>
      <c r="E249" s="47" t="str">
        <f>IF(ISNUMBER(A249),COUNTIFS('交易记录'!$B$5:$B$304,A249,'交易记录'!$Q$5:$Q$304,"已执行"),"")</f>
        <v/>
      </c>
      <c r="F249" s="31" t="n"/>
      <c r="G249" s="29" t="n"/>
      <c r="H249" s="48" t="str">
        <f>IF(NOT(ISNUMBER(A249)),"",IF(COUNTIFS('交易记录'!$S$5:$S$304,A249,'交易记录'!$Y$5:$Y$304,"已平仓")=0,"",SUMIFS('交易记录'!$AC$5:$AC$304,'交易记录'!$S$5:$S$304,A249,'交易记录'!$Y$5:$Y$304,"已平仓")))</f>
        <v/>
      </c>
      <c r="I249" s="40" t="str">
        <f>IF(NOT(ISNUMBER(H249)),"",IF(H249&lt;=-'参数'!$C$8,"触及停手线",""))</f>
        <v/>
      </c>
      <c r="J249" s="31" t="n"/>
      <c r="K249" s="31" t="n"/>
    </row>
    <row r="250">
      <c r="A250" s="30" t="n"/>
      <c r="B250" s="40" t="str">
        <f>IF(ISNUMBER(A250),"周"&amp;CHOOSE(WEEKDAY(A250,2),"一","二","三","四","五","六","日"),"")</f>
        <v/>
      </c>
      <c r="C250" s="32" t="n"/>
      <c r="D250" s="29" t="n"/>
      <c r="E250" s="47" t="str">
        <f>IF(ISNUMBER(A250),COUNTIFS('交易记录'!$B$5:$B$304,A250,'交易记录'!$Q$5:$Q$304,"已执行"),"")</f>
        <v/>
      </c>
      <c r="F250" s="31" t="n"/>
      <c r="G250" s="29" t="n"/>
      <c r="H250" s="48" t="str">
        <f>IF(NOT(ISNUMBER(A250)),"",IF(COUNTIFS('交易记录'!$S$5:$S$304,A250,'交易记录'!$Y$5:$Y$304,"已平仓")=0,"",SUMIFS('交易记录'!$AC$5:$AC$304,'交易记录'!$S$5:$S$304,A250,'交易记录'!$Y$5:$Y$304,"已平仓")))</f>
        <v/>
      </c>
      <c r="I250" s="40" t="str">
        <f>IF(NOT(ISNUMBER(H250)),"",IF(H250&lt;=-'参数'!$C$8,"触及停手线",""))</f>
        <v/>
      </c>
      <c r="J250" s="31" t="n"/>
      <c r="K250" s="31" t="n"/>
    </row>
    <row r="251">
      <c r="A251" s="30" t="n"/>
      <c r="B251" s="40" t="str">
        <f>IF(ISNUMBER(A251),"周"&amp;CHOOSE(WEEKDAY(A251,2),"一","二","三","四","五","六","日"),"")</f>
        <v/>
      </c>
      <c r="C251" s="32" t="n"/>
      <c r="D251" s="29" t="n"/>
      <c r="E251" s="47" t="str">
        <f>IF(ISNUMBER(A251),COUNTIFS('交易记录'!$B$5:$B$304,A251,'交易记录'!$Q$5:$Q$304,"已执行"),"")</f>
        <v/>
      </c>
      <c r="F251" s="31" t="n"/>
      <c r="G251" s="29" t="n"/>
      <c r="H251" s="48" t="str">
        <f>IF(NOT(ISNUMBER(A251)),"",IF(COUNTIFS('交易记录'!$S$5:$S$304,A251,'交易记录'!$Y$5:$Y$304,"已平仓")=0,"",SUMIFS('交易记录'!$AC$5:$AC$304,'交易记录'!$S$5:$S$304,A251,'交易记录'!$Y$5:$Y$304,"已平仓")))</f>
        <v/>
      </c>
      <c r="I251" s="40" t="str">
        <f>IF(NOT(ISNUMBER(H251)),"",IF(H251&lt;=-'参数'!$C$8,"触及停手线",""))</f>
        <v/>
      </c>
      <c r="J251" s="31" t="n"/>
      <c r="K251" s="31" t="n"/>
    </row>
    <row r="252">
      <c r="A252" s="30" t="n"/>
      <c r="B252" s="40" t="str">
        <f>IF(ISNUMBER(A252),"周"&amp;CHOOSE(WEEKDAY(A252,2),"一","二","三","四","五","六","日"),"")</f>
        <v/>
      </c>
      <c r="C252" s="32" t="n"/>
      <c r="D252" s="29" t="n"/>
      <c r="E252" s="47" t="str">
        <f>IF(ISNUMBER(A252),COUNTIFS('交易记录'!$B$5:$B$304,A252,'交易记录'!$Q$5:$Q$304,"已执行"),"")</f>
        <v/>
      </c>
      <c r="F252" s="31" t="n"/>
      <c r="G252" s="29" t="n"/>
      <c r="H252" s="48" t="str">
        <f>IF(NOT(ISNUMBER(A252)),"",IF(COUNTIFS('交易记录'!$S$5:$S$304,A252,'交易记录'!$Y$5:$Y$304,"已平仓")=0,"",SUMIFS('交易记录'!$AC$5:$AC$304,'交易记录'!$S$5:$S$304,A252,'交易记录'!$Y$5:$Y$304,"已平仓")))</f>
        <v/>
      </c>
      <c r="I252" s="40" t="str">
        <f>IF(NOT(ISNUMBER(H252)),"",IF(H252&lt;=-'参数'!$C$8,"触及停手线",""))</f>
        <v/>
      </c>
      <c r="J252" s="31" t="n"/>
      <c r="K252" s="31" t="n"/>
    </row>
    <row r="253">
      <c r="A253" s="30" t="n"/>
      <c r="B253" s="40" t="str">
        <f>IF(ISNUMBER(A253),"周"&amp;CHOOSE(WEEKDAY(A253,2),"一","二","三","四","五","六","日"),"")</f>
        <v/>
      </c>
      <c r="C253" s="32" t="n"/>
      <c r="D253" s="29" t="n"/>
      <c r="E253" s="47" t="str">
        <f>IF(ISNUMBER(A253),COUNTIFS('交易记录'!$B$5:$B$304,A253,'交易记录'!$Q$5:$Q$304,"已执行"),"")</f>
        <v/>
      </c>
      <c r="F253" s="31" t="n"/>
      <c r="G253" s="29" t="n"/>
      <c r="H253" s="48" t="str">
        <f>IF(NOT(ISNUMBER(A253)),"",IF(COUNTIFS('交易记录'!$S$5:$S$304,A253,'交易记录'!$Y$5:$Y$304,"已平仓")=0,"",SUMIFS('交易记录'!$AC$5:$AC$304,'交易记录'!$S$5:$S$304,A253,'交易记录'!$Y$5:$Y$304,"已平仓")))</f>
        <v/>
      </c>
      <c r="I253" s="40" t="str">
        <f>IF(NOT(ISNUMBER(H253)),"",IF(H253&lt;=-'参数'!$C$8,"触及停手线",""))</f>
        <v/>
      </c>
      <c r="J253" s="31" t="n"/>
      <c r="K253" s="31" t="n"/>
    </row>
    <row r="254">
      <c r="A254" s="30" t="n"/>
      <c r="B254" s="40" t="str">
        <f>IF(ISNUMBER(A254),"周"&amp;CHOOSE(WEEKDAY(A254,2),"一","二","三","四","五","六","日"),"")</f>
        <v/>
      </c>
      <c r="C254" s="32" t="n"/>
      <c r="D254" s="29" t="n"/>
      <c r="E254" s="47" t="str">
        <f>IF(ISNUMBER(A254),COUNTIFS('交易记录'!$B$5:$B$304,A254,'交易记录'!$Q$5:$Q$304,"已执行"),"")</f>
        <v/>
      </c>
      <c r="F254" s="31" t="n"/>
      <c r="G254" s="29" t="n"/>
      <c r="H254" s="48" t="str">
        <f>IF(NOT(ISNUMBER(A254)),"",IF(COUNTIFS('交易记录'!$S$5:$S$304,A254,'交易记录'!$Y$5:$Y$304,"已平仓")=0,"",SUMIFS('交易记录'!$AC$5:$AC$304,'交易记录'!$S$5:$S$304,A254,'交易记录'!$Y$5:$Y$304,"已平仓")))</f>
        <v/>
      </c>
      <c r="I254" s="40" t="str">
        <f>IF(NOT(ISNUMBER(H254)),"",IF(H254&lt;=-'参数'!$C$8,"触及停手线",""))</f>
        <v/>
      </c>
      <c r="J254" s="31" t="n"/>
      <c r="K254" s="31" t="n"/>
    </row>
    <row r="255">
      <c r="A255" s="30" t="n"/>
      <c r="B255" s="40" t="str">
        <f>IF(ISNUMBER(A255),"周"&amp;CHOOSE(WEEKDAY(A255,2),"一","二","三","四","五","六","日"),"")</f>
        <v/>
      </c>
      <c r="C255" s="32" t="n"/>
      <c r="D255" s="29" t="n"/>
      <c r="E255" s="47" t="str">
        <f>IF(ISNUMBER(A255),COUNTIFS('交易记录'!$B$5:$B$304,A255,'交易记录'!$Q$5:$Q$304,"已执行"),"")</f>
        <v/>
      </c>
      <c r="F255" s="31" t="n"/>
      <c r="G255" s="29" t="n"/>
      <c r="H255" s="48" t="str">
        <f>IF(NOT(ISNUMBER(A255)),"",IF(COUNTIFS('交易记录'!$S$5:$S$304,A255,'交易记录'!$Y$5:$Y$304,"已平仓")=0,"",SUMIFS('交易记录'!$AC$5:$AC$304,'交易记录'!$S$5:$S$304,A255,'交易记录'!$Y$5:$Y$304,"已平仓")))</f>
        <v/>
      </c>
      <c r="I255" s="40" t="str">
        <f>IF(NOT(ISNUMBER(H255)),"",IF(H255&lt;=-'参数'!$C$8,"触及停手线",""))</f>
        <v/>
      </c>
      <c r="J255" s="31" t="n"/>
      <c r="K255" s="31" t="n"/>
    </row>
    <row r="256">
      <c r="A256" s="30" t="n"/>
      <c r="B256" s="40" t="str">
        <f>IF(ISNUMBER(A256),"周"&amp;CHOOSE(WEEKDAY(A256,2),"一","二","三","四","五","六","日"),"")</f>
        <v/>
      </c>
      <c r="C256" s="32" t="n"/>
      <c r="D256" s="29" t="n"/>
      <c r="E256" s="47" t="str">
        <f>IF(ISNUMBER(A256),COUNTIFS('交易记录'!$B$5:$B$304,A256,'交易记录'!$Q$5:$Q$304,"已执行"),"")</f>
        <v/>
      </c>
      <c r="F256" s="31" t="n"/>
      <c r="G256" s="29" t="n"/>
      <c r="H256" s="48" t="str">
        <f>IF(NOT(ISNUMBER(A256)),"",IF(COUNTIFS('交易记录'!$S$5:$S$304,A256,'交易记录'!$Y$5:$Y$304,"已平仓")=0,"",SUMIFS('交易记录'!$AC$5:$AC$304,'交易记录'!$S$5:$S$304,A256,'交易记录'!$Y$5:$Y$304,"已平仓")))</f>
        <v/>
      </c>
      <c r="I256" s="40" t="str">
        <f>IF(NOT(ISNUMBER(H256)),"",IF(H256&lt;=-'参数'!$C$8,"触及停手线",""))</f>
        <v/>
      </c>
      <c r="J256" s="31" t="n"/>
      <c r="K256" s="31" t="n"/>
    </row>
    <row r="257">
      <c r="A257" s="30" t="n"/>
      <c r="B257" s="40" t="str">
        <f>IF(ISNUMBER(A257),"周"&amp;CHOOSE(WEEKDAY(A257,2),"一","二","三","四","五","六","日"),"")</f>
        <v/>
      </c>
      <c r="C257" s="32" t="n"/>
      <c r="D257" s="29" t="n"/>
      <c r="E257" s="47" t="str">
        <f>IF(ISNUMBER(A257),COUNTIFS('交易记录'!$B$5:$B$304,A257,'交易记录'!$Q$5:$Q$304,"已执行"),"")</f>
        <v/>
      </c>
      <c r="F257" s="31" t="n"/>
      <c r="G257" s="29" t="n"/>
      <c r="H257" s="48" t="str">
        <f>IF(NOT(ISNUMBER(A257)),"",IF(COUNTIFS('交易记录'!$S$5:$S$304,A257,'交易记录'!$Y$5:$Y$304,"已平仓")=0,"",SUMIFS('交易记录'!$AC$5:$AC$304,'交易记录'!$S$5:$S$304,A257,'交易记录'!$Y$5:$Y$304,"已平仓")))</f>
        <v/>
      </c>
      <c r="I257" s="40" t="str">
        <f>IF(NOT(ISNUMBER(H257)),"",IF(H257&lt;=-'参数'!$C$8,"触及停手线",""))</f>
        <v/>
      </c>
      <c r="J257" s="31" t="n"/>
      <c r="K257" s="31" t="n"/>
    </row>
    <row r="258">
      <c r="A258" s="30" t="n"/>
      <c r="B258" s="40" t="str">
        <f>IF(ISNUMBER(A258),"周"&amp;CHOOSE(WEEKDAY(A258,2),"一","二","三","四","五","六","日"),"")</f>
        <v/>
      </c>
      <c r="C258" s="32" t="n"/>
      <c r="D258" s="29" t="n"/>
      <c r="E258" s="47" t="str">
        <f>IF(ISNUMBER(A258),COUNTIFS('交易记录'!$B$5:$B$304,A258,'交易记录'!$Q$5:$Q$304,"已执行"),"")</f>
        <v/>
      </c>
      <c r="F258" s="31" t="n"/>
      <c r="G258" s="29" t="n"/>
      <c r="H258" s="48" t="str">
        <f>IF(NOT(ISNUMBER(A258)),"",IF(COUNTIFS('交易记录'!$S$5:$S$304,A258,'交易记录'!$Y$5:$Y$304,"已平仓")=0,"",SUMIFS('交易记录'!$AC$5:$AC$304,'交易记录'!$S$5:$S$304,A258,'交易记录'!$Y$5:$Y$304,"已平仓")))</f>
        <v/>
      </c>
      <c r="I258" s="40" t="str">
        <f>IF(NOT(ISNUMBER(H258)),"",IF(H258&lt;=-'参数'!$C$8,"触及停手线",""))</f>
        <v/>
      </c>
      <c r="J258" s="31" t="n"/>
      <c r="K258" s="31" t="n"/>
    </row>
    <row r="259">
      <c r="A259" s="30" t="n"/>
      <c r="B259" s="40" t="str">
        <f>IF(ISNUMBER(A259),"周"&amp;CHOOSE(WEEKDAY(A259,2),"一","二","三","四","五","六","日"),"")</f>
        <v/>
      </c>
      <c r="C259" s="32" t="n"/>
      <c r="D259" s="29" t="n"/>
      <c r="E259" s="47" t="str">
        <f>IF(ISNUMBER(A259),COUNTIFS('交易记录'!$B$5:$B$304,A259,'交易记录'!$Q$5:$Q$304,"已执行"),"")</f>
        <v/>
      </c>
      <c r="F259" s="31" t="n"/>
      <c r="G259" s="29" t="n"/>
      <c r="H259" s="48" t="str">
        <f>IF(NOT(ISNUMBER(A259)),"",IF(COUNTIFS('交易记录'!$S$5:$S$304,A259,'交易记录'!$Y$5:$Y$304,"已平仓")=0,"",SUMIFS('交易记录'!$AC$5:$AC$304,'交易记录'!$S$5:$S$304,A259,'交易记录'!$Y$5:$Y$304,"已平仓")))</f>
        <v/>
      </c>
      <c r="I259" s="40" t="str">
        <f>IF(NOT(ISNUMBER(H259)),"",IF(H259&lt;=-'参数'!$C$8,"触及停手线",""))</f>
        <v/>
      </c>
      <c r="J259" s="31" t="n"/>
      <c r="K259" s="31" t="n"/>
    </row>
    <row r="260">
      <c r="A260" s="30" t="n"/>
      <c r="B260" s="40" t="str">
        <f>IF(ISNUMBER(A260),"周"&amp;CHOOSE(WEEKDAY(A260,2),"一","二","三","四","五","六","日"),"")</f>
        <v/>
      </c>
      <c r="C260" s="32" t="n"/>
      <c r="D260" s="29" t="n"/>
      <c r="E260" s="47" t="str">
        <f>IF(ISNUMBER(A260),COUNTIFS('交易记录'!$B$5:$B$304,A260,'交易记录'!$Q$5:$Q$304,"已执行"),"")</f>
        <v/>
      </c>
      <c r="F260" s="31" t="n"/>
      <c r="G260" s="29" t="n"/>
      <c r="H260" s="48" t="str">
        <f>IF(NOT(ISNUMBER(A260)),"",IF(COUNTIFS('交易记录'!$S$5:$S$304,A260,'交易记录'!$Y$5:$Y$304,"已平仓")=0,"",SUMIFS('交易记录'!$AC$5:$AC$304,'交易记录'!$S$5:$S$304,A260,'交易记录'!$Y$5:$Y$304,"已平仓")))</f>
        <v/>
      </c>
      <c r="I260" s="40" t="str">
        <f>IF(NOT(ISNUMBER(H260)),"",IF(H260&lt;=-'参数'!$C$8,"触及停手线",""))</f>
        <v/>
      </c>
      <c r="J260" s="31" t="n"/>
      <c r="K260" s="31" t="n"/>
    </row>
    <row r="261">
      <c r="A261" s="30" t="n"/>
      <c r="B261" s="40" t="str">
        <f>IF(ISNUMBER(A261),"周"&amp;CHOOSE(WEEKDAY(A261,2),"一","二","三","四","五","六","日"),"")</f>
        <v/>
      </c>
      <c r="C261" s="32" t="n"/>
      <c r="D261" s="29" t="n"/>
      <c r="E261" s="47" t="str">
        <f>IF(ISNUMBER(A261),COUNTIFS('交易记录'!$B$5:$B$304,A261,'交易记录'!$Q$5:$Q$304,"已执行"),"")</f>
        <v/>
      </c>
      <c r="F261" s="31" t="n"/>
      <c r="G261" s="29" t="n"/>
      <c r="H261" s="48" t="str">
        <f>IF(NOT(ISNUMBER(A261)),"",IF(COUNTIFS('交易记录'!$S$5:$S$304,A261,'交易记录'!$Y$5:$Y$304,"已平仓")=0,"",SUMIFS('交易记录'!$AC$5:$AC$304,'交易记录'!$S$5:$S$304,A261,'交易记录'!$Y$5:$Y$304,"已平仓")))</f>
        <v/>
      </c>
      <c r="I261" s="40" t="str">
        <f>IF(NOT(ISNUMBER(H261)),"",IF(H261&lt;=-'参数'!$C$8,"触及停手线",""))</f>
        <v/>
      </c>
      <c r="J261" s="31" t="n"/>
      <c r="K261" s="31" t="n"/>
    </row>
    <row r="262">
      <c r="A262" s="30" t="n"/>
      <c r="B262" s="40" t="str">
        <f>IF(ISNUMBER(A262),"周"&amp;CHOOSE(WEEKDAY(A262,2),"一","二","三","四","五","六","日"),"")</f>
        <v/>
      </c>
      <c r="C262" s="32" t="n"/>
      <c r="D262" s="29" t="n"/>
      <c r="E262" s="47" t="str">
        <f>IF(ISNUMBER(A262),COUNTIFS('交易记录'!$B$5:$B$304,A262,'交易记录'!$Q$5:$Q$304,"已执行"),"")</f>
        <v/>
      </c>
      <c r="F262" s="31" t="n"/>
      <c r="G262" s="29" t="n"/>
      <c r="H262" s="48" t="str">
        <f>IF(NOT(ISNUMBER(A262)),"",IF(COUNTIFS('交易记录'!$S$5:$S$304,A262,'交易记录'!$Y$5:$Y$304,"已平仓")=0,"",SUMIFS('交易记录'!$AC$5:$AC$304,'交易记录'!$S$5:$S$304,A262,'交易记录'!$Y$5:$Y$304,"已平仓")))</f>
        <v/>
      </c>
      <c r="I262" s="40" t="str">
        <f>IF(NOT(ISNUMBER(H262)),"",IF(H262&lt;=-'参数'!$C$8,"触及停手线",""))</f>
        <v/>
      </c>
      <c r="J262" s="31" t="n"/>
      <c r="K262" s="31" t="n"/>
    </row>
    <row r="263">
      <c r="A263" s="30" t="n"/>
      <c r="B263" s="40" t="str">
        <f>IF(ISNUMBER(A263),"周"&amp;CHOOSE(WEEKDAY(A263,2),"一","二","三","四","五","六","日"),"")</f>
        <v/>
      </c>
      <c r="C263" s="32" t="n"/>
      <c r="D263" s="29" t="n"/>
      <c r="E263" s="47" t="str">
        <f>IF(ISNUMBER(A263),COUNTIFS('交易记录'!$B$5:$B$304,A263,'交易记录'!$Q$5:$Q$304,"已执行"),"")</f>
        <v/>
      </c>
      <c r="F263" s="31" t="n"/>
      <c r="G263" s="29" t="n"/>
      <c r="H263" s="48" t="str">
        <f>IF(NOT(ISNUMBER(A263)),"",IF(COUNTIFS('交易记录'!$S$5:$S$304,A263,'交易记录'!$Y$5:$Y$304,"已平仓")=0,"",SUMIFS('交易记录'!$AC$5:$AC$304,'交易记录'!$S$5:$S$304,A263,'交易记录'!$Y$5:$Y$304,"已平仓")))</f>
        <v/>
      </c>
      <c r="I263" s="40" t="str">
        <f>IF(NOT(ISNUMBER(H263)),"",IF(H263&lt;=-'参数'!$C$8,"触及停手线",""))</f>
        <v/>
      </c>
      <c r="J263" s="31" t="n"/>
      <c r="K263" s="31" t="n"/>
    </row>
    <row r="264">
      <c r="A264" s="30" t="n"/>
      <c r="B264" s="40" t="str">
        <f>IF(ISNUMBER(A264),"周"&amp;CHOOSE(WEEKDAY(A264,2),"一","二","三","四","五","六","日"),"")</f>
        <v/>
      </c>
      <c r="C264" s="32" t="n"/>
      <c r="D264" s="29" t="n"/>
      <c r="E264" s="47" t="str">
        <f>IF(ISNUMBER(A264),COUNTIFS('交易记录'!$B$5:$B$304,A264,'交易记录'!$Q$5:$Q$304,"已执行"),"")</f>
        <v/>
      </c>
      <c r="F264" s="31" t="n"/>
      <c r="G264" s="29" t="n"/>
      <c r="H264" s="48" t="str">
        <f>IF(NOT(ISNUMBER(A264)),"",IF(COUNTIFS('交易记录'!$S$5:$S$304,A264,'交易记录'!$Y$5:$Y$304,"已平仓")=0,"",SUMIFS('交易记录'!$AC$5:$AC$304,'交易记录'!$S$5:$S$304,A264,'交易记录'!$Y$5:$Y$304,"已平仓")))</f>
        <v/>
      </c>
      <c r="I264" s="40" t="str">
        <f>IF(NOT(ISNUMBER(H264)),"",IF(H264&lt;=-'参数'!$C$8,"触及停手线",""))</f>
        <v/>
      </c>
      <c r="J264" s="31" t="n"/>
      <c r="K264" s="31" t="n"/>
    </row>
  </sheetData>
  <mergeCells count="6">
    <mergeCell ref="J3:K3"/>
    <mergeCell ref="C3:I3"/>
    <mergeCell ref="I1:K1"/>
    <mergeCell ref="A2:K2"/>
    <mergeCell ref="A1:H1"/>
    <mergeCell ref="A3:B3"/>
  </mergeCells>
  <conditionalFormatting sqref="H5:H26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5:I264">
    <cfRule type="cellIs" priority="3" operator="equal" dxfId="6">
      <formula>"触及停手线"</formula>
    </cfRule>
  </conditionalFormatting>
  <dataValidations count="3">
    <dataValidation sqref="A5:A26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264" showDropDown="0" showInputMessage="0" showErrorMessage="1" allowBlank="1" errorTitle="不在选项里" error="请从下拉里选；要加新选项，先去参数页的下拉选项里加。" type="list" errorStyle="warning">
      <formula1>'参数'!$G$22:$G$33</formula1>
    </dataValidation>
    <dataValidation sqref="G5:G264" showDropDown="0" showInputMessage="0" showErrorMessage="1" allowBlank="1" errorTitle="格式不对" error="状态打分填 1 到 5：1 很差，5 很好。" type="custom" errorStyle="stop">
      <formula1>AND(G5&gt;=1,G5&lt;=5)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</worksheet>
</file>

<file path=xl/worksheets/sheet6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L8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周复盘：先看过程，再看成绩</t>
        </is>
      </c>
      <c r="H1" s="14" t="inlineStr">
        <is>
          <t>TradeLearn · XtradingTime 交易内训</t>
        </is>
      </c>
    </row>
    <row r="2" ht="20" customHeight="1">
      <c r="A2" s="2" t="inlineStr">
        <is>
          <t>填统计区间的开始和结束日期（默认一周），下面的数都会跟着变。成绩按平仓日期算，计划和执行按计划日期算。少于 20 笔只看执行问题，别急着下结论。</t>
        </is>
      </c>
    </row>
    <row r="4">
      <c r="B4" s="49" t="inlineStr">
        <is>
          <t>统计区间：开始日期</t>
        </is>
      </c>
      <c r="C4" s="30" t="n"/>
      <c r="D4" s="50" t="inlineStr">
        <is>
          <t>结束日期</t>
        </is>
      </c>
      <c r="E4" s="30" t="n"/>
      <c r="F4" s="19" t="inlineStr">
        <is>
          <t>一周就填周一和周日；月复盘就填月初和月底。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这几天的每日记录（区间里的前 7 天）</t>
        </is>
      </c>
    </row>
    <row r="7">
      <c r="B7" s="25" t="inlineStr">
        <is>
          <t>日期</t>
        </is>
      </c>
      <c r="C7" s="25" t="inlineStr">
        <is>
          <t>星期</t>
        </is>
      </c>
      <c r="D7" s="25" t="inlineStr">
        <is>
          <t>今天做了什么</t>
        </is>
      </c>
      <c r="E7" s="25" t="inlineStr">
        <is>
          <t>看到几次机会</t>
        </is>
      </c>
      <c r="F7" s="25" t="inlineStr">
        <is>
          <t>下了几笔</t>
        </is>
      </c>
      <c r="G7" s="25" t="inlineStr">
        <is>
          <t>状态</t>
        </is>
      </c>
      <c r="H7" s="25" t="inlineStr">
        <is>
          <t>当日平仓净R</t>
        </is>
      </c>
      <c r="I7" s="25" t="inlineStr">
        <is>
          <t>明天的条件</t>
        </is>
      </c>
      <c r="J7" s="25" t="n"/>
    </row>
    <row r="8">
      <c r="B8" s="51" t="str">
        <f>IF(ISNUMBER($C$4),IF($C$4+0&lt;=$E$4,$C$4+0,""),"")</f>
        <v/>
      </c>
      <c r="C8" s="40" t="str">
        <f>IF(ISNUMBER(B8),"周"&amp;CHOOSE(WEEKDAY(B8,2),"一","二","三","四","五","六","日"),"")</f>
        <v/>
      </c>
      <c r="D8" s="38" t="str">
        <f>IF(ISNUMBER($B8),IFERROR(T(VLOOKUP($B8,'每日记录'!$A$5:$K$264,3,FALSE)),"未记"),"")</f>
        <v/>
      </c>
      <c r="E8" s="47" t="str">
        <f>IF(ISNUMBER($B8),IFERROR(IF(ISNUMBER(VLOOKUP($B8,'每日记录'!$A$5:$K$264,4,FALSE)),VLOOKUP($B8,'每日记录'!$A$5:$K$264,4,FALSE),""),""),"")</f>
        <v/>
      </c>
      <c r="F8" s="47" t="str">
        <f>IF(ISNUMBER($B8),IFERROR(VLOOKUP($B8,'每日记录'!$A$5:$K$264,5,FALSE),""),"")</f>
        <v/>
      </c>
      <c r="G8" s="47" t="str">
        <f>IF(ISNUMBER($B8),IFERROR(IF(ISNUMBER(VLOOKUP($B8,'每日记录'!$A$5:$K$264,7,FALSE)),VLOOKUP($B8,'每日记录'!$A$5:$K$264,7,FALSE),""),""),"")</f>
        <v/>
      </c>
      <c r="H8" s="48" t="str">
        <f>IF(ISNUMBER($B8),IFERROR(VLOOKUP($B8,'每日记录'!$A$5:$K$264,8,FALSE),""),"")</f>
        <v/>
      </c>
      <c r="I8" s="52" t="str">
        <f>IF(ISNUMBER($B8),IFERROR(T(VLOOKUP($B8,'每日记录'!$A$5:$K$264,10,FALSE)),""),"")</f>
        <v/>
      </c>
      <c r="J8" s="52" t="n"/>
    </row>
    <row r="9">
      <c r="B9" s="51" t="str">
        <f>IF(ISNUMBER($C$4),IF($C$4+1&lt;=$E$4,$C$4+1,""),"")</f>
        <v/>
      </c>
      <c r="C9" s="40" t="str">
        <f>IF(ISNUMBER(B9),"周"&amp;CHOOSE(WEEKDAY(B9,2),"一","二","三","四","五","六","日"),"")</f>
        <v/>
      </c>
      <c r="D9" s="38" t="str">
        <f>IF(ISNUMBER($B9),IFERROR(T(VLOOKUP($B9,'每日记录'!$A$5:$K$264,3,FALSE)),"未记"),"")</f>
        <v/>
      </c>
      <c r="E9" s="47" t="str">
        <f>IF(ISNUMBER($B9),IFERROR(IF(ISNUMBER(VLOOKUP($B9,'每日记录'!$A$5:$K$264,4,FALSE)),VLOOKUP($B9,'每日记录'!$A$5:$K$264,4,FALSE),""),""),"")</f>
        <v/>
      </c>
      <c r="F9" s="47" t="str">
        <f>IF(ISNUMBER($B9),IFERROR(VLOOKUP($B9,'每日记录'!$A$5:$K$264,5,FALSE),""),"")</f>
        <v/>
      </c>
      <c r="G9" s="47" t="str">
        <f>IF(ISNUMBER($B9),IFERROR(IF(ISNUMBER(VLOOKUP($B9,'每日记录'!$A$5:$K$264,7,FALSE)),VLOOKUP($B9,'每日记录'!$A$5:$K$264,7,FALSE),""),""),"")</f>
        <v/>
      </c>
      <c r="H9" s="48" t="str">
        <f>IF(ISNUMBER($B9),IFERROR(VLOOKUP($B9,'每日记录'!$A$5:$K$264,8,FALSE),""),"")</f>
        <v/>
      </c>
      <c r="I9" s="52" t="str">
        <f>IF(ISNUMBER($B9),IFERROR(T(VLOOKUP($B9,'每日记录'!$A$5:$K$264,10,FALSE)),""),"")</f>
        <v/>
      </c>
      <c r="J9" s="52" t="n"/>
    </row>
    <row r="10">
      <c r="B10" s="51" t="str">
        <f>IF(ISNUMBER($C$4),IF($C$4+2&lt;=$E$4,$C$4+2,""),"")</f>
        <v/>
      </c>
      <c r="C10" s="40" t="str">
        <f>IF(ISNUMBER(B10),"周"&amp;CHOOSE(WEEKDAY(B10,2),"一","二","三","四","五","六","日"),"")</f>
        <v/>
      </c>
      <c r="D10" s="38" t="str">
        <f>IF(ISNUMBER($B10),IFERROR(T(VLOOKUP($B10,'每日记录'!$A$5:$K$264,3,FALSE)),"未记"),"")</f>
        <v/>
      </c>
      <c r="E10" s="47" t="str">
        <f>IF(ISNUMBER($B10),IFERROR(IF(ISNUMBER(VLOOKUP($B10,'每日记录'!$A$5:$K$264,4,FALSE)),VLOOKUP($B10,'每日记录'!$A$5:$K$264,4,FALSE),""),""),"")</f>
        <v/>
      </c>
      <c r="F10" s="47" t="str">
        <f>IF(ISNUMBER($B10),IFERROR(VLOOKUP($B10,'每日记录'!$A$5:$K$264,5,FALSE),""),"")</f>
        <v/>
      </c>
      <c r="G10" s="47" t="str">
        <f>IF(ISNUMBER($B10),IFERROR(IF(ISNUMBER(VLOOKUP($B10,'每日记录'!$A$5:$K$264,7,FALSE)),VLOOKUP($B10,'每日记录'!$A$5:$K$264,7,FALSE),""),""),"")</f>
        <v/>
      </c>
      <c r="H10" s="48" t="str">
        <f>IF(ISNUMBER($B10),IFERROR(VLOOKUP($B10,'每日记录'!$A$5:$K$264,8,FALSE),""),"")</f>
        <v/>
      </c>
      <c r="I10" s="52" t="str">
        <f>IF(ISNUMBER($B10),IFERROR(T(VLOOKUP($B10,'每日记录'!$A$5:$K$264,10,FALSE)),""),"")</f>
        <v/>
      </c>
      <c r="J10" s="52" t="n"/>
    </row>
    <row r="11">
      <c r="B11" s="51" t="str">
        <f>IF(ISNUMBER($C$4),IF($C$4+3&lt;=$E$4,$C$4+3,""),"")</f>
        <v/>
      </c>
      <c r="C11" s="40" t="str">
        <f>IF(ISNUMBER(B11),"周"&amp;CHOOSE(WEEKDAY(B11,2),"一","二","三","四","五","六","日"),"")</f>
        <v/>
      </c>
      <c r="D11" s="38" t="str">
        <f>IF(ISNUMBER($B11),IFERROR(T(VLOOKUP($B11,'每日记录'!$A$5:$K$264,3,FALSE)),"未记"),"")</f>
        <v/>
      </c>
      <c r="E11" s="47" t="str">
        <f>IF(ISNUMBER($B11),IFERROR(IF(ISNUMBER(VLOOKUP($B11,'每日记录'!$A$5:$K$264,4,FALSE)),VLOOKUP($B11,'每日记录'!$A$5:$K$264,4,FALSE),""),""),"")</f>
        <v/>
      </c>
      <c r="F11" s="47" t="str">
        <f>IF(ISNUMBER($B11),IFERROR(VLOOKUP($B11,'每日记录'!$A$5:$K$264,5,FALSE),""),"")</f>
        <v/>
      </c>
      <c r="G11" s="47" t="str">
        <f>IF(ISNUMBER($B11),IFERROR(IF(ISNUMBER(VLOOKUP($B11,'每日记录'!$A$5:$K$264,7,FALSE)),VLOOKUP($B11,'每日记录'!$A$5:$K$264,7,FALSE),""),""),"")</f>
        <v/>
      </c>
      <c r="H11" s="48" t="str">
        <f>IF(ISNUMBER($B11),IFERROR(VLOOKUP($B11,'每日记录'!$A$5:$K$264,8,FALSE),""),"")</f>
        <v/>
      </c>
      <c r="I11" s="52" t="str">
        <f>IF(ISNUMBER($B11),IFERROR(T(VLOOKUP($B11,'每日记录'!$A$5:$K$264,10,FALSE)),""),"")</f>
        <v/>
      </c>
      <c r="J11" s="52" t="n"/>
    </row>
    <row r="12">
      <c r="B12" s="51" t="str">
        <f>IF(ISNUMBER($C$4),IF($C$4+4&lt;=$E$4,$C$4+4,""),"")</f>
        <v/>
      </c>
      <c r="C12" s="40" t="str">
        <f>IF(ISNUMBER(B12),"周"&amp;CHOOSE(WEEKDAY(B12,2),"一","二","三","四","五","六","日"),"")</f>
        <v/>
      </c>
      <c r="D12" s="38" t="str">
        <f>IF(ISNUMBER($B12),IFERROR(T(VLOOKUP($B12,'每日记录'!$A$5:$K$264,3,FALSE)),"未记"),"")</f>
        <v/>
      </c>
      <c r="E12" s="47" t="str">
        <f>IF(ISNUMBER($B12),IFERROR(IF(ISNUMBER(VLOOKUP($B12,'每日记录'!$A$5:$K$264,4,FALSE)),VLOOKUP($B12,'每日记录'!$A$5:$K$264,4,FALSE),""),""),"")</f>
        <v/>
      </c>
      <c r="F12" s="47" t="str">
        <f>IF(ISNUMBER($B12),IFERROR(VLOOKUP($B12,'每日记录'!$A$5:$K$264,5,FALSE),""),"")</f>
        <v/>
      </c>
      <c r="G12" s="47" t="str">
        <f>IF(ISNUMBER($B12),IFERROR(IF(ISNUMBER(VLOOKUP($B12,'每日记录'!$A$5:$K$264,7,FALSE)),VLOOKUP($B12,'每日记录'!$A$5:$K$264,7,FALSE),""),""),"")</f>
        <v/>
      </c>
      <c r="H12" s="48" t="str">
        <f>IF(ISNUMBER($B12),IFERROR(VLOOKUP($B12,'每日记录'!$A$5:$K$264,8,FALSE),""),"")</f>
        <v/>
      </c>
      <c r="I12" s="52" t="str">
        <f>IF(ISNUMBER($B12),IFERROR(T(VLOOKUP($B12,'每日记录'!$A$5:$K$264,10,FALSE)),""),"")</f>
        <v/>
      </c>
      <c r="J12" s="52" t="n"/>
    </row>
    <row r="13">
      <c r="B13" s="51" t="str">
        <f>IF(ISNUMBER($C$4),IF($C$4+5&lt;=$E$4,$C$4+5,""),"")</f>
        <v/>
      </c>
      <c r="C13" s="40" t="str">
        <f>IF(ISNUMBER(B13),"周"&amp;CHOOSE(WEEKDAY(B13,2),"一","二","三","四","五","六","日"),"")</f>
        <v/>
      </c>
      <c r="D13" s="38" t="str">
        <f>IF(ISNUMBER($B13),IFERROR(T(VLOOKUP($B13,'每日记录'!$A$5:$K$264,3,FALSE)),"未记"),"")</f>
        <v/>
      </c>
      <c r="E13" s="47" t="str">
        <f>IF(ISNUMBER($B13),IFERROR(IF(ISNUMBER(VLOOKUP($B13,'每日记录'!$A$5:$K$264,4,FALSE)),VLOOKUP($B13,'每日记录'!$A$5:$K$264,4,FALSE),""),""),"")</f>
        <v/>
      </c>
      <c r="F13" s="47" t="str">
        <f>IF(ISNUMBER($B13),IFERROR(VLOOKUP($B13,'每日记录'!$A$5:$K$264,5,FALSE),""),"")</f>
        <v/>
      </c>
      <c r="G13" s="47" t="str">
        <f>IF(ISNUMBER($B13),IFERROR(IF(ISNUMBER(VLOOKUP($B13,'每日记录'!$A$5:$K$264,7,FALSE)),VLOOKUP($B13,'每日记录'!$A$5:$K$264,7,FALSE),""),""),"")</f>
        <v/>
      </c>
      <c r="H13" s="48" t="str">
        <f>IF(ISNUMBER($B13),IFERROR(VLOOKUP($B13,'每日记录'!$A$5:$K$264,8,FALSE),""),"")</f>
        <v/>
      </c>
      <c r="I13" s="52" t="str">
        <f>IF(ISNUMBER($B13),IFERROR(T(VLOOKUP($B13,'每日记录'!$A$5:$K$264,10,FALSE)),""),"")</f>
        <v/>
      </c>
      <c r="J13" s="52" t="n"/>
    </row>
    <row r="14">
      <c r="B14" s="51" t="str">
        <f>IF(ISNUMBER($C$4),IF($C$4+6&lt;=$E$4,$C$4+6,""),"")</f>
        <v/>
      </c>
      <c r="C14" s="40" t="str">
        <f>IF(ISNUMBER(B14),"周"&amp;CHOOSE(WEEKDAY(B14,2),"一","二","三","四","五","六","日"),"")</f>
        <v/>
      </c>
      <c r="D14" s="38" t="str">
        <f>IF(ISNUMBER($B14),IFERROR(T(VLOOKUP($B14,'每日记录'!$A$5:$K$264,3,FALSE)),"未记"),"")</f>
        <v/>
      </c>
      <c r="E14" s="47" t="str">
        <f>IF(ISNUMBER($B14),IFERROR(IF(ISNUMBER(VLOOKUP($B14,'每日记录'!$A$5:$K$264,4,FALSE)),VLOOKUP($B14,'每日记录'!$A$5:$K$264,4,FALSE),""),""),"")</f>
        <v/>
      </c>
      <c r="F14" s="47" t="str">
        <f>IF(ISNUMBER($B14),IFERROR(VLOOKUP($B14,'每日记录'!$A$5:$K$264,5,FALSE),""),"")</f>
        <v/>
      </c>
      <c r="G14" s="47" t="str">
        <f>IF(ISNUMBER($B14),IFERROR(IF(ISNUMBER(VLOOKUP($B14,'每日记录'!$A$5:$K$264,7,FALSE)),VLOOKUP($B14,'每日记录'!$A$5:$K$264,7,FALSE),""),""),"")</f>
        <v/>
      </c>
      <c r="H14" s="48" t="str">
        <f>IF(ISNUMBER($B14),IFERROR(VLOOKUP($B14,'每日记录'!$A$5:$K$264,8,FALSE),""),"")</f>
        <v/>
      </c>
      <c r="I14" s="52" t="str">
        <f>IF(ISNUMBER($B14),IFERROR(T(VLOOKUP($B14,'每日记录'!$A$5:$K$264,10,FALSE)),""),"")</f>
        <v/>
      </c>
      <c r="J14" s="52" t="n"/>
    </row>
    <row r="16">
      <c r="B16" s="15" t="inlineStr">
        <is>
          <t>2. 成绩与执行</t>
        </is>
      </c>
    </row>
    <row r="17">
      <c r="B17" s="25" t="inlineStr">
        <is>
          <t>指标</t>
        </is>
      </c>
      <c r="C17" s="25" t="inlineStr">
        <is>
          <t>本区间</t>
        </is>
      </c>
      <c r="D17" s="25" t="inlineStr">
        <is>
          <t>全部记录</t>
        </is>
      </c>
      <c r="E17" s="25" t="inlineStr">
        <is>
          <t>怎么看</t>
        </is>
      </c>
      <c r="F17" s="25" t="n"/>
      <c r="G17" s="25" t="n"/>
      <c r="H17" s="25" t="n"/>
      <c r="I17" s="25" t="n"/>
      <c r="J17" s="25" t="n"/>
    </row>
    <row r="18">
      <c r="B18" s="16" t="inlineStr">
        <is>
          <t>写了计划的笔数</t>
        </is>
      </c>
      <c r="C18" s="53" t="str">
        <f>IF(AND(ISNUMBER($C$4),ISNUMBER($E$4)),COUNTIFS('交易记录'!$B$5:$B$304,"&gt;="&amp;$C$4,'交易记录'!$B$5:$B$304,"&lt;="&amp;$E$4),"")</f>
        <v/>
      </c>
      <c r="D18" s="53">
        <f>COUNT('交易记录'!$B$5:$B$304)</f>
        <v>0</v>
      </c>
      <c r="E18" s="19" t="inlineStr">
        <is>
          <t>按计划日期算。计划少不一定是坏事，没机会就不做。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其中已执行</t>
        </is>
      </c>
      <c r="C19" s="53" t="str">
        <f>IF(AND(ISNUMBER($C$4),ISNUMBER($E$4)),COUNTIFS('交易记录'!$B$5:$B$304,"&gt;="&amp;$C$4,'交易记录'!$B$5:$B$304,"&lt;="&amp;$E$4,'交易记录'!$Q$5:$Q$304,"已执行"),"")</f>
        <v/>
      </c>
      <c r="D19" s="53">
        <f>COUNTIF('交易记录'!$Q$5:$Q$304,"已执行")</f>
        <v>0</v>
      </c>
      <c r="E19" s="19" t="inlineStr"/>
      <c r="F19" s="19" t="n"/>
      <c r="G19" s="19" t="n"/>
      <c r="H19" s="19" t="n"/>
      <c r="I19" s="19" t="n"/>
      <c r="J19" s="19" t="n"/>
    </row>
    <row r="20">
      <c r="B20" s="16" t="inlineStr">
        <is>
          <t>未成交</t>
        </is>
      </c>
      <c r="C20" s="53" t="str">
        <f>IF(AND(ISNUMBER($C$4),ISNUMBER($E$4)),COUNTIFS('交易记录'!$B$5:$B$304,"&gt;="&amp;$C$4,'交易记录'!$B$5:$B$304,"&lt;="&amp;$E$4,'交易记录'!$Q$5:$Q$304,"未成交"),"")</f>
        <v/>
      </c>
      <c r="D20" s="53">
        <f>COUNTIF('交易记录'!$Q$5:$Q$304,"未成交")</f>
        <v>0</v>
      </c>
      <c r="E20" s="19" t="inlineStr">
        <is>
          <t>挂了没成交，不算胜率，也不算错。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主动放弃</t>
        </is>
      </c>
      <c r="C21" s="53" t="str">
        <f>IF(AND(ISNUMBER($C$4),ISNUMBER($E$4)),COUNTIFS('交易记录'!$B$5:$B$304,"&gt;="&amp;$C$4,'交易记录'!$B$5:$B$304,"&lt;="&amp;$E$4,'交易记录'!$Q$5:$Q$304,"主动放弃"),"")</f>
        <v/>
      </c>
      <c r="D21" s="53">
        <f>COUNTIF('交易记录'!$Q$5:$Q$304,"主动放弃")</f>
        <v>0</v>
      </c>
      <c r="E21" s="19" t="inlineStr">
        <is>
          <t>按规则不做，也是执行。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漏单</t>
        </is>
      </c>
      <c r="C22" s="53" t="str">
        <f>IF(AND(ISNUMBER($C$4),ISNUMBER($E$4)),COUNTIFS('交易记录'!$B$5:$B$304,"&gt;="&amp;$C$4,'交易记录'!$B$5:$B$304,"&lt;="&amp;$E$4,'交易记录'!$Q$5:$Q$304,"漏单"),"")</f>
        <v/>
      </c>
      <c r="D22" s="53">
        <f>COUNTIF('交易记录'!$Q$5:$Q$304,"漏单")</f>
        <v>0</v>
      </c>
      <c r="E22" s="19" t="inlineStr">
        <is>
          <t>该做没做。多了先修提醒和流程，别先改信号。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已平仓笔数</t>
        </is>
      </c>
      <c r="C23" s="53" t="str">
        <f>IF(AND(ISNUMBER($C$4),ISNUMBER($E$4)),COUNTIFS('交易记录'!$S$5:$S$304,"&gt;="&amp;$C$4,'交易记录'!$S$5:$S$304,"&lt;="&amp;$E$4,'交易记录'!$Y$5:$Y$304,"已平仓"),"")</f>
        <v/>
      </c>
      <c r="D23" s="53">
        <f>COUNTIF('交易记录'!$Y$5:$Y$304,"已平仓")</f>
        <v>0</v>
      </c>
      <c r="E23" s="19" t="inlineStr">
        <is>
          <t>下面的成绩只算这些。持仓中的不算。</t>
        </is>
      </c>
      <c r="F23" s="19" t="n"/>
      <c r="G23" s="19" t="n"/>
      <c r="H23" s="19" t="n"/>
      <c r="I23" s="19" t="n"/>
      <c r="J23" s="19" t="n"/>
    </row>
    <row r="24">
      <c r="B24" s="16" t="inlineStr">
        <is>
          <t>盈利笔数</t>
        </is>
      </c>
      <c r="C24" s="53" t="str">
        <f>IF(AND(ISNUMBER($C$4),ISNUMBER($E$4)),COUNTIFS('交易记录'!$S$5:$S$304,"&gt;="&amp;$C$4,'交易记录'!$S$5:$S$304,"&lt;="&amp;$E$4,'交易记录'!$Y$5:$Y$304,"已平仓",'交易记录'!$AC$5:$AC$304,"&gt;0"),"")</f>
        <v/>
      </c>
      <c r="D24" s="53">
        <f>COUNTIFS('交易记录'!$Y$5:$Y$304,"已平仓",'交易记录'!$AC$5:$AC$304,"&gt;0")</f>
        <v>0</v>
      </c>
      <c r="E24" s="19" t="inlineStr">
        <is>
          <t>按净R算，扣完费用还赚才算盈利。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亏损笔数</t>
        </is>
      </c>
      <c r="C25" s="53" t="str">
        <f>IF(AND(ISNUMBER($C$4),ISNUMBER($E$4)),COUNTIFS('交易记录'!$S$5:$S$304,"&gt;="&amp;$C$4,'交易记录'!$S$5:$S$304,"&lt;="&amp;$E$4,'交易记录'!$Y$5:$Y$304,"已平仓",'交易记录'!$AC$5:$AC$304,"&lt;0"),"")</f>
        <v/>
      </c>
      <c r="D25" s="53">
        <f>COUNTIFS('交易记录'!$Y$5:$Y$304,"已平仓",'交易记录'!$AC$5:$AC$304,"&lt;0")</f>
        <v>0</v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胜率</t>
        </is>
      </c>
      <c r="C26" s="54" t="str">
        <f>IF(AND(ISNUMBER($C$4),ISNUMBER($E$4)),IF(N(C23)&gt;0,C24/C23,""),"")</f>
        <v/>
      </c>
      <c r="D26" s="54" t="str">
        <f>IF(N(D23)&gt;0,D24/D23,"")</f>
        <v/>
      </c>
      <c r="E26" s="19" t="inlineStr">
        <is>
          <t>只看胜率会被骗，要和下面两行一起看。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平均盈利（R）</t>
        </is>
      </c>
      <c r="C27" s="48" t="str">
        <f>IF(AND(ISNUMBER($C$4),ISNUMBER($E$4)),IF(N(C24)&gt;0,SUMIFS('交易记录'!$AC$5:$AC$304,'交易记录'!$S$5:$S$304,"&gt;="&amp;$C$4,'交易记录'!$S$5:$S$304,"&lt;="&amp;$E$4,'交易记录'!$Y$5:$Y$304,"已平仓",'交易记录'!$AC$5:$AC$304,"&gt;0")/C24,""),"")</f>
        <v/>
      </c>
      <c r="D27" s="48" t="str">
        <f>IF(N(D24)&gt;0,SUMIFS('交易记录'!$AC$5:$AC$304,'交易记录'!$Y$5:$Y$304,"已平仓",'交易记录'!$AC$5:$AC$304,"&gt;0")/D24,"")</f>
        <v/>
      </c>
      <c r="E27" s="19" t="inlineStr"/>
      <c r="F27" s="19" t="n"/>
      <c r="G27" s="19" t="n"/>
      <c r="H27" s="19" t="n"/>
      <c r="I27" s="19" t="n"/>
      <c r="J27" s="19" t="n"/>
    </row>
    <row r="28">
      <c r="B28" s="16" t="inlineStr">
        <is>
          <t>平均亏损（R）</t>
        </is>
      </c>
      <c r="C28" s="48" t="str">
        <f>IF(AND(ISNUMBER($C$4),ISNUMBER($E$4)),IF(N(C25)&gt;0,SUMIFS('交易记录'!$AC$5:$AC$304,'交易记录'!$S$5:$S$304,"&gt;="&amp;$C$4,'交易记录'!$S$5:$S$304,"&lt;="&amp;$E$4,'交易记录'!$Y$5:$Y$304,"已平仓",'交易记录'!$AC$5:$AC$304,"&lt;0")/C25,""),"")</f>
        <v/>
      </c>
      <c r="D28" s="48" t="str">
        <f>IF(N(D25)&gt;0,SUMIFS('交易记录'!$AC$5:$AC$304,'交易记录'!$Y$5:$Y$304,"已平仓",'交易记录'!$AC$5:$AC$304,"&lt;0")/D25,"")</f>
        <v/>
      </c>
      <c r="E28" s="19" t="inlineStr">
        <is>
          <t>平均亏损超过 1R，说明止损常被跳空或扛单打穿。</t>
        </is>
      </c>
      <c r="F28" s="19" t="n"/>
      <c r="G28" s="19" t="n"/>
      <c r="H28" s="19" t="n"/>
      <c r="I28" s="19" t="n"/>
      <c r="J28" s="19" t="n"/>
    </row>
    <row r="29">
      <c r="B29" s="16" t="inlineStr">
        <is>
          <t>每笔平均净R（期望）</t>
        </is>
      </c>
      <c r="C29" s="48" t="str">
        <f>IF(AND(ISNUMBER($C$4),ISNUMBER($E$4)),IF(N(C23)&gt;0,SUMIFS('交易记录'!$AC$5:$AC$304,'交易记录'!$S$5:$S$304,"&gt;="&amp;$C$4,'交易记录'!$S$5:$S$304,"&lt;="&amp;$E$4,'交易记录'!$Y$5:$Y$304,"已平仓")/C23,""),"")</f>
        <v/>
      </c>
      <c r="D29" s="48" t="str">
        <f>IF(N(D23)&gt;0,SUMIFS('交易记录'!$AC$5:$AC$304,'交易记录'!$Y$5:$Y$304,"已平仓")/D23,"")</f>
        <v/>
      </c>
      <c r="E29" s="19" t="inlineStr">
        <is>
          <t>最重要的一个数。笔数少时只当参考。</t>
        </is>
      </c>
      <c r="F29" s="19" t="n"/>
      <c r="G29" s="19" t="n"/>
      <c r="H29" s="19" t="n"/>
      <c r="I29" s="19" t="n"/>
      <c r="J29" s="19" t="n"/>
    </row>
    <row r="30">
      <c r="B30" s="16" t="inlineStr">
        <is>
          <t>合计毛R（不扣费用）</t>
        </is>
      </c>
      <c r="C30" s="48" t="str">
        <f>IF(AND(ISNUMBER($C$4),ISNUMBER($E$4)),IF(N(C23)&gt;0,SUMIFS('交易记录'!$AB$5:$AB$304,'交易记录'!$S$5:$S$304,"&gt;="&amp;$C$4,'交易记录'!$S$5:$S$304,"&lt;="&amp;$E$4,'交易记录'!$Y$5:$Y$304,"已平仓"),""),"")</f>
        <v/>
      </c>
      <c r="D30" s="48" t="str">
        <f>IF(N(D23)&gt;0,SUMIFS('交易记录'!$AB$5:$AB$304,'交易记录'!$Y$5:$Y$304,"已平仓"),"")</f>
        <v/>
      </c>
      <c r="E30" s="19" t="inlineStr"/>
      <c r="F30" s="19" t="n"/>
      <c r="G30" s="19" t="n"/>
      <c r="H30" s="19" t="n"/>
      <c r="I30" s="19" t="n"/>
      <c r="J30" s="19" t="n"/>
    </row>
    <row r="31">
      <c r="B31" s="16" t="inlineStr">
        <is>
          <t>合计净R（扣完费用）</t>
        </is>
      </c>
      <c r="C31" s="48" t="str">
        <f>IF(AND(ISNUMBER($C$4),ISNUMBER($E$4)),IF(N(C23)&gt;0,SUMIFS('交易记录'!$AC$5:$AC$304,'交易记录'!$S$5:$S$304,"&gt;="&amp;$C$4,'交易记录'!$S$5:$S$304,"&lt;="&amp;$E$4,'交易记录'!$Y$5:$Y$304,"已平仓"),""),"")</f>
        <v/>
      </c>
      <c r="D31" s="48" t="str">
        <f>IF(N(D23)&gt;0,SUMIFS('交易记录'!$AC$5:$AC$304,'交易记录'!$Y$5:$Y$304,"已平仓"),"")</f>
        <v/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费用吃掉的R</t>
        </is>
      </c>
      <c r="C32" s="55" t="str">
        <f>IF(AND(ISNUMBER($C$4),ISNUMBER($E$4)),IF(N(C23)&gt;0,C30-C31,""),"")</f>
        <v/>
      </c>
      <c r="D32" s="55" t="str">
        <f>IF(N(D23)&gt;0,D30-D31,"")</f>
        <v/>
      </c>
      <c r="E32" s="19" t="inlineStr">
        <is>
          <t>做得越勤，这一行越大。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合计净盈亏（元）</t>
        </is>
      </c>
      <c r="C33" s="42" t="str">
        <f>IF(AND(ISNUMBER($C$4),ISNUMBER($E$4)),IF(N(C23)&gt;0,SUMIFS('交易记录'!$AA$5:$AA$304,'交易记录'!$S$5:$S$304,"&gt;="&amp;$C$4,'交易记录'!$S$5:$S$304,"&lt;="&amp;$E$4,'交易记录'!$Y$5:$Y$304,"已平仓"),""),"")</f>
        <v/>
      </c>
      <c r="D33" s="42" t="str">
        <f>IF(N(D23)&gt;0,SUMIFS('交易记录'!$AA$5:$AA$304,'交易记录'!$Y$5:$Y$304,"已平仓"),"")</f>
        <v/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合计费用（元）</t>
        </is>
      </c>
      <c r="C34" s="41" t="str">
        <f>IF(AND(ISNUMBER($C$4),ISNUMBER($E$4)),IF(N(C23)&gt;0,SUMIFS('交易记录'!$Z$5:$Z$304,'交易记录'!$S$5:$S$304,"&gt;="&amp;$C$4,'交易记录'!$S$5:$S$304,"&lt;="&amp;$E$4,'交易记录'!$Y$5:$Y$304,"已平仓"),""),"")</f>
        <v/>
      </c>
      <c r="D34" s="41" t="str">
        <f>IF(N(D23)&gt;0,SUMIFS('交易记录'!$Z$5:$Z$304,'交易记录'!$Y$5:$Y$304,"已平仓"),"")</f>
        <v/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A（完全照计划）</t>
        </is>
      </c>
      <c r="C35" s="53" t="str">
        <f>IF(AND(ISNUMBER($C$4),ISNUMBER($E$4)),COUNTIFS('交易记录'!$S$5:$S$304,"&gt;="&amp;$C$4,'交易记录'!$S$5:$S$304,"&lt;="&amp;$E$4,'交易记录'!$Y$5:$Y$304,"已平仓",'交易记录'!$AF$5:$AF$304,"A"),"")</f>
        <v/>
      </c>
      <c r="D35" s="53">
        <f>COUNTIFS('交易记录'!$Y$5:$Y$304,"已平仓",'交易记录'!$AF$5:$AF$304,"A")</f>
        <v>0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B（小偏差）</t>
        </is>
      </c>
      <c r="C36" s="53" t="str">
        <f>IF(AND(ISNUMBER($C$4),ISNUMBER($E$4)),COUNTIFS('交易记录'!$S$5:$S$304,"&gt;="&amp;$C$4,'交易记录'!$S$5:$S$304,"&lt;="&amp;$E$4,'交易记录'!$Y$5:$Y$304,"已平仓",'交易记录'!$AF$5:$AF$304,"B"),"")</f>
        <v/>
      </c>
      <c r="D36" s="53">
        <f>COUNTIFS('交易记录'!$Y$5:$Y$304,"已平仓",'交易记录'!$AF$5:$AF$304,"B")</f>
        <v>0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过程 C（违反一条规则）</t>
        </is>
      </c>
      <c r="C37" s="53" t="str">
        <f>IF(AND(ISNUMBER($C$4),ISNUMBER($E$4)),COUNTIFS('交易记录'!$S$5:$S$304,"&gt;="&amp;$C$4,'交易记录'!$S$5:$S$304,"&lt;="&amp;$E$4,'交易记录'!$Y$5:$Y$304,"已平仓",'交易记录'!$AF$5:$AF$304,"C"),"")</f>
        <v/>
      </c>
      <c r="D37" s="53">
        <f>COUNTIFS('交易记录'!$Y$5:$Y$304,"已平仓",'交易记录'!$AF$5:$AF$304,"C")</f>
        <v>0</v>
      </c>
      <c r="E37" s="19" t="inlineStr"/>
      <c r="F37" s="19" t="n"/>
      <c r="G37" s="19" t="n"/>
      <c r="H37" s="19" t="n"/>
      <c r="I37" s="19" t="n"/>
      <c r="J37" s="19" t="n"/>
    </row>
    <row r="38">
      <c r="B38" s="16" t="inlineStr">
        <is>
          <t>过程 D（没计划就下单）</t>
        </is>
      </c>
      <c r="C38" s="53" t="str">
        <f>IF(AND(ISNUMBER($C$4),ISNUMBER($E$4)),COUNTIFS('交易记录'!$S$5:$S$304,"&gt;="&amp;$C$4,'交易记录'!$S$5:$S$304,"&lt;="&amp;$E$4,'交易记录'!$Y$5:$Y$304,"已平仓",'交易记录'!$AF$5:$AF$304,"D"),"")</f>
        <v/>
      </c>
      <c r="D38" s="53">
        <f>COUNTIFS('交易记录'!$Y$5:$Y$304,"已平仓",'交易记录'!$AF$5:$AF$304,"D")</f>
        <v>0</v>
      </c>
      <c r="E38" s="19" t="inlineStr"/>
      <c r="F38" s="19" t="n"/>
      <c r="G38" s="19" t="n"/>
      <c r="H38" s="19" t="n"/>
      <c r="I38" s="19" t="n"/>
      <c r="J38" s="19" t="n"/>
    </row>
    <row r="39">
      <c r="B39" s="16" t="inlineStr">
        <is>
          <t>A 档占比</t>
        </is>
      </c>
      <c r="C39" s="54" t="str">
        <f>IF(AND(ISNUMBER($C$4),ISNUMBER($E$4)),IF(N(C23)&gt;0,C35/C23,""),"")</f>
        <v/>
      </c>
      <c r="D39" s="54" t="str">
        <f>IF(N(D23)&gt;0,D35/D23,"")</f>
        <v/>
      </c>
      <c r="E39" s="19" t="inlineStr">
        <is>
          <t>这个比例在涨，说明执行在变好，哪怕这周亏了钱。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赚了钱的坏交易（C/D 档却赚了）</t>
        </is>
      </c>
      <c r="C40" s="53" t="str">
        <f>IF(AND(ISNUMBER($C$4),ISNUMBER($E$4)),COUNTIFS('交易记录'!$S$5:$S$304,"&gt;="&amp;$C$4,'交易记录'!$S$5:$S$304,"&lt;="&amp;$E$4,'交易记录'!$Y$5:$Y$304,"已平仓",'交易记录'!$AF$5:$AF$304,"C",'交易记录'!$AC$5:$AC$304,"&gt;0")+COUNTIFS('交易记录'!$S$5:$S$304,"&gt;="&amp;$C$4,'交易记录'!$S$5:$S$304,"&lt;="&amp;$E$4,'交易记录'!$Y$5:$Y$304,"已平仓",'交易记录'!$AF$5:$AF$304,"D",'交易记录'!$AC$5:$AC$304,"&gt;0"),"")</f>
        <v/>
      </c>
      <c r="D40" s="53">
        <f>COUNTIFS('交易记录'!$Y$5:$Y$304,"已平仓",'交易记录'!$AF$5:$AF$304,"C",'交易记录'!$AC$5:$AC$304,"&gt;0")+COUNTIFS('交易记录'!$Y$5:$Y$304,"已平仓",'交易记录'!$AF$5:$AF$304,"D",'交易记录'!$AC$5:$AC$304,"&gt;0")</f>
        <v>0</v>
      </c>
      <c r="E40" s="19" t="inlineStr">
        <is>
          <t>最需要复盘的一类：它会让你下次继续违规。</t>
        </is>
      </c>
      <c r="F40" s="19" t="n"/>
      <c r="G40" s="19" t="n"/>
      <c r="H40" s="19" t="n"/>
      <c r="I40" s="19" t="n"/>
      <c r="J40" s="19" t="n"/>
    </row>
    <row r="41">
      <c r="B41" s="16" t="inlineStr">
        <is>
          <t>照计划做的（A/B）每笔平均净R</t>
        </is>
      </c>
      <c r="C41" s="48" t="str">
        <f>IF(AND(ISNUMBER($C$4),ISNUMBER($E$4)),IF(N(C35)+N(C36)&gt;0,(SUMIFS('交易记录'!$AC$5:$AC$304,'交易记录'!$S$5:$S$304,"&gt;="&amp;$C$4,'交易记录'!$S$5:$S$304,"&lt;="&amp;$E$4,'交易记录'!$Y$5:$Y$304,"已平仓",'交易记录'!$AF$5:$AF$304,"A")+SUMIFS('交易记录'!$AC$5:$AC$304,'交易记录'!$S$5:$S$304,"&gt;="&amp;$C$4,'交易记录'!$S$5:$S$304,"&lt;="&amp;$E$4,'交易记录'!$Y$5:$Y$304,"已平仓",'交易记录'!$AF$5:$AF$304,"B"))/(C35+C36),""),"")</f>
        <v/>
      </c>
      <c r="D41" s="48" t="str">
        <f>IF(N(D35)+N(D36)&gt;0,(SUMIFS('交易记录'!$AC$5:$AC$304,'交易记录'!$Y$5:$Y$304,"已平仓",'交易记录'!$AF$5:$AF$304,"A")+SUMIFS('交易记录'!$AC$5:$AC$304,'交易记录'!$Y$5:$Y$304,"已平仓",'交易记录'!$AF$5:$AF$304,"B"))/(D35+D36),"")</f>
        <v/>
      </c>
      <c r="E41" s="19" t="inlineStr">
        <is>
          <t>和下一行比：规则本身赚不赚钱，先看照做的这些。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违规的（C/D）每笔平均净R</t>
        </is>
      </c>
      <c r="C42" s="48" t="str">
        <f>IF(AND(ISNUMBER($C$4),ISNUMBER($E$4)),IF(N(C37)+N(C38)&gt;0,(SUMIFS('交易记录'!$AC$5:$AC$304,'交易记录'!$S$5:$S$304,"&gt;="&amp;$C$4,'交易记录'!$S$5:$S$304,"&lt;="&amp;$E$4,'交易记录'!$Y$5:$Y$304,"已平仓",'交易记录'!$AF$5:$AF$304,"C")+SUMIFS('交易记录'!$AC$5:$AC$304,'交易记录'!$S$5:$S$304,"&gt;="&amp;$C$4,'交易记录'!$S$5:$S$304,"&lt;="&amp;$E$4,'交易记录'!$Y$5:$Y$304,"已平仓",'交易记录'!$AF$5:$AF$304,"D"))/(C37+C38),""),"")</f>
        <v/>
      </c>
      <c r="D42" s="48" t="str">
        <f>IF(N(D37)+N(D38)&gt;0,(SUMIFS('交易记录'!$AC$5:$AC$304,'交易记录'!$Y$5:$Y$304,"已平仓",'交易记录'!$AF$5:$AF$304,"C")+SUMIFS('交易记录'!$AC$5:$AC$304,'交易记录'!$Y$5:$Y$304,"已平仓",'交易记录'!$AF$5:$AF$304,"D"))/(D37+D38),"")</f>
        <v/>
      </c>
      <c r="E42" s="19" t="inlineStr"/>
      <c r="F42" s="19" t="n"/>
      <c r="G42" s="19" t="n"/>
      <c r="H42" s="19" t="n"/>
      <c r="I42" s="19" t="n"/>
      <c r="J42" s="19" t="n"/>
    </row>
    <row r="43">
      <c r="B43" s="16" t="inlineStr">
        <is>
          <t>持仓中（现在）</t>
        </is>
      </c>
      <c r="C43" s="53" t="str">
        <f>IF(AND(ISNUMBER($C$4),ISNUMBER($E$4)),COUNTIF('交易记录'!$Y$5:$Y$304,"持仓中"),"")</f>
        <v/>
      </c>
      <c r="D43" s="53">
        <f>COUNTIF('交易记录'!$Y$5:$Y$304,"持仓中")</f>
        <v>0</v>
      </c>
      <c r="E43" s="19" t="inlineStr">
        <is>
          <t>没平仓的不进成绩。</t>
        </is>
      </c>
      <c r="F43" s="19" t="n"/>
      <c r="G43" s="19" t="n"/>
      <c r="H43" s="19" t="n"/>
      <c r="I43" s="19" t="n"/>
      <c r="J43" s="19" t="n"/>
    </row>
    <row r="44">
      <c r="B44" s="16" t="inlineStr">
        <is>
          <t>最大回撤（R，全部记录）</t>
        </is>
      </c>
      <c r="C44" s="55" t="str">
        <f>""</f>
        <v/>
      </c>
      <c r="D44" s="55" t="str">
        <f>IF(COUNT('交易记录'!$AJ$5:$AJ$304)=0,"",MAX('交易记录'!$AJ$5:$AJ$304))</f>
        <v/>
      </c>
      <c r="E44" s="19" t="inlineStr">
        <is>
          <t>按交易记录的先后顺序累计净R，从最高点往下最多回了几 R。</t>
        </is>
      </c>
      <c r="F44" s="19" t="n"/>
      <c r="G44" s="19" t="n"/>
      <c r="H44" s="19" t="n"/>
      <c r="I44" s="19" t="n"/>
      <c r="J44" s="19" t="n"/>
    </row>
    <row r="45">
      <c r="B45" s="16" t="inlineStr">
        <is>
          <t>最大单笔亏损（R，全部记录）</t>
        </is>
      </c>
      <c r="C45" s="48" t="str">
        <f>""</f>
        <v/>
      </c>
      <c r="D45" s="48" t="str">
        <f>IF(COUNT('交易记录'!$AC$5:$AC$304)=0,"",MIN('交易记录'!$AC$5:$AC$304))</f>
        <v/>
      </c>
      <c r="E45" s="19" t="inlineStr">
        <is>
          <t>超过 -2R 的单，逐笔回去看是跳空、滑点还是扛单。</t>
        </is>
      </c>
      <c r="F45" s="19" t="n"/>
      <c r="G45" s="19" t="n"/>
      <c r="H45" s="19" t="n"/>
      <c r="I45" s="19" t="n"/>
      <c r="J45" s="19" t="n"/>
    </row>
    <row r="47">
      <c r="B47" s="15" t="inlineStr">
        <is>
          <t>3. 偏差标签：最常犯的是哪一个</t>
        </is>
      </c>
    </row>
    <row r="48">
      <c r="B48" s="25" t="inlineStr">
        <is>
          <t>标签</t>
        </is>
      </c>
      <c r="C48" s="25" t="inlineStr">
        <is>
          <t>本区间笔数</t>
        </is>
      </c>
      <c r="D48" s="25" t="inlineStr">
        <is>
          <t>全部笔数</t>
        </is>
      </c>
      <c r="E48" s="25" t="inlineStr">
        <is>
          <t>全部合计净R</t>
        </is>
      </c>
      <c r="F48" s="25" t="inlineStr">
        <is>
          <t>提示</t>
        </is>
      </c>
    </row>
    <row r="49">
      <c r="B49" s="56" t="str">
        <f>T('参数'!$F$22)</f>
        <v>无</v>
      </c>
      <c r="C49" s="53" t="str">
        <f>IF(OR(B49="",NOT(AND(ISNUMBER($C$4),ISNUMBER($E$4)))),"",COUNTIFS('交易记录'!$S$5:$S$304,"&gt;="&amp;$C$4,'交易记录'!$S$5:$S$304,"&lt;="&amp;$E$4,'交易记录'!$Y$5:$Y$304,"已平仓",'交易记录'!$AG$5:$AG$304,B49))</f>
        <v/>
      </c>
      <c r="D49" s="53">
        <f>IF(B49="","",COUNTIFS('交易记录'!$Y$5:$Y$304,"已平仓",'交易记录'!$AG$5:$AG$304,B49))</f>
        <v>0</v>
      </c>
      <c r="E49" s="48">
        <f>IF(B49="","",SUMIFS('交易记录'!$AC$5:$AC$304,'交易记录'!$Y$5:$Y$304,"已平仓",'交易记录'!$AG$5:$AG$304,B49))</f>
        <v>0</v>
      </c>
      <c r="F49" s="40" t="str">
        <f>IF(AND(B49&lt;&gt;"",B49&lt;&gt;"无",N(C49)&gt;0,N(C49)=MAX($L$49:$L$58)),"本区间最多","")</f>
        <v/>
      </c>
      <c r="L49" s="57">
        <f>IF(OR(B49="",B49="无"),0,N(C49))</f>
        <v>0</v>
      </c>
    </row>
    <row r="50">
      <c r="B50" s="56" t="str">
        <f>T('参数'!$F$23)</f>
        <v>追单</v>
      </c>
      <c r="C50" s="53" t="str">
        <f>IF(OR(B50="",NOT(AND(ISNUMBER($C$4),ISNUMBER($E$4)))),"",COUNTIFS('交易记录'!$S$5:$S$304,"&gt;="&amp;$C$4,'交易记录'!$S$5:$S$304,"&lt;="&amp;$E$4,'交易记录'!$Y$5:$Y$304,"已平仓",'交易记录'!$AG$5:$AG$304,B50))</f>
        <v/>
      </c>
      <c r="D50" s="53">
        <f>IF(B50="","",COUNTIFS('交易记录'!$Y$5:$Y$304,"已平仓",'交易记录'!$AG$5:$AG$304,B50))</f>
        <v>0</v>
      </c>
      <c r="E50" s="48">
        <f>IF(B50="","",SUMIFS('交易记录'!$AC$5:$AC$304,'交易记录'!$Y$5:$Y$304,"已平仓",'交易记录'!$AG$5:$AG$304,B50))</f>
        <v>0</v>
      </c>
      <c r="F50" s="40" t="str">
        <f>IF(AND(B50&lt;&gt;"",B50&lt;&gt;"无",N(C50)&gt;0,N(C50)=MAX($L$49:$L$58)),"本区间最多","")</f>
        <v/>
      </c>
      <c r="L50" s="57">
        <f>IF(OR(B50="",B50="无"),0,N(C50))</f>
        <v>0</v>
      </c>
    </row>
    <row r="51">
      <c r="B51" s="56" t="str">
        <f>T('参数'!$F$24)</f>
        <v>扛单</v>
      </c>
      <c r="C51" s="53" t="str">
        <f>IF(OR(B51="",NOT(AND(ISNUMBER($C$4),ISNUMBER($E$4)))),"",COUNTIFS('交易记录'!$S$5:$S$304,"&gt;="&amp;$C$4,'交易记录'!$S$5:$S$304,"&lt;="&amp;$E$4,'交易记录'!$Y$5:$Y$304,"已平仓",'交易记录'!$AG$5:$AG$304,B51))</f>
        <v/>
      </c>
      <c r="D51" s="53">
        <f>IF(B51="","",COUNTIFS('交易记录'!$Y$5:$Y$304,"已平仓",'交易记录'!$AG$5:$AG$304,B51))</f>
        <v>0</v>
      </c>
      <c r="E51" s="48">
        <f>IF(B51="","",SUMIFS('交易记录'!$AC$5:$AC$304,'交易记录'!$Y$5:$Y$304,"已平仓",'交易记录'!$AG$5:$AG$304,B51))</f>
        <v>0</v>
      </c>
      <c r="F51" s="40" t="str">
        <f>IF(AND(B51&lt;&gt;"",B51&lt;&gt;"无",N(C51)&gt;0,N(C51)=MAX($L$49:$L$58)),"本区间最多","")</f>
        <v/>
      </c>
      <c r="L51" s="57">
        <f>IF(OR(B51="",B51="无"),0,N(C51))</f>
        <v>0</v>
      </c>
    </row>
    <row r="52">
      <c r="B52" s="56" t="str">
        <f>T('参数'!$F$25)</f>
        <v>提前跑</v>
      </c>
      <c r="C52" s="53" t="str">
        <f>IF(OR(B52="",NOT(AND(ISNUMBER($C$4),ISNUMBER($E$4)))),"",COUNTIFS('交易记录'!$S$5:$S$304,"&gt;="&amp;$C$4,'交易记录'!$S$5:$S$304,"&lt;="&amp;$E$4,'交易记录'!$Y$5:$Y$304,"已平仓",'交易记录'!$AG$5:$AG$304,B52))</f>
        <v/>
      </c>
      <c r="D52" s="53">
        <f>IF(B52="","",COUNTIFS('交易记录'!$Y$5:$Y$304,"已平仓",'交易记录'!$AG$5:$AG$304,B52))</f>
        <v>0</v>
      </c>
      <c r="E52" s="48">
        <f>IF(B52="","",SUMIFS('交易记录'!$AC$5:$AC$304,'交易记录'!$Y$5:$Y$304,"已平仓",'交易记录'!$AG$5:$AG$304,B52))</f>
        <v>0</v>
      </c>
      <c r="F52" s="40" t="str">
        <f>IF(AND(B52&lt;&gt;"",B52&lt;&gt;"无",N(C52)&gt;0,N(C52)=MAX($L$49:$L$58)),"本区间最多","")</f>
        <v/>
      </c>
      <c r="L52" s="57">
        <f>IF(OR(B52="",B52="无"),0,N(C52))</f>
        <v>0</v>
      </c>
    </row>
    <row r="53">
      <c r="B53" s="56" t="str">
        <f>T('参数'!$F$26)</f>
        <v>加仓回本</v>
      </c>
      <c r="C53" s="53" t="str">
        <f>IF(OR(B53="",NOT(AND(ISNUMBER($C$4),ISNUMBER($E$4)))),"",COUNTIFS('交易记录'!$S$5:$S$304,"&gt;="&amp;$C$4,'交易记录'!$S$5:$S$304,"&lt;="&amp;$E$4,'交易记录'!$Y$5:$Y$304,"已平仓",'交易记录'!$AG$5:$AG$304,B53))</f>
        <v/>
      </c>
      <c r="D53" s="53">
        <f>IF(B53="","",COUNTIFS('交易记录'!$Y$5:$Y$304,"已平仓",'交易记录'!$AG$5:$AG$304,B53))</f>
        <v>0</v>
      </c>
      <c r="E53" s="48">
        <f>IF(B53="","",SUMIFS('交易记录'!$AC$5:$AC$304,'交易记录'!$Y$5:$Y$304,"已平仓",'交易记录'!$AG$5:$AG$304,B53))</f>
        <v>0</v>
      </c>
      <c r="F53" s="40" t="str">
        <f>IF(AND(B53&lt;&gt;"",B53&lt;&gt;"无",N(C53)&gt;0,N(C53)=MAX($L$49:$L$58)),"本区间最多","")</f>
        <v/>
      </c>
      <c r="L53" s="57">
        <f>IF(OR(B53="",B53="无"),0,N(C53))</f>
        <v>0</v>
      </c>
    </row>
    <row r="54">
      <c r="B54" s="56" t="str">
        <f>T('参数'!$F$27)</f>
        <v>没计划</v>
      </c>
      <c r="C54" s="53" t="str">
        <f>IF(OR(B54="",NOT(AND(ISNUMBER($C$4),ISNUMBER($E$4)))),"",COUNTIFS('交易记录'!$S$5:$S$304,"&gt;="&amp;$C$4,'交易记录'!$S$5:$S$304,"&lt;="&amp;$E$4,'交易记录'!$Y$5:$Y$304,"已平仓",'交易记录'!$AG$5:$AG$304,B54))</f>
        <v/>
      </c>
      <c r="D54" s="53">
        <f>IF(B54="","",COUNTIFS('交易记录'!$Y$5:$Y$304,"已平仓",'交易记录'!$AG$5:$AG$304,B54))</f>
        <v>0</v>
      </c>
      <c r="E54" s="48">
        <f>IF(B54="","",SUMIFS('交易记录'!$AC$5:$AC$304,'交易记录'!$Y$5:$Y$304,"已平仓",'交易记录'!$AG$5:$AG$304,B54))</f>
        <v>0</v>
      </c>
      <c r="F54" s="40" t="str">
        <f>IF(AND(B54&lt;&gt;"",B54&lt;&gt;"无",N(C54)&gt;0,N(C54)=MAX($L$49:$L$58)),"本区间最多","")</f>
        <v/>
      </c>
      <c r="L54" s="57">
        <f>IF(OR(B54="",B54="无"),0,N(C54))</f>
        <v>0</v>
      </c>
    </row>
    <row r="55">
      <c r="B55" s="56" t="str">
        <f>T('参数'!$F$28)</f>
        <v>超仓位</v>
      </c>
      <c r="C55" s="53" t="str">
        <f>IF(OR(B55="",NOT(AND(ISNUMBER($C$4),ISNUMBER($E$4)))),"",COUNTIFS('交易记录'!$S$5:$S$304,"&gt;="&amp;$C$4,'交易记录'!$S$5:$S$304,"&lt;="&amp;$E$4,'交易记录'!$Y$5:$Y$304,"已平仓",'交易记录'!$AG$5:$AG$304,B55))</f>
        <v/>
      </c>
      <c r="D55" s="53">
        <f>IF(B55="","",COUNTIFS('交易记录'!$Y$5:$Y$304,"已平仓",'交易记录'!$AG$5:$AG$304,B55))</f>
        <v>0</v>
      </c>
      <c r="E55" s="48">
        <f>IF(B55="","",SUMIFS('交易记录'!$AC$5:$AC$304,'交易记录'!$Y$5:$Y$304,"已平仓",'交易记录'!$AG$5:$AG$304,B55))</f>
        <v>0</v>
      </c>
      <c r="F55" s="40" t="str">
        <f>IF(AND(B55&lt;&gt;"",B55&lt;&gt;"无",N(C55)&gt;0,N(C55)=MAX($L$49:$L$58)),"本区间最多","")</f>
        <v/>
      </c>
      <c r="L55" s="57">
        <f>IF(OR(B55="",B55="无"),0,N(C55))</f>
        <v>0</v>
      </c>
    </row>
    <row r="56">
      <c r="B56" s="56" t="str">
        <f>T('参数'!$F$29)</f>
        <v>止损挪远</v>
      </c>
      <c r="C56" s="53" t="str">
        <f>IF(OR(B56="",NOT(AND(ISNUMBER($C$4),ISNUMBER($E$4)))),"",COUNTIFS('交易记录'!$S$5:$S$304,"&gt;="&amp;$C$4,'交易记录'!$S$5:$S$304,"&lt;="&amp;$E$4,'交易记录'!$Y$5:$Y$304,"已平仓",'交易记录'!$AG$5:$AG$304,B56))</f>
        <v/>
      </c>
      <c r="D56" s="53">
        <f>IF(B56="","",COUNTIFS('交易记录'!$Y$5:$Y$304,"已平仓",'交易记录'!$AG$5:$AG$304,B56))</f>
        <v>0</v>
      </c>
      <c r="E56" s="48">
        <f>IF(B56="","",SUMIFS('交易记录'!$AC$5:$AC$304,'交易记录'!$Y$5:$Y$304,"已平仓",'交易记录'!$AG$5:$AG$304,B56))</f>
        <v>0</v>
      </c>
      <c r="F56" s="40" t="str">
        <f>IF(AND(B56&lt;&gt;"",B56&lt;&gt;"无",N(C56)&gt;0,N(C56)=MAX($L$49:$L$58)),"本区间最多","")</f>
        <v/>
      </c>
      <c r="L56" s="57">
        <f>IF(OR(B56="",B56="无"),0,N(C56))</f>
        <v>0</v>
      </c>
    </row>
    <row r="57">
      <c r="B57" s="56" t="str">
        <f>T('参数'!$F$30)</f>
        <v>盘中改计划</v>
      </c>
      <c r="C57" s="53" t="str">
        <f>IF(OR(B57="",NOT(AND(ISNUMBER($C$4),ISNUMBER($E$4)))),"",COUNTIFS('交易记录'!$S$5:$S$304,"&gt;="&amp;$C$4,'交易记录'!$S$5:$S$304,"&lt;="&amp;$E$4,'交易记录'!$Y$5:$Y$304,"已平仓",'交易记录'!$AG$5:$AG$304,B57))</f>
        <v/>
      </c>
      <c r="D57" s="53">
        <f>IF(B57="","",COUNTIFS('交易记录'!$Y$5:$Y$304,"已平仓",'交易记录'!$AG$5:$AG$304,B57))</f>
        <v>0</v>
      </c>
      <c r="E57" s="48">
        <f>IF(B57="","",SUMIFS('交易记录'!$AC$5:$AC$304,'交易记录'!$Y$5:$Y$304,"已平仓",'交易记录'!$AG$5:$AG$304,B57))</f>
        <v>0</v>
      </c>
      <c r="F57" s="40" t="str">
        <f>IF(AND(B57&lt;&gt;"",B57&lt;&gt;"无",N(C57)&gt;0,N(C57)=MAX($L$49:$L$58)),"本区间最多","")</f>
        <v/>
      </c>
      <c r="L57" s="57">
        <f>IF(OR(B57="",B57="无"),0,N(C57))</f>
        <v>0</v>
      </c>
    </row>
    <row r="58">
      <c r="B58" s="56" t="str">
        <f>T('参数'!$F$31)</f>
        <v>其他</v>
      </c>
      <c r="C58" s="53" t="str">
        <f>IF(OR(B58="",NOT(AND(ISNUMBER($C$4),ISNUMBER($E$4)))),"",COUNTIFS('交易记录'!$S$5:$S$304,"&gt;="&amp;$C$4,'交易记录'!$S$5:$S$304,"&lt;="&amp;$E$4,'交易记录'!$Y$5:$Y$304,"已平仓",'交易记录'!$AG$5:$AG$304,B58))</f>
        <v/>
      </c>
      <c r="D58" s="53">
        <f>IF(B58="","",COUNTIFS('交易记录'!$Y$5:$Y$304,"已平仓",'交易记录'!$AG$5:$AG$304,B58))</f>
        <v>0</v>
      </c>
      <c r="E58" s="48">
        <f>IF(B58="","",SUMIFS('交易记录'!$AC$5:$AC$304,'交易记录'!$Y$5:$Y$304,"已平仓",'交易记录'!$AG$5:$AG$304,B58))</f>
        <v>0</v>
      </c>
      <c r="F58" s="40" t="str">
        <f>IF(AND(B58&lt;&gt;"",B58&lt;&gt;"无",N(C58)&gt;0,N(C58)=MAX($L$49:$L$58)),"本区间最多","")</f>
        <v/>
      </c>
      <c r="L58" s="57">
        <f>IF(OR(B58="",B58="无"),0,N(C58))</f>
        <v>0</v>
      </c>
    </row>
    <row r="60">
      <c r="B60" s="15" t="inlineStr">
        <is>
          <t>4. 分组看（全部已平仓记录；少于 10 笔只看不下结论）</t>
        </is>
      </c>
    </row>
    <row r="61">
      <c r="B61" s="25" t="inlineStr">
        <is>
          <t>策略</t>
        </is>
      </c>
      <c r="C61" s="25" t="inlineStr">
        <is>
          <t>笔数</t>
        </is>
      </c>
      <c r="D61" s="25" t="inlineStr">
        <is>
          <t>胜率</t>
        </is>
      </c>
      <c r="E61" s="25" t="inlineStr">
        <is>
          <t>每笔平均净R</t>
        </is>
      </c>
      <c r="F61" s="25" t="inlineStr">
        <is>
          <t>合计净R</t>
        </is>
      </c>
      <c r="G61" s="25" t="inlineStr">
        <is>
          <t>样本</t>
        </is>
      </c>
    </row>
    <row r="62">
      <c r="B62" s="56" t="str">
        <f>T('参数'!$B$22)</f>
        <v>突破</v>
      </c>
      <c r="C62" s="53">
        <f>IF(B62="","",COUNTIFS('交易记录'!$Y$5:$Y$304,"已平仓",'交易记录'!$E$5:$E$304,B62))</f>
        <v>0</v>
      </c>
      <c r="D62" s="54" t="str">
        <f>IF(N(C62)&gt;0,COUNTIFS('交易记录'!$Y$5:$Y$304,"已平仓",'交易记录'!$E$5:$E$304,B62,'交易记录'!$AC$5:$AC$304,"&gt;0")/C62,"")</f>
        <v/>
      </c>
      <c r="E62" s="48" t="str">
        <f>IF(N(C62)&gt;0,SUMIFS('交易记录'!$AC$5:$AC$304,'交易记录'!$Y$5:$Y$304,"已平仓",'交易记录'!$E$5:$E$304,B62)/C62,"")</f>
        <v/>
      </c>
      <c r="F62" s="48" t="str">
        <f>IF(N(C62)&gt;0,SUMIFS('交易记录'!$AC$5:$AC$304,'交易记录'!$Y$5:$Y$304,"已平仓",'交易记录'!$E$5:$E$304,B62),"")</f>
        <v/>
      </c>
      <c r="G62" s="40" t="str">
        <f>IF(N(C62)=0,"",IF(C62&lt;10,"样本太少",""))</f>
        <v/>
      </c>
    </row>
    <row r="63">
      <c r="B63" s="56" t="str">
        <f>T('参数'!$B$23)</f>
        <v>回踩</v>
      </c>
      <c r="C63" s="53">
        <f>IF(B63="","",COUNTIFS('交易记录'!$Y$5:$Y$304,"已平仓",'交易记录'!$E$5:$E$304,B63))</f>
        <v>0</v>
      </c>
      <c r="D63" s="54" t="str">
        <f>IF(N(C63)&gt;0,COUNTIFS('交易记录'!$Y$5:$Y$304,"已平仓",'交易记录'!$E$5:$E$304,B63,'交易记录'!$AC$5:$AC$304,"&gt;0")/C63,"")</f>
        <v/>
      </c>
      <c r="E63" s="48" t="str">
        <f>IF(N(C63)&gt;0,SUMIFS('交易记录'!$AC$5:$AC$304,'交易记录'!$Y$5:$Y$304,"已平仓",'交易记录'!$E$5:$E$304,B63)/C63,"")</f>
        <v/>
      </c>
      <c r="F63" s="48" t="str">
        <f>IF(N(C63)&gt;0,SUMIFS('交易记录'!$AC$5:$AC$304,'交易记录'!$Y$5:$Y$304,"已平仓",'交易记录'!$E$5:$E$304,B63),"")</f>
        <v/>
      </c>
      <c r="G63" s="40" t="str">
        <f>IF(N(C63)=0,"",IF(C63&lt;10,"样本太少",""))</f>
        <v/>
      </c>
    </row>
    <row r="64">
      <c r="B64" s="56" t="str">
        <f>T('参数'!$B$24)</f>
        <v>区间反转</v>
      </c>
      <c r="C64" s="53">
        <f>IF(B64="","",COUNTIFS('交易记录'!$Y$5:$Y$304,"已平仓",'交易记录'!$E$5:$E$304,B64))</f>
        <v>0</v>
      </c>
      <c r="D64" s="54" t="str">
        <f>IF(N(C64)&gt;0,COUNTIFS('交易记录'!$Y$5:$Y$304,"已平仓",'交易记录'!$E$5:$E$304,B64,'交易记录'!$AC$5:$AC$304,"&gt;0")/C64,"")</f>
        <v/>
      </c>
      <c r="E64" s="48" t="str">
        <f>IF(N(C64)&gt;0,SUMIFS('交易记录'!$AC$5:$AC$304,'交易记录'!$Y$5:$Y$304,"已平仓",'交易记录'!$E$5:$E$304,B64)/C64,"")</f>
        <v/>
      </c>
      <c r="F64" s="48" t="str">
        <f>IF(N(C64)&gt;0,SUMIFS('交易记录'!$AC$5:$AC$304,'交易记录'!$Y$5:$Y$304,"已平仓",'交易记录'!$E$5:$E$304,B64),"")</f>
        <v/>
      </c>
      <c r="G64" s="40" t="str">
        <f>IF(N(C64)=0,"",IF(C64&lt;10,"样本太少",""))</f>
        <v/>
      </c>
    </row>
    <row r="65">
      <c r="B65" s="56" t="str">
        <f>T('参数'!$B$25)</f>
        <v>趋势跟随</v>
      </c>
      <c r="C65" s="53">
        <f>IF(B65="","",COUNTIFS('交易记录'!$Y$5:$Y$304,"已平仓",'交易记录'!$E$5:$E$304,B65))</f>
        <v>0</v>
      </c>
      <c r="D65" s="54" t="str">
        <f>IF(N(C65)&gt;0,COUNTIFS('交易记录'!$Y$5:$Y$304,"已平仓",'交易记录'!$E$5:$E$304,B65,'交易记录'!$AC$5:$AC$304,"&gt;0")/C65,"")</f>
        <v/>
      </c>
      <c r="E65" s="48" t="str">
        <f>IF(N(C65)&gt;0,SUMIFS('交易记录'!$AC$5:$AC$304,'交易记录'!$Y$5:$Y$304,"已平仓",'交易记录'!$E$5:$E$304,B65)/C65,"")</f>
        <v/>
      </c>
      <c r="F65" s="48" t="str">
        <f>IF(N(C65)&gt;0,SUMIFS('交易记录'!$AC$5:$AC$304,'交易记录'!$Y$5:$Y$304,"已平仓",'交易记录'!$E$5:$E$304,B65),"")</f>
        <v/>
      </c>
      <c r="G65" s="40" t="str">
        <f>IF(N(C65)=0,"",IF(C65&lt;10,"样本太少",""))</f>
        <v/>
      </c>
    </row>
    <row r="66">
      <c r="B66" s="56" t="str">
        <f>T('参数'!$B$26)</f>
        <v>其他</v>
      </c>
      <c r="C66" s="53">
        <f>IF(B66="","",COUNTIFS('交易记录'!$Y$5:$Y$304,"已平仓",'交易记录'!$E$5:$E$304,B66))</f>
        <v>0</v>
      </c>
      <c r="D66" s="54" t="str">
        <f>IF(N(C66)&gt;0,COUNTIFS('交易记录'!$Y$5:$Y$304,"已平仓",'交易记录'!$E$5:$E$304,B66,'交易记录'!$AC$5:$AC$304,"&gt;0")/C66,"")</f>
        <v/>
      </c>
      <c r="E66" s="48" t="str">
        <f>IF(N(C66)&gt;0,SUMIFS('交易记录'!$AC$5:$AC$304,'交易记录'!$Y$5:$Y$304,"已平仓",'交易记录'!$E$5:$E$304,B66)/C66,"")</f>
        <v/>
      </c>
      <c r="F66" s="48" t="str">
        <f>IF(N(C66)&gt;0,SUMIFS('交易记录'!$AC$5:$AC$304,'交易记录'!$Y$5:$Y$304,"已平仓",'交易记录'!$E$5:$E$304,B66),"")</f>
        <v/>
      </c>
      <c r="G66" s="40" t="str">
        <f>IF(N(C66)=0,"",IF(C66&lt;10,"样本太少",""))</f>
        <v/>
      </c>
    </row>
    <row r="67">
      <c r="B67" s="56" t="str">
        <f>T('参数'!$B$27)</f>
        <v/>
      </c>
      <c r="C67" s="53" t="str">
        <f>IF(B67="","",COUNTIFS('交易记录'!$Y$5:$Y$304,"已平仓",'交易记录'!$E$5:$E$304,B67))</f>
        <v/>
      </c>
      <c r="D67" s="54" t="str">
        <f>IF(N(C67)&gt;0,COUNTIFS('交易记录'!$Y$5:$Y$304,"已平仓",'交易记录'!$E$5:$E$304,B67,'交易记录'!$AC$5:$AC$304,"&gt;0")/C67,"")</f>
        <v/>
      </c>
      <c r="E67" s="48" t="str">
        <f>IF(N(C67)&gt;0,SUMIFS('交易记录'!$AC$5:$AC$304,'交易记录'!$Y$5:$Y$304,"已平仓",'交易记录'!$E$5:$E$304,B67)/C67,"")</f>
        <v/>
      </c>
      <c r="F67" s="48" t="str">
        <f>IF(N(C67)&gt;0,SUMIFS('交易记录'!$AC$5:$AC$304,'交易记录'!$Y$5:$Y$304,"已平仓",'交易记录'!$E$5:$E$304,B67),"")</f>
        <v/>
      </c>
      <c r="G67" s="40" t="str">
        <f>IF(N(C67)=0,"",IF(C67&lt;10,"样本太少",""))</f>
        <v/>
      </c>
    </row>
    <row r="68">
      <c r="B68" s="56" t="str">
        <f>T('参数'!$B$28)</f>
        <v/>
      </c>
      <c r="C68" s="53" t="str">
        <f>IF(B68="","",COUNTIFS('交易记录'!$Y$5:$Y$304,"已平仓",'交易记录'!$E$5:$E$304,B68))</f>
        <v/>
      </c>
      <c r="D68" s="54" t="str">
        <f>IF(N(C68)&gt;0,COUNTIFS('交易记录'!$Y$5:$Y$304,"已平仓",'交易记录'!$E$5:$E$304,B68,'交易记录'!$AC$5:$AC$304,"&gt;0")/C68,"")</f>
        <v/>
      </c>
      <c r="E68" s="48" t="str">
        <f>IF(N(C68)&gt;0,SUMIFS('交易记录'!$AC$5:$AC$304,'交易记录'!$Y$5:$Y$304,"已平仓",'交易记录'!$E$5:$E$304,B68)/C68,"")</f>
        <v/>
      </c>
      <c r="F68" s="48" t="str">
        <f>IF(N(C68)&gt;0,SUMIFS('交易记录'!$AC$5:$AC$304,'交易记录'!$Y$5:$Y$304,"已平仓",'交易记录'!$E$5:$E$304,B68),"")</f>
        <v/>
      </c>
      <c r="G68" s="40" t="str">
        <f>IF(N(C68)=0,"",IF(C68&lt;10,"样本太少",""))</f>
        <v/>
      </c>
    </row>
    <row r="69">
      <c r="B69" s="56" t="str">
        <f>T('参数'!$B$29)</f>
        <v/>
      </c>
      <c r="C69" s="53" t="str">
        <f>IF(B69="","",COUNTIFS('交易记录'!$Y$5:$Y$304,"已平仓",'交易记录'!$E$5:$E$304,B69))</f>
        <v/>
      </c>
      <c r="D69" s="54" t="str">
        <f>IF(N(C69)&gt;0,COUNTIFS('交易记录'!$Y$5:$Y$304,"已平仓",'交易记录'!$E$5:$E$304,B69,'交易记录'!$AC$5:$AC$304,"&gt;0")/C69,"")</f>
        <v/>
      </c>
      <c r="E69" s="48" t="str">
        <f>IF(N(C69)&gt;0,SUMIFS('交易记录'!$AC$5:$AC$304,'交易记录'!$Y$5:$Y$304,"已平仓",'交易记录'!$E$5:$E$304,B69)/C69,"")</f>
        <v/>
      </c>
      <c r="F69" s="48" t="str">
        <f>IF(N(C69)&gt;0,SUMIFS('交易记录'!$AC$5:$AC$304,'交易记录'!$Y$5:$Y$304,"已平仓",'交易记录'!$E$5:$E$304,B69),"")</f>
        <v/>
      </c>
      <c r="G69" s="40" t="str">
        <f>IF(N(C69)=0,"",IF(C69&lt;10,"样本太少",""))</f>
        <v/>
      </c>
    </row>
    <row r="71">
      <c r="B71" s="25" t="inlineStr">
        <is>
          <t>开仓时段</t>
        </is>
      </c>
      <c r="C71" s="25" t="inlineStr">
        <is>
          <t>笔数</t>
        </is>
      </c>
      <c r="D71" s="25" t="inlineStr">
        <is>
          <t>胜率</t>
        </is>
      </c>
      <c r="E71" s="25" t="inlineStr">
        <is>
          <t>每笔平均净R</t>
        </is>
      </c>
      <c r="F71" s="25" t="inlineStr">
        <is>
          <t>合计净R</t>
        </is>
      </c>
      <c r="G71" s="25" t="inlineStr">
        <is>
          <t>样本</t>
        </is>
      </c>
    </row>
    <row r="72">
      <c r="B72" s="56" t="str">
        <f>T('参数'!$C$39)</f>
        <v>夜盘与隔夜</v>
      </c>
      <c r="C72" s="53">
        <f>IF(B72="","",COUNTIFS('交易记录'!$Y$5:$Y$304,"已平仓",'交易记录'!$T$5:$T$304,B72))</f>
        <v>0</v>
      </c>
      <c r="D72" s="54" t="str">
        <f>IF(N(C72)&gt;0,COUNTIFS('交易记录'!$Y$5:$Y$304,"已平仓",'交易记录'!$T$5:$T$304,B72,'交易记录'!$AC$5:$AC$304,"&gt;0")/C72,"")</f>
        <v/>
      </c>
      <c r="E72" s="48" t="str">
        <f>IF(N(C72)&gt;0,SUMIFS('交易记录'!$AC$5:$AC$304,'交易记录'!$Y$5:$Y$304,"已平仓",'交易记录'!$T$5:$T$304,B72)/C72,"")</f>
        <v/>
      </c>
      <c r="F72" s="48" t="str">
        <f>IF(N(C72)&gt;0,SUMIFS('交易记录'!$AC$5:$AC$304,'交易记录'!$Y$5:$Y$304,"已平仓",'交易记录'!$T$5:$T$304,B72),"")</f>
        <v/>
      </c>
      <c r="G72" s="40" t="str">
        <f>IF(N(C72)=0,"",IF(C72&lt;10,"样本太少",""))</f>
        <v/>
      </c>
    </row>
    <row r="73">
      <c r="B73" s="56" t="str">
        <f>T('参数'!$C$40)</f>
        <v>开盘 30 分钟</v>
      </c>
      <c r="C73" s="53">
        <f>IF(B73="","",COUNTIFS('交易记录'!$Y$5:$Y$304,"已平仓",'交易记录'!$T$5:$T$304,B73))</f>
        <v>0</v>
      </c>
      <c r="D73" s="54" t="str">
        <f>IF(N(C73)&gt;0,COUNTIFS('交易记录'!$Y$5:$Y$304,"已平仓",'交易记录'!$T$5:$T$304,B73,'交易记录'!$AC$5:$AC$304,"&gt;0")/C73,"")</f>
        <v/>
      </c>
      <c r="E73" s="48" t="str">
        <f>IF(N(C73)&gt;0,SUMIFS('交易记录'!$AC$5:$AC$304,'交易记录'!$Y$5:$Y$304,"已平仓",'交易记录'!$T$5:$T$304,B73)/C73,"")</f>
        <v/>
      </c>
      <c r="F73" s="48" t="str">
        <f>IF(N(C73)&gt;0,SUMIFS('交易记录'!$AC$5:$AC$304,'交易记录'!$Y$5:$Y$304,"已平仓",'交易记录'!$T$5:$T$304,B73),"")</f>
        <v/>
      </c>
      <c r="G73" s="40" t="str">
        <f>IF(N(C73)=0,"",IF(C73&lt;10,"样本太少",""))</f>
        <v/>
      </c>
    </row>
    <row r="74">
      <c r="B74" s="56" t="str">
        <f>T('参数'!$C$41)</f>
        <v>上午</v>
      </c>
      <c r="C74" s="53">
        <f>IF(B74="","",COUNTIFS('交易记录'!$Y$5:$Y$304,"已平仓",'交易记录'!$T$5:$T$304,B74))</f>
        <v>0</v>
      </c>
      <c r="D74" s="54" t="str">
        <f>IF(N(C74)&gt;0,COUNTIFS('交易记录'!$Y$5:$Y$304,"已平仓",'交易记录'!$T$5:$T$304,B74,'交易记录'!$AC$5:$AC$304,"&gt;0")/C74,"")</f>
        <v/>
      </c>
      <c r="E74" s="48" t="str">
        <f>IF(N(C74)&gt;0,SUMIFS('交易记录'!$AC$5:$AC$304,'交易记录'!$Y$5:$Y$304,"已平仓",'交易记录'!$T$5:$T$304,B74)/C74,"")</f>
        <v/>
      </c>
      <c r="F74" s="48" t="str">
        <f>IF(N(C74)&gt;0,SUMIFS('交易记录'!$AC$5:$AC$304,'交易记录'!$Y$5:$Y$304,"已平仓",'交易记录'!$T$5:$T$304,B74),"")</f>
        <v/>
      </c>
      <c r="G74" s="40" t="str">
        <f>IF(N(C74)=0,"",IF(C74&lt;10,"样本太少",""))</f>
        <v/>
      </c>
    </row>
    <row r="75">
      <c r="B75" s="56" t="str">
        <f>T('参数'!$C$42)</f>
        <v>午间</v>
      </c>
      <c r="C75" s="53">
        <f>IF(B75="","",COUNTIFS('交易记录'!$Y$5:$Y$304,"已平仓",'交易记录'!$T$5:$T$304,B75))</f>
        <v>0</v>
      </c>
      <c r="D75" s="54" t="str">
        <f>IF(N(C75)&gt;0,COUNTIFS('交易记录'!$Y$5:$Y$304,"已平仓",'交易记录'!$T$5:$T$304,B75,'交易记录'!$AC$5:$AC$304,"&gt;0")/C75,"")</f>
        <v/>
      </c>
      <c r="E75" s="48" t="str">
        <f>IF(N(C75)&gt;0,SUMIFS('交易记录'!$AC$5:$AC$304,'交易记录'!$Y$5:$Y$304,"已平仓",'交易记录'!$T$5:$T$304,B75)/C75,"")</f>
        <v/>
      </c>
      <c r="F75" s="48" t="str">
        <f>IF(N(C75)&gt;0,SUMIFS('交易记录'!$AC$5:$AC$304,'交易记录'!$Y$5:$Y$304,"已平仓",'交易记录'!$T$5:$T$304,B75),"")</f>
        <v/>
      </c>
      <c r="G75" s="40" t="str">
        <f>IF(N(C75)=0,"",IF(C75&lt;10,"样本太少",""))</f>
        <v/>
      </c>
    </row>
    <row r="76">
      <c r="B76" s="56" t="str">
        <f>T('参数'!$C$43)</f>
        <v>午后</v>
      </c>
      <c r="C76" s="53">
        <f>IF(B76="","",COUNTIFS('交易记录'!$Y$5:$Y$304,"已平仓",'交易记录'!$T$5:$T$304,B76))</f>
        <v>0</v>
      </c>
      <c r="D76" s="54" t="str">
        <f>IF(N(C76)&gt;0,COUNTIFS('交易记录'!$Y$5:$Y$304,"已平仓",'交易记录'!$T$5:$T$304,B76,'交易记录'!$AC$5:$AC$304,"&gt;0")/C76,"")</f>
        <v/>
      </c>
      <c r="E76" s="48" t="str">
        <f>IF(N(C76)&gt;0,SUMIFS('交易记录'!$AC$5:$AC$304,'交易记录'!$Y$5:$Y$304,"已平仓",'交易记录'!$T$5:$T$304,B76)/C76,"")</f>
        <v/>
      </c>
      <c r="F76" s="48" t="str">
        <f>IF(N(C76)&gt;0,SUMIFS('交易记录'!$AC$5:$AC$304,'交易记录'!$Y$5:$Y$304,"已平仓",'交易记录'!$T$5:$T$304,B76),"")</f>
        <v/>
      </c>
      <c r="G76" s="40" t="str">
        <f>IF(N(C76)=0,"",IF(C76&lt;10,"样本太少",""))</f>
        <v/>
      </c>
    </row>
    <row r="77">
      <c r="B77" s="56" t="str">
        <f>T('参数'!$C$44)</f>
        <v>尾盘</v>
      </c>
      <c r="C77" s="53">
        <f>IF(B77="","",COUNTIFS('交易记录'!$Y$5:$Y$304,"已平仓",'交易记录'!$T$5:$T$304,B77))</f>
        <v>0</v>
      </c>
      <c r="D77" s="54" t="str">
        <f>IF(N(C77)&gt;0,COUNTIFS('交易记录'!$Y$5:$Y$304,"已平仓",'交易记录'!$T$5:$T$304,B77,'交易记录'!$AC$5:$AC$304,"&gt;0")/C77,"")</f>
        <v/>
      </c>
      <c r="E77" s="48" t="str">
        <f>IF(N(C77)&gt;0,SUMIFS('交易记录'!$AC$5:$AC$304,'交易记录'!$Y$5:$Y$304,"已平仓",'交易记录'!$T$5:$T$304,B77)/C77,"")</f>
        <v/>
      </c>
      <c r="F77" s="48" t="str">
        <f>IF(N(C77)&gt;0,SUMIFS('交易记录'!$AC$5:$AC$304,'交易记录'!$Y$5:$Y$304,"已平仓",'交易记录'!$T$5:$T$304,B77),"")</f>
        <v/>
      </c>
      <c r="G77" s="40" t="str">
        <f>IF(N(C77)=0,"",IF(C77&lt;10,"样本太少",""))</f>
        <v/>
      </c>
    </row>
    <row r="78">
      <c r="B78" s="56" t="str">
        <f>T('参数'!$C$45)</f>
        <v>收盘后</v>
      </c>
      <c r="C78" s="53">
        <f>IF(B78="","",COUNTIFS('交易记录'!$Y$5:$Y$304,"已平仓",'交易记录'!$T$5:$T$304,B78))</f>
        <v>0</v>
      </c>
      <c r="D78" s="54" t="str">
        <f>IF(N(C78)&gt;0,COUNTIFS('交易记录'!$Y$5:$Y$304,"已平仓",'交易记录'!$T$5:$T$304,B78,'交易记录'!$AC$5:$AC$304,"&gt;0")/C78,"")</f>
        <v/>
      </c>
      <c r="E78" s="48" t="str">
        <f>IF(N(C78)&gt;0,SUMIFS('交易记录'!$AC$5:$AC$304,'交易记录'!$Y$5:$Y$304,"已平仓",'交易记录'!$T$5:$T$304,B78)/C78,"")</f>
        <v/>
      </c>
      <c r="F78" s="48" t="str">
        <f>IF(N(C78)&gt;0,SUMIFS('交易记录'!$AC$5:$AC$304,'交易记录'!$Y$5:$Y$304,"已平仓",'交易记录'!$T$5:$T$304,B78),"")</f>
        <v/>
      </c>
      <c r="G78" s="40" t="str">
        <f>IF(N(C78)=0,"",IF(C78&lt;10,"样本太少",""))</f>
        <v/>
      </c>
    </row>
    <row r="79">
      <c r="B79" s="56" t="str">
        <f>T('参数'!$C$46)</f>
        <v>夜盘</v>
      </c>
      <c r="C79" s="53">
        <f>IF(B79="","",COUNTIFS('交易记录'!$Y$5:$Y$304,"已平仓",'交易记录'!$T$5:$T$304,B79))</f>
        <v>0</v>
      </c>
      <c r="D79" s="54" t="str">
        <f>IF(N(C79)&gt;0,COUNTIFS('交易记录'!$Y$5:$Y$304,"已平仓",'交易记录'!$T$5:$T$304,B79,'交易记录'!$AC$5:$AC$304,"&gt;0")/C79,"")</f>
        <v/>
      </c>
      <c r="E79" s="48" t="str">
        <f>IF(N(C79)&gt;0,SUMIFS('交易记录'!$AC$5:$AC$304,'交易记录'!$Y$5:$Y$304,"已平仓",'交易记录'!$T$5:$T$304,B79)/C79,"")</f>
        <v/>
      </c>
      <c r="F79" s="48" t="str">
        <f>IF(N(C79)&gt;0,SUMIFS('交易记录'!$AC$5:$AC$304,'交易记录'!$Y$5:$Y$304,"已平仓",'交易记录'!$T$5:$T$304,B79),"")</f>
        <v/>
      </c>
      <c r="G79" s="40" t="str">
        <f>IF(N(C79)=0,"",IF(C79&lt;10,"样本太少",""))</f>
        <v/>
      </c>
    </row>
    <row r="80">
      <c r="B80" s="56" t="str">
        <f>T('参数'!$C$47)</f>
        <v/>
      </c>
      <c r="C80" s="53" t="str">
        <f>IF(B80="","",COUNTIFS('交易记录'!$Y$5:$Y$304,"已平仓",'交易记录'!$T$5:$T$304,B80))</f>
        <v/>
      </c>
      <c r="D80" s="54" t="str">
        <f>IF(N(C80)&gt;0,COUNTIFS('交易记录'!$Y$5:$Y$304,"已平仓",'交易记录'!$T$5:$T$304,B80,'交易记录'!$AC$5:$AC$304,"&gt;0")/C80,"")</f>
        <v/>
      </c>
      <c r="E80" s="48" t="str">
        <f>IF(N(C80)&gt;0,SUMIFS('交易记录'!$AC$5:$AC$304,'交易记录'!$Y$5:$Y$304,"已平仓",'交易记录'!$T$5:$T$304,B80)/C80,"")</f>
        <v/>
      </c>
      <c r="F80" s="48" t="str">
        <f>IF(N(C80)&gt;0,SUMIFS('交易记录'!$AC$5:$AC$304,'交易记录'!$Y$5:$Y$304,"已平仓",'交易记录'!$T$5:$T$304,B80),"")</f>
        <v/>
      </c>
      <c r="G80" s="40" t="str">
        <f>IF(N(C80)=0,"",IF(C80&lt;10,"样本太少",""))</f>
        <v/>
      </c>
    </row>
    <row r="81">
      <c r="B81" s="56" t="str">
        <f>T('参数'!$C$48)</f>
        <v/>
      </c>
      <c r="C81" s="53" t="str">
        <f>IF(B81="","",COUNTIFS('交易记录'!$Y$5:$Y$304,"已平仓",'交易记录'!$T$5:$T$304,B81))</f>
        <v/>
      </c>
      <c r="D81" s="54" t="str">
        <f>IF(N(C81)&gt;0,COUNTIFS('交易记录'!$Y$5:$Y$304,"已平仓",'交易记录'!$T$5:$T$304,B81,'交易记录'!$AC$5:$AC$304,"&gt;0")/C81,"")</f>
        <v/>
      </c>
      <c r="E81" s="48" t="str">
        <f>IF(N(C81)&gt;0,SUMIFS('交易记录'!$AC$5:$AC$304,'交易记录'!$Y$5:$Y$304,"已平仓",'交易记录'!$T$5:$T$304,B81)/C81,"")</f>
        <v/>
      </c>
      <c r="F81" s="48" t="str">
        <f>IF(N(C81)&gt;0,SUMIFS('交易记录'!$AC$5:$AC$304,'交易记录'!$Y$5:$Y$304,"已平仓",'交易记录'!$T$5:$T$304,B81),"")</f>
        <v/>
      </c>
      <c r="G81" s="40" t="str">
        <f>IF(N(C81)=0,"",IF(C81&lt;10,"样本太少",""))</f>
        <v/>
      </c>
    </row>
    <row r="83">
      <c r="B83" s="15" t="inlineStr">
        <is>
          <t>5. 下周只改一处</t>
        </is>
      </c>
    </row>
    <row r="84" ht="34" customHeight="1">
      <c r="B84" s="49" t="inlineStr">
        <is>
          <t>本区间最多的偏差是什么，发生在什么情况下</t>
        </is>
      </c>
      <c r="C84" s="31" t="n"/>
      <c r="D84" s="31" t="n"/>
      <c r="E84" s="31" t="n"/>
      <c r="F84" s="31" t="n"/>
      <c r="G84" s="31" t="n"/>
      <c r="H84" s="31" t="n"/>
      <c r="I84" s="31" t="n"/>
      <c r="J84" s="31" t="n"/>
    </row>
    <row r="85" ht="34" customHeight="1">
      <c r="B85" s="49" t="inlineStr">
        <is>
          <t>下周只练的一个动作（写成能检查的规则）</t>
        </is>
      </c>
      <c r="C85" s="31" t="n"/>
      <c r="D85" s="31" t="n"/>
      <c r="E85" s="31" t="n"/>
      <c r="F85" s="31" t="n"/>
      <c r="G85" s="31" t="n"/>
      <c r="H85" s="31" t="n"/>
      <c r="I85" s="31" t="n"/>
      <c r="J85" s="31" t="n"/>
    </row>
    <row r="86" ht="34" customHeight="1">
      <c r="B86" s="49" t="inlineStr">
        <is>
          <t>下周不做的情况</t>
        </is>
      </c>
      <c r="C86" s="31" t="n"/>
      <c r="D86" s="31" t="n"/>
      <c r="E86" s="31" t="n"/>
      <c r="F86" s="31" t="n"/>
      <c r="G86" s="31" t="n"/>
      <c r="H86" s="31" t="n"/>
      <c r="I86" s="31" t="n"/>
      <c r="J86" s="31" t="n"/>
    </row>
    <row r="87" ht="34" customHeight="1">
      <c r="B87" s="49" t="inlineStr">
        <is>
          <t>上一次定的那一处，这次做到了吗</t>
        </is>
      </c>
      <c r="C87" s="31" t="n"/>
      <c r="D87" s="31" t="n"/>
      <c r="E87" s="31" t="n"/>
      <c r="F87" s="31" t="n"/>
      <c r="G87" s="31" t="n"/>
      <c r="H87" s="31" t="n"/>
      <c r="I87" s="31" t="n"/>
      <c r="J87" s="31" t="n"/>
    </row>
  </sheetData>
  <mergeCells count="45">
    <mergeCell ref="E19:J19"/>
    <mergeCell ref="C86:J86"/>
    <mergeCell ref="E28:J28"/>
    <mergeCell ref="E40:J40"/>
    <mergeCell ref="I11:J11"/>
    <mergeCell ref="E31:J31"/>
    <mergeCell ref="E34:J34"/>
    <mergeCell ref="E30:J30"/>
    <mergeCell ref="E36:J36"/>
    <mergeCell ref="I7:J7"/>
    <mergeCell ref="E27:J27"/>
    <mergeCell ref="E45:J45"/>
    <mergeCell ref="C85:J85"/>
    <mergeCell ref="C84:J84"/>
    <mergeCell ref="E26:J26"/>
    <mergeCell ref="E44:J44"/>
    <mergeCell ref="E25:J25"/>
    <mergeCell ref="E29:J29"/>
    <mergeCell ref="I12:J12"/>
    <mergeCell ref="E35:J35"/>
    <mergeCell ref="A1:G1"/>
    <mergeCell ref="E32:J32"/>
    <mergeCell ref="E41:J41"/>
    <mergeCell ref="E22:J22"/>
    <mergeCell ref="E37:J37"/>
    <mergeCell ref="E18:J18"/>
    <mergeCell ref="E43:J43"/>
    <mergeCell ref="I14:J14"/>
    <mergeCell ref="I8:J8"/>
    <mergeCell ref="E21:J21"/>
    <mergeCell ref="H1:J1"/>
    <mergeCell ref="E33:J33"/>
    <mergeCell ref="E24:J24"/>
    <mergeCell ref="E42:J42"/>
    <mergeCell ref="I10:J10"/>
    <mergeCell ref="E17:J17"/>
    <mergeCell ref="E23:J23"/>
    <mergeCell ref="E39:J39"/>
    <mergeCell ref="I13:J13"/>
    <mergeCell ref="A2:J2"/>
    <mergeCell ref="E20:J20"/>
    <mergeCell ref="E38:J38"/>
    <mergeCell ref="I9:J9"/>
    <mergeCell ref="F4:J4"/>
    <mergeCell ref="C87:J87"/>
  </mergeCells>
  <conditionalFormatting sqref="H8:H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7:D27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8:D28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9:D29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30:D30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1:D31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C33:D33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C41:D41">
    <cfRule type="cellIs" priority="15" operator="greaterThan" dxfId="0">
      <formula>0</formula>
    </cfRule>
    <cfRule type="cellIs" priority="16" operator="lessThan" dxfId="1">
      <formula>0</formula>
    </cfRule>
  </conditionalFormatting>
  <conditionalFormatting sqref="C42:D42">
    <cfRule type="cellIs" priority="17" operator="greaterThan" dxfId="0">
      <formula>0</formula>
    </cfRule>
    <cfRule type="cellIs" priority="18" operator="lessThan" dxfId="1">
      <formula>0</formula>
    </cfRule>
  </conditionalFormatting>
  <conditionalFormatting sqref="C45:D45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C40:D40">
    <cfRule type="cellIs" priority="21" operator="greaterThan" dxfId="5">
      <formula>0</formula>
    </cfRule>
  </conditionalFormatting>
  <conditionalFormatting sqref="F49:F58">
    <cfRule type="cellIs" priority="22" operator="equal" dxfId="5">
      <formula>"本区间最多"</formula>
    </cfRule>
  </conditionalFormatting>
  <conditionalFormatting sqref="E49:E58">
    <cfRule type="cellIs" priority="23" operator="greaterThan" dxfId="0">
      <formula>0</formula>
    </cfRule>
    <cfRule type="cellIs" priority="24" operator="lessThan" dxfId="1">
      <formula>0</formula>
    </cfRule>
  </conditionalFormatting>
  <conditionalFormatting sqref="E62:F69">
    <cfRule type="cellIs" priority="25" operator="greaterThan" dxfId="0">
      <formula>0</formula>
    </cfRule>
    <cfRule type="cellIs" priority="26" operator="lessThan" dxfId="1">
      <formula>0</formula>
    </cfRule>
  </conditionalFormatting>
  <conditionalFormatting sqref="E72:F81">
    <cfRule type="cellIs" priority="27" operator="greaterThan" dxfId="0">
      <formula>0</formula>
    </cfRule>
    <cfRule type="cellIs" priority="28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  <rowBreaks count="1" manualBreakCount="1">
    <brk id="59" min="0" max="16383" man="1"/>
  </rowBreaks>
</worksheet>
</file>

<file path=xl/worksheets/sheet7.xml><?xml version="1.0" encoding="utf-8"?>
<worksheet xmlns="http://schemas.openxmlformats.org/spreadsheetml/2006/main">
  <sheetPr>
    <tabColor rgb="00F0A35E"/>
    <outlinePr summaryBelow="1" summaryRight="1"/>
    <pageSetUpPr fitToPage="0"/>
  </sheetPr>
  <dimension ref="A1:AJ2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9" customWidth="1" min="3" max="3"/>
    <col width="5.5" customWidth="1" min="4" max="4"/>
    <col width="8" customWidth="1" min="5" max="5"/>
    <col width="5" customWidth="1" min="6" max="6"/>
    <col width="6" customWidth="1" min="7" max="7"/>
    <col width="6" customWidth="1" min="8" max="8"/>
    <col width="8" customWidth="1" min="9" max="9"/>
    <col width="8" customWidth="1" min="10" max="10"/>
    <col width="8" customWidth="1" min="11" max="11"/>
    <col width="6.5" customWidth="1" min="12" max="12"/>
    <col width="8.5" customWidth="1" min="13" max="13"/>
    <col width="8" customWidth="1" min="14" max="14"/>
    <col width="8.5" customWidth="1" min="15" max="15"/>
    <col width="18" customWidth="1" min="16" max="16"/>
    <col width="7.5" customWidth="1" min="17" max="17"/>
    <col width="10.5" customWidth="1" min="18" max="18"/>
    <col width="10.5" customWidth="1" min="19" max="19"/>
    <col width="9" customWidth="1" min="20" max="20"/>
    <col width="7.5" customWidth="1" min="21" max="21"/>
    <col width="8" customWidth="1" min="22" max="22"/>
    <col width="7.5" customWidth="1" min="23" max="23"/>
    <col width="8" customWidth="1" min="24" max="24"/>
    <col width="7.5" customWidth="1" min="25" max="25"/>
    <col width="8" customWidth="1" min="26" max="26"/>
    <col width="9.5" customWidth="1" min="27" max="27"/>
    <col width="6.5" customWidth="1" min="28" max="28"/>
    <col width="6.5" customWidth="1" min="29" max="29"/>
    <col width="7.5" customWidth="1" min="30" max="30"/>
    <col width="9" customWidth="1" min="31" max="31"/>
    <col width="6" customWidth="1" min="32" max="32"/>
    <col width="8" customWidth="1" min="33" max="33"/>
    <col width="30" customWidth="1" min="34" max="34"/>
    <col width="7" customWidth="1" min="35" max="35"/>
    <col width="7" customWidth="1" min="36" max="36"/>
  </cols>
  <sheetData>
    <row r="1" ht="30" customHeight="1">
      <c r="A1" s="13" t="inlineStr">
        <is>
          <t>示例 · 通用交易日志：交易记录</t>
        </is>
      </c>
      <c r="AH1" s="14" t="inlineStr">
        <is>
          <t>TradeLearn · XtradingTime 交易内训</t>
        </is>
      </c>
    </row>
    <row r="2" ht="20" customHeight="1">
      <c r="A2" s="58" t="inlineStr">
        <is>
          <t>虚构示例，仅演示填法：品种、日期、价格和成交全部虚构，不是真实行情，也不构成任何买卖建议。</t>
        </is>
      </c>
    </row>
    <row r="3" ht="18" customHeight="1">
      <c r="A3" s="28" t="inlineStr">
        <is>
          <t>计划（下单前写，平仓后不改）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n"/>
      <c r="N3" s="28" t="n"/>
      <c r="O3" s="28" t="n"/>
      <c r="P3" s="28" t="inlineStr">
        <is>
          <t>失效条件</t>
        </is>
      </c>
      <c r="Q3" s="28" t="inlineStr">
        <is>
          <t>实际成交（从成交明细自动汇总）</t>
        </is>
      </c>
      <c r="R3" s="28" t="n"/>
      <c r="S3" s="28" t="n"/>
      <c r="T3" s="28" t="n"/>
      <c r="U3" s="28" t="n"/>
      <c r="V3" s="28" t="n"/>
      <c r="W3" s="28" t="n"/>
      <c r="X3" s="28" t="n"/>
      <c r="Y3" s="28" t="n"/>
      <c r="Z3" s="28" t="inlineStr">
        <is>
          <t>结果（费后）</t>
        </is>
      </c>
      <c r="AA3" s="28" t="n"/>
      <c r="AB3" s="28" t="n"/>
      <c r="AC3" s="28" t="n"/>
      <c r="AD3" s="28" t="n"/>
      <c r="AE3" s="28" t="n"/>
      <c r="AF3" s="28" t="inlineStr">
        <is>
          <t>过程</t>
        </is>
      </c>
      <c r="AG3" s="28" t="n"/>
      <c r="AH3" s="28" t="n"/>
      <c r="AI3" s="28" t="inlineStr">
        <is>
          <t>曲线</t>
        </is>
      </c>
      <c r="AJ3" s="28" t="n"/>
    </row>
    <row r="4" ht="79.59999999999999" customHeight="1">
      <c r="A4" s="25" t="inlineStr">
        <is>
          <t>编号</t>
        </is>
      </c>
      <c r="B4" s="25" t="inlineStr">
        <is>
          <t>计划日期</t>
        </is>
      </c>
      <c r="C4" s="25" t="inlineStr">
        <is>
          <t>品种</t>
        </is>
      </c>
      <c r="D4" s="25" t="inlineStr">
        <is>
          <t>周期</t>
        </is>
      </c>
      <c r="E4" s="25" t="inlineStr">
        <is>
          <t>策略</t>
        </is>
      </c>
      <c r="F4" s="25" t="inlineStr">
        <is>
          <t>方向</t>
        </is>
      </c>
      <c r="G4" s="25" t="inlineStr">
        <is>
          <t>合约乘数</t>
        </is>
      </c>
      <c r="H4" s="25" t="inlineStr">
        <is>
          <t>最小单位</t>
        </is>
      </c>
      <c r="I4" s="25" t="inlineStr">
        <is>
          <t>计划入场价</t>
        </is>
      </c>
      <c r="J4" s="25" t="inlineStr">
        <is>
          <t>止损价</t>
        </is>
      </c>
      <c r="K4" s="25" t="inlineStr">
        <is>
          <t>目标价</t>
        </is>
      </c>
      <c r="L4" s="25" t="inlineStr">
        <is>
          <t>计划风报比</t>
        </is>
      </c>
      <c r="M4" s="25" t="inlineStr">
        <is>
          <t>建议数量</t>
        </is>
      </c>
      <c r="N4" s="25" t="inlineStr">
        <is>
          <t>计划数量</t>
        </is>
      </c>
      <c r="O4" s="25" t="inlineStr">
        <is>
          <t>1R（元）</t>
        </is>
      </c>
      <c r="P4" s="25" t="inlineStr">
        <is>
          <t>失效条件 / 不做的情况</t>
        </is>
      </c>
      <c r="Q4" s="25" t="inlineStr">
        <is>
          <t>执行情况</t>
        </is>
      </c>
      <c r="R4" s="25" t="inlineStr">
        <is>
          <t>开仓日</t>
        </is>
      </c>
      <c r="S4" s="25" t="inlineStr">
        <is>
          <t>平仓日</t>
        </is>
      </c>
      <c r="T4" s="25" t="inlineStr">
        <is>
          <t>开仓时段</t>
        </is>
      </c>
      <c r="U4" s="25" t="inlineStr">
        <is>
          <t>开仓数量</t>
        </is>
      </c>
      <c r="V4" s="25" t="inlineStr">
        <is>
          <t>开仓均价</t>
        </is>
      </c>
      <c r="W4" s="25" t="inlineStr">
        <is>
          <t>平仓数量</t>
        </is>
      </c>
      <c r="X4" s="25" t="inlineStr">
        <is>
          <t>平仓均价</t>
        </is>
      </c>
      <c r="Y4" s="25" t="inlineStr">
        <is>
          <t>状态</t>
        </is>
      </c>
      <c r="Z4" s="25" t="inlineStr">
        <is>
          <t>费用</t>
        </is>
      </c>
      <c r="AA4" s="25" t="inlineStr">
        <is>
          <t>净盈亏</t>
        </is>
      </c>
      <c r="AB4" s="25" t="inlineStr">
        <is>
          <t>毛R（不扣费用）</t>
        </is>
      </c>
      <c r="AC4" s="25" t="inlineStr">
        <is>
          <t>净R</t>
        </is>
      </c>
      <c r="AD4" s="25" t="inlineStr">
        <is>
          <t>进场偏差（不利为正）</t>
        </is>
      </c>
      <c r="AE4" s="25" t="inlineStr">
        <is>
          <t>出场偏差（亏单比止损、赚单比目标，不利为正）</t>
        </is>
      </c>
      <c r="AF4" s="25" t="inlineStr">
        <is>
          <t>过程打分</t>
        </is>
      </c>
      <c r="AG4" s="25" t="inlineStr">
        <is>
          <t>偏差标签</t>
        </is>
      </c>
      <c r="AH4" s="25" t="inlineStr">
        <is>
          <t>备注（截图编号、下一步只改一处）</t>
        </is>
      </c>
      <c r="AI4" s="25" t="inlineStr">
        <is>
          <t>累计净R</t>
        </is>
      </c>
      <c r="AJ4" s="25" t="inlineStr">
        <is>
          <t>离高点回撤</t>
        </is>
      </c>
    </row>
    <row r="5" ht="46" customHeight="1">
      <c r="A5" s="29" t="n">
        <v>1</v>
      </c>
      <c r="B5" s="30" t="n">
        <v>47581</v>
      </c>
      <c r="C5" s="31" t="inlineStr">
        <is>
          <t>品种甲</t>
        </is>
      </c>
      <c r="D5" s="32" t="inlineStr">
        <is>
          <t>15分钟</t>
        </is>
      </c>
      <c r="E5" s="32" t="inlineStr">
        <is>
          <t>突破</t>
        </is>
      </c>
      <c r="F5" s="32" t="inlineStr">
        <is>
          <t>多</t>
        </is>
      </c>
      <c r="G5" s="32" t="n">
        <v>10</v>
      </c>
      <c r="H5" s="32" t="n">
        <v>1</v>
      </c>
      <c r="I5" s="33" t="n">
        <v>3500</v>
      </c>
      <c r="J5" s="33" t="n">
        <v>3470</v>
      </c>
      <c r="K5" s="33" t="n">
        <v>3590</v>
      </c>
      <c r="L5" s="34">
        <f>IF(AND(ISNUMBER(I5),ISNUMBER(J5),ISNUMBER(K5)),IF(OR(AND(F5="多",I5&gt;J5),AND(F5="空",I5&lt;J5)),ABS(K5-I5)/ABS(I5-J5),"止损方向不对"),"")</f>
        <v>3</v>
      </c>
      <c r="M5" s="35">
        <f>IF(AND(ISNUMBER(I5),ISNUMBER(J5)),IF(I5=J5,"",IF(INT(ROUND('参数'!$C$7/(ABS(I5-J5)*IF(N(G5)&gt;0,G5,1)+2*(I5*IF(N(G5)&gt;0,G5,1)*'参数'!$C$12+'参数'!$C$13+'参数'!$C$14*IF(N(G5)&gt;0,G5,1)))/IF(N(H5)&gt;0,H5,1),6))*IF(N(H5)&gt;0,H5,1)&gt;0,INT(ROUND('参数'!$C$7/(ABS(I5-J5)*IF(N(G5)&gt;0,G5,1)+2*(I5*IF(N(G5)&gt;0,G5,1)*'参数'!$C$12+'参数'!$C$13+'参数'!$C$14*IF(N(G5)&gt;0,G5,1)))/IF(N(H5)&gt;0,H5,1),6))*IF(N(H5)&gt;0,H5,1),"预算不足，这笔不做")),"")</f>
        <v>3</v>
      </c>
      <c r="N5" s="36" t="n">
        <v>3</v>
      </c>
      <c r="O5" s="20">
        <f>IF(AND(ISNUMBER(I5),ISNUMBER(J5),ISNUMBER(N5)),IF(AND(I5&lt;&gt;J5,N5&gt;0),ABS(I5-J5)*N5*IF(N(G5)&gt;0,G5,1),""),"")</f>
        <v>900</v>
      </c>
      <c r="P5" s="31" t="inlineStr">
        <is>
          <t>开盘 30 分钟内冲高回落、收回区间就不做</t>
        </is>
      </c>
      <c r="Q5" s="32" t="inlineStr">
        <is>
          <t>已执行</t>
        </is>
      </c>
      <c r="R5" s="37">
        <f>IF(N(U5)&gt;0,SUMPRODUCT(LARGE(('例-成交明细'!$A$5:$A$804=A5)*('例-成交明细'!$D$5:$D$804=IF(F5="空","卖","买"))*'例-成交明细'!$B$5:$B$804,COUNTIFS('例-成交明细'!$A$5:$A$804,A5,'例-成交明细'!$D$5:$D$804,IF(F5="空","卖","买")))),"")</f>
        <v>47581.0</v>
      </c>
      <c r="S5" s="37">
        <f>IF(AND(N(U5)&gt;0,N(W5)&gt;=N(U5)),SUMPRODUCT(MAX(('例-成交明细'!$A$5:$A$804=A5)*('例-成交明细'!$D$5:$D$804=IF(F5="空","买","卖"))*'例-成交明细'!$B$5:$B$804)),"")</f>
        <v>47583.0</v>
      </c>
      <c r="T5" s="38" t="str">
        <f>IF(N(U5)=0,"",IF(SUMPRODUCT(('例-成交明细'!$A$5:$A$804=A5)*('例-成交明细'!$D$5:$D$804=IF(F5="空","卖","买"))*ISNUMBER('例-成交明细'!$C$5:$C$804))=0,"没填时间",IFERROR(VLOOKUP(MOD(SUMPRODUCT(LARGE(('例-成交明细'!$A$5:$A$804=A5)*('例-成交明细'!$D$5:$D$804=IF(F5="空","卖","买"))*('例-成交明细'!$B$5:$B$804+'例-成交明细'!$C$5:$C$804),COUNTIFS('例-成交明细'!$A$5:$A$804,A5,'例-成交明细'!$D$5:$D$804,IF(F5="空","卖","买")))),1),'参数'!$B$39:$C$48,2,TRUE),"")))</f>
        <v>开盘 30 分钟</v>
      </c>
      <c r="U5" s="35">
        <f>IF(A5="","",SUMIFS('例-成交明细'!$F$5:$F$804,'例-成交明细'!$A$5:$A$804,A5,'例-成交明细'!$D$5:$D$804,IF(F5="空","卖","买")))</f>
        <v>3</v>
      </c>
      <c r="V5" s="39">
        <f>IF(N(U5)&gt;0,SUMIFS('例-成交明细'!$H$5:$H$804,'例-成交明细'!$A$5:$A$804,A5,'例-成交明细'!$D$5:$D$804,IF(F5="空","卖","买"))/U5,"")</f>
        <v>3502</v>
      </c>
      <c r="W5" s="35">
        <f>IF(A5="","",SUMIFS('例-成交明细'!$F$5:$F$804,'例-成交明细'!$A$5:$A$804,A5,'例-成交明细'!$D$5:$D$804,IF(F5="空","买","卖")))</f>
        <v>3</v>
      </c>
      <c r="X5" s="39">
        <f>IF(N(W5)&gt;0,SUMIFS('例-成交明细'!$H$5:$H$804,'例-成交明细'!$A$5:$A$804,A5,'例-成交明细'!$D$5:$D$804,IF(F5="空","买","卖"))/W5,"")</f>
        <v>3588</v>
      </c>
      <c r="Y5" s="40" t="str">
        <f>IF(A5="","",IF(Q5&lt;&gt;"已执行",IF(Q5="","未填执行情况",Q5),IF(N(U5)=0,"待录成交",IF(N(W5)&gt;N(U5),"平仓多于开仓",IF(N(W5)&lt;N(U5),"持仓中","已平仓")))))</f>
        <v>已平仓</v>
      </c>
      <c r="Z5" s="41">
        <f>IF(N(U5)=0,"",SUMIFS('例-成交明细'!$L$5:$L$804,'例-成交明细'!$A$5:$A$804,A5))</f>
        <v>63.81</v>
      </c>
      <c r="AA5" s="42">
        <f>IF(Y5&lt;&gt;"已平仓","",(SUMIFS('例-成交明细'!$H$5:$H$804,'例-成交明细'!$A$5:$A$804,A5,'例-成交明细'!$D$5:$D$804,"卖")-SUMIFS('例-成交明细'!$H$5:$H$804,'例-成交明细'!$A$5:$A$804,A5,'例-成交明细'!$D$5:$D$804,"买"))*IF(N(G5)&gt;0,G5,1)-Z5)</f>
        <v>2516.19</v>
      </c>
      <c r="AB5" s="43">
        <f>IF(AND(Y5="已平仓",ISNUMBER(O5)),(SUMIFS('例-成交明细'!$H$5:$H$804,'例-成交明细'!$A$5:$A$804,A5,'例-成交明细'!$D$5:$D$804,"卖")-SUMIFS('例-成交明细'!$H$5:$H$804,'例-成交明细'!$A$5:$A$804,A5,'例-成交明细'!$D$5:$D$804,"买"))*IF(N(G5)&gt;0,G5,1)/O5,"")</f>
        <v>2.86666666666667</v>
      </c>
      <c r="AC5" s="43">
        <f>IF(AND(Y5="已平仓",ISNUMBER(O5)),AA5/O5,"")</f>
        <v>2.79576666666667</v>
      </c>
      <c r="AD5" s="44">
        <f>IF(AND(ISNUMBER(V5),ISNUMBER(I5)),IF(F5="空",I5-V5,V5-I5),"")</f>
        <v>2</v>
      </c>
      <c r="AE5" s="44">
        <f>IF(OR(NOT(ISNUMBER(AA5)),NOT(ISNUMBER(X5))),"",IF(AA5&lt;0,IF(F5="空",X5-J5,J5-X5),IF(NOT(ISNUMBER(K5)),"",IF(F5="空",X5-K5,K5-X5))))</f>
        <v>2</v>
      </c>
      <c r="AF5" s="32" t="inlineStr">
        <is>
          <t>A</t>
        </is>
      </c>
      <c r="AG5" s="32" t="inlineStr">
        <is>
          <t>无</t>
        </is>
      </c>
      <c r="AH5" s="31" t="inlineStr">
        <is>
          <t>截图 0408-1。到目标走完，照计划</t>
        </is>
      </c>
      <c r="AI5" s="43">
        <f>IF(A5="","",SUM(AC$5:AC5))</f>
        <v>2.79576666666667</v>
      </c>
      <c r="AJ5" s="45">
        <f>IF(A5="","",MAX(0,MAX(AI$5:AI5))-AI5)</f>
        <v>0</v>
      </c>
    </row>
    <row r="6" ht="32" customHeight="1">
      <c r="A6" s="29" t="n">
        <v>2</v>
      </c>
      <c r="B6" s="30" t="n">
        <v>47581</v>
      </c>
      <c r="C6" s="31" t="inlineStr">
        <is>
          <t>品种乙</t>
        </is>
      </c>
      <c r="D6" s="32" t="inlineStr">
        <is>
          <t>日线</t>
        </is>
      </c>
      <c r="E6" s="32" t="inlineStr">
        <is>
          <t>回踩</t>
        </is>
      </c>
      <c r="F6" s="32" t="inlineStr">
        <is>
          <t>多</t>
        </is>
      </c>
      <c r="G6" s="32" t="n">
        <v>1</v>
      </c>
      <c r="H6" s="32" t="n">
        <v>100</v>
      </c>
      <c r="I6" s="33" t="n">
        <v>25</v>
      </c>
      <c r="J6" s="33" t="n">
        <v>24.5</v>
      </c>
      <c r="K6" s="33" t="n">
        <v>26.5</v>
      </c>
      <c r="L6" s="34">
        <f>IF(AND(ISNUMBER(I6),ISNUMBER(J6),ISNUMBER(K6)),IF(OR(AND(F6="多",I6&gt;J6),AND(F6="空",I6&lt;J6)),ABS(K6-I6)/ABS(I6-J6),"止损方向不对"),"")</f>
        <v>3</v>
      </c>
      <c r="M6" s="35">
        <f>IF(AND(ISNUMBER(I6),ISNUMBER(J6)),IF(I6=J6,"",IF(INT(ROUND('参数'!$C$7/(ABS(I6-J6)*IF(N(G6)&gt;0,G6,1)+2*(I6*IF(N(G6)&gt;0,G6,1)*'参数'!$C$12+'参数'!$C$13+'参数'!$C$14*IF(N(G6)&gt;0,G6,1)))/IF(N(H6)&gt;0,H6,1),6))*IF(N(H6)&gt;0,H6,1)&gt;0,INT(ROUND('参数'!$C$7/(ABS(I6-J6)*IF(N(G6)&gt;0,G6,1)+2*(I6*IF(N(G6)&gt;0,G6,1)*'参数'!$C$12+'参数'!$C$13+'参数'!$C$14*IF(N(G6)&gt;0,G6,1)))/IF(N(H6)&gt;0,H6,1),6))*IF(N(H6)&gt;0,H6,1),"预算不足，这笔不做")),"")</f>
        <v>1900</v>
      </c>
      <c r="N6" s="36" t="n">
        <v>1900</v>
      </c>
      <c r="O6" s="20">
        <f>IF(AND(ISNUMBER(I6),ISNUMBER(J6),ISNUMBER(N6)),IF(AND(I6&lt;&gt;J6,N6&gt;0),ABS(I6-J6)*N6*IF(N(G6)&gt;0,G6,1),""),"")</f>
        <v>950</v>
      </c>
      <c r="P6" s="31" t="inlineStr">
        <is>
          <t>回踩不到 25.00 就不追</t>
        </is>
      </c>
      <c r="Q6" s="32" t="inlineStr">
        <is>
          <t>未成交</t>
        </is>
      </c>
      <c r="R6" s="37" t="str">
        <f>IF(N(U6)&gt;0,SUMPRODUCT(LARGE(('例-成交明细'!$A$5:$A$804=A6)*('例-成交明细'!$D$5:$D$804=IF(F6="空","卖","买"))*'例-成交明细'!$B$5:$B$804,COUNTIFS('例-成交明细'!$A$5:$A$804,A6,'例-成交明细'!$D$5:$D$804,IF(F6="空","卖","买")))),"")</f>
        <v/>
      </c>
      <c r="S6" s="37" t="str">
        <f>IF(AND(N(U6)&gt;0,N(W6)&gt;=N(U6)),SUMPRODUCT(MAX(('例-成交明细'!$A$5:$A$804=A6)*('例-成交明细'!$D$5:$D$804=IF(F6="空","买","卖"))*'例-成交明细'!$B$5:$B$804)),"")</f>
        <v/>
      </c>
      <c r="T6" s="38" t="str">
        <f>IF(N(U6)=0,"",IF(SUMPRODUCT(('例-成交明细'!$A$5:$A$804=A6)*('例-成交明细'!$D$5:$D$804=IF(F6="空","卖","买"))*ISNUMBER('例-成交明细'!$C$5:$C$804))=0,"没填时间",IFERROR(VLOOKUP(MOD(SUMPRODUCT(LARGE(('例-成交明细'!$A$5:$A$804=A6)*('例-成交明细'!$D$5:$D$804=IF(F6="空","卖","买"))*('例-成交明细'!$B$5:$B$804+'例-成交明细'!$C$5:$C$804),COUNTIFS('例-成交明细'!$A$5:$A$804,A6,'例-成交明细'!$D$5:$D$804,IF(F6="空","卖","买")))),1),'参数'!$B$39:$C$48,2,TRUE),"")))</f>
        <v/>
      </c>
      <c r="U6" s="35">
        <f>IF(A6="","",SUMIFS('例-成交明细'!$F$5:$F$804,'例-成交明细'!$A$5:$A$804,A6,'例-成交明细'!$D$5:$D$804,IF(F6="空","卖","买")))</f>
        <v>0</v>
      </c>
      <c r="V6" s="39" t="str">
        <f>IF(N(U6)&gt;0,SUMIFS('例-成交明细'!$H$5:$H$804,'例-成交明细'!$A$5:$A$804,A6,'例-成交明细'!$D$5:$D$804,IF(F6="空","卖","买"))/U6,"")</f>
        <v/>
      </c>
      <c r="W6" s="35">
        <f>IF(A6="","",SUMIFS('例-成交明细'!$F$5:$F$804,'例-成交明细'!$A$5:$A$804,A6,'例-成交明细'!$D$5:$D$804,IF(F6="空","买","卖")))</f>
        <v>0</v>
      </c>
      <c r="X6" s="39" t="str">
        <f>IF(N(W6)&gt;0,SUMIFS('例-成交明细'!$H$5:$H$804,'例-成交明细'!$A$5:$A$804,A6,'例-成交明细'!$D$5:$D$804,IF(F6="空","买","卖"))/W6,"")</f>
        <v/>
      </c>
      <c r="Y6" s="40" t="str">
        <f>IF(A6="","",IF(Q6&lt;&gt;"已执行",IF(Q6="","未填执行情况",Q6),IF(N(U6)=0,"待录成交",IF(N(W6)&gt;N(U6),"平仓多于开仓",IF(N(W6)&lt;N(U6),"持仓中","已平仓")))))</f>
        <v>未成交</v>
      </c>
      <c r="Z6" s="41" t="str">
        <f>IF(N(U6)=0,"",SUMIFS('例-成交明细'!$L$5:$L$804,'例-成交明细'!$A$5:$A$804,A6))</f>
        <v/>
      </c>
      <c r="AA6" s="42" t="str">
        <f>IF(Y6&lt;&gt;"已平仓","",(SUMIFS('例-成交明细'!$H$5:$H$804,'例-成交明细'!$A$5:$A$804,A6,'例-成交明细'!$D$5:$D$804,"卖")-SUMIFS('例-成交明细'!$H$5:$H$804,'例-成交明细'!$A$5:$A$804,A6,'例-成交明细'!$D$5:$D$804,"买"))*IF(N(G6)&gt;0,G6,1)-Z6)</f>
        <v/>
      </c>
      <c r="AB6" s="43" t="str">
        <f>IF(AND(Y6="已平仓",ISNUMBER(O6)),(SUMIFS('例-成交明细'!$H$5:$H$804,'例-成交明细'!$A$5:$A$804,A6,'例-成交明细'!$D$5:$D$804,"卖")-SUMIFS('例-成交明细'!$H$5:$H$804,'例-成交明细'!$A$5:$A$804,A6,'例-成交明细'!$D$5:$D$804,"买"))*IF(N(G6)&gt;0,G6,1)/O6,"")</f>
        <v/>
      </c>
      <c r="AC6" s="43" t="str">
        <f>IF(AND(Y6="已平仓",ISNUMBER(O6)),AA6/O6,"")</f>
        <v/>
      </c>
      <c r="AD6" s="44" t="str">
        <f>IF(AND(ISNUMBER(V6),ISNUMBER(I6)),IF(F6="空",I6-V6,V6-I6),"")</f>
        <v/>
      </c>
      <c r="AE6" s="44" t="str">
        <f>IF(OR(NOT(ISNUMBER(AA6)),NOT(ISNUMBER(X6))),"",IF(AA6&lt;0,IF(F6="空",X6-J6,J6-X6),IF(NOT(ISNUMBER(K6)),"",IF(F6="空",X6-K6,K6-X6))))</f>
        <v/>
      </c>
      <c r="AF6" s="32" t="n"/>
      <c r="AG6" s="32" t="n"/>
      <c r="AH6" s="31" t="inlineStr">
        <is>
          <t>限价没成交，按计划撤单</t>
        </is>
      </c>
      <c r="AI6" s="43">
        <f>IF(A6="","",SUM(AC$5:AC6))</f>
        <v>2.79576666666667</v>
      </c>
      <c r="AJ6" s="45">
        <f>IF(A6="","",MAX(0,MAX(AI$5:AI6))-AI6)</f>
        <v>0</v>
      </c>
    </row>
    <row r="7" ht="32" customHeight="1">
      <c r="A7" s="29" t="n">
        <v>3</v>
      </c>
      <c r="B7" s="30" t="n">
        <v>47582</v>
      </c>
      <c r="C7" s="31" t="inlineStr">
        <is>
          <t>品种甲</t>
        </is>
      </c>
      <c r="D7" s="32" t="inlineStr">
        <is>
          <t>15分钟</t>
        </is>
      </c>
      <c r="E7" s="32" t="inlineStr">
        <is>
          <t>区间反转</t>
        </is>
      </c>
      <c r="F7" s="32" t="inlineStr">
        <is>
          <t>空</t>
        </is>
      </c>
      <c r="G7" s="32" t="n">
        <v>10</v>
      </c>
      <c r="H7" s="32" t="n">
        <v>1</v>
      </c>
      <c r="I7" s="33" t="n">
        <v>3560</v>
      </c>
      <c r="J7" s="33" t="n">
        <v>3585</v>
      </c>
      <c r="K7" s="33" t="n">
        <v>3500</v>
      </c>
      <c r="L7" s="34">
        <f>IF(AND(ISNUMBER(I7),ISNUMBER(J7),ISNUMBER(K7)),IF(OR(AND(F7="多",I7&gt;J7),AND(F7="空",I7&lt;J7)),ABS(K7-I7)/ABS(I7-J7),"止损方向不对"),"")</f>
        <v>2.4</v>
      </c>
      <c r="M7" s="35">
        <f>IF(AND(ISNUMBER(I7),ISNUMBER(J7)),IF(I7=J7,"",IF(INT(ROUND('参数'!$C$7/(ABS(I7-J7)*IF(N(G7)&gt;0,G7,1)+2*(I7*IF(N(G7)&gt;0,G7,1)*'参数'!$C$12+'参数'!$C$13+'参数'!$C$14*IF(N(G7)&gt;0,G7,1)))/IF(N(H7)&gt;0,H7,1),6))*IF(N(H7)&gt;0,H7,1)&gt;0,INT(ROUND('参数'!$C$7/(ABS(I7-J7)*IF(N(G7)&gt;0,G7,1)+2*(I7*IF(N(G7)&gt;0,G7,1)*'参数'!$C$12+'参数'!$C$13+'参数'!$C$14*IF(N(G7)&gt;0,G7,1)))/IF(N(H7)&gt;0,H7,1),6))*IF(N(H7)&gt;0,H7,1),"预算不足，这笔不做")),"")</f>
        <v>3</v>
      </c>
      <c r="N7" s="36" t="n">
        <v>3</v>
      </c>
      <c r="O7" s="20">
        <f>IF(AND(ISNUMBER(I7),ISNUMBER(J7),ISNUMBER(N7)),IF(AND(I7&lt;&gt;J7,N7&gt;0),ABS(I7-J7)*N7*IF(N(G7)&gt;0,G7,1),""),"")</f>
        <v>750</v>
      </c>
      <c r="P7" s="31" t="inlineStr">
        <is>
          <t>放量站上 3585 就认错</t>
        </is>
      </c>
      <c r="Q7" s="32" t="inlineStr">
        <is>
          <t>已执行</t>
        </is>
      </c>
      <c r="R7" s="37">
        <f>IF(N(U7)&gt;0,SUMPRODUCT(LARGE(('例-成交明细'!$A$5:$A$804=A7)*('例-成交明细'!$D$5:$D$804=IF(F7="空","卖","买"))*'例-成交明细'!$B$5:$B$804,COUNTIFS('例-成交明细'!$A$5:$A$804,A7,'例-成交明细'!$D$5:$D$804,IF(F7="空","卖","买")))),"")</f>
        <v>47582.0</v>
      </c>
      <c r="S7" s="37">
        <f>IF(AND(N(U7)&gt;0,N(W7)&gt;=N(U7)),SUMPRODUCT(MAX(('例-成交明细'!$A$5:$A$804=A7)*('例-成交明细'!$D$5:$D$804=IF(F7="空","买","卖"))*'例-成交明细'!$B$5:$B$804)),"")</f>
        <v>47582.0</v>
      </c>
      <c r="T7" s="38" t="str">
        <f>IF(N(U7)=0,"",IF(SUMPRODUCT(('例-成交明细'!$A$5:$A$804=A7)*('例-成交明细'!$D$5:$D$804=IF(F7="空","卖","买"))*ISNUMBER('例-成交明细'!$C$5:$C$804))=0,"没填时间",IFERROR(VLOOKUP(MOD(SUMPRODUCT(LARGE(('例-成交明细'!$A$5:$A$804=A7)*('例-成交明细'!$D$5:$D$804=IF(F7="空","卖","买"))*('例-成交明细'!$B$5:$B$804+'例-成交明细'!$C$5:$C$804),COUNTIFS('例-成交明细'!$A$5:$A$804,A7,'例-成交明细'!$D$5:$D$804,IF(F7="空","卖","买")))),1),'参数'!$B$39:$C$48,2,TRUE),"")))</f>
        <v>上午</v>
      </c>
      <c r="U7" s="35">
        <f>IF(A7="","",SUMIFS('例-成交明细'!$F$5:$F$804,'例-成交明细'!$A$5:$A$804,A7,'例-成交明细'!$D$5:$D$804,IF(F7="空","卖","买")))</f>
        <v>3</v>
      </c>
      <c r="V7" s="39">
        <f>IF(N(U7)&gt;0,SUMIFS('例-成交明细'!$H$5:$H$804,'例-成交明细'!$A$5:$A$804,A7,'例-成交明细'!$D$5:$D$804,IF(F7="空","卖","买"))/U7,"")</f>
        <v>3558</v>
      </c>
      <c r="W7" s="35">
        <f>IF(A7="","",SUMIFS('例-成交明细'!$F$5:$F$804,'例-成交明细'!$A$5:$A$804,A7,'例-成交明细'!$D$5:$D$804,IF(F7="空","买","卖")))</f>
        <v>3</v>
      </c>
      <c r="X7" s="39">
        <f>IF(N(W7)&gt;0,SUMIFS('例-成交明细'!$H$5:$H$804,'例-成交明细'!$A$5:$A$804,A7,'例-成交明细'!$D$5:$D$804,IF(F7="空","买","卖"))/W7,"")</f>
        <v>3586</v>
      </c>
      <c r="Y7" s="40" t="str">
        <f>IF(A7="","",IF(Q7&lt;&gt;"已执行",IF(Q7="","未填执行情况",Q7),IF(N(U7)=0,"待录成交",IF(N(W7)&gt;N(U7),"平仓多于开仓",IF(N(W7)&lt;N(U7),"持仓中","已平仓")))))</f>
        <v>已平仓</v>
      </c>
      <c r="Z7" s="41">
        <f>IF(N(U7)=0,"",SUMIFS('例-成交明细'!$L$5:$L$804,'例-成交明细'!$A$5:$A$804,A7))</f>
        <v>64.29</v>
      </c>
      <c r="AA7" s="42">
        <f>IF(Y7&lt;&gt;"已平仓","",(SUMIFS('例-成交明细'!$H$5:$H$804,'例-成交明细'!$A$5:$A$804,A7,'例-成交明细'!$D$5:$D$804,"卖")-SUMIFS('例-成交明细'!$H$5:$H$804,'例-成交明细'!$A$5:$A$804,A7,'例-成交明细'!$D$5:$D$804,"买"))*IF(N(G7)&gt;0,G7,1)-Z7)</f>
        <v>-904.29</v>
      </c>
      <c r="AB7" s="43">
        <f>IF(AND(Y7="已平仓",ISNUMBER(O7)),(SUMIFS('例-成交明细'!$H$5:$H$804,'例-成交明细'!$A$5:$A$804,A7,'例-成交明细'!$D$5:$D$804,"卖")-SUMIFS('例-成交明细'!$H$5:$H$804,'例-成交明细'!$A$5:$A$804,A7,'例-成交明细'!$D$5:$D$804,"买"))*IF(N(G7)&gt;0,G7,1)/O7,"")</f>
        <v>-1.12</v>
      </c>
      <c r="AC7" s="43">
        <f>IF(AND(Y7="已平仓",ISNUMBER(O7)),AA7/O7,"")</f>
        <v>-1.20572</v>
      </c>
      <c r="AD7" s="44">
        <f>IF(AND(ISNUMBER(V7),ISNUMBER(I7)),IF(F7="空",I7-V7,V7-I7),"")</f>
        <v>2</v>
      </c>
      <c r="AE7" s="44">
        <f>IF(OR(NOT(ISNUMBER(AA7)),NOT(ISNUMBER(X7))),"",IF(AA7&lt;0,IF(F7="空",X7-J7,J7-X7),IF(NOT(ISNUMBER(K7)),"",IF(F7="空",X7-K7,K7-X7))))</f>
        <v>1</v>
      </c>
      <c r="AF7" s="32" t="inlineStr">
        <is>
          <t>A</t>
        </is>
      </c>
      <c r="AG7" s="32" t="inlineStr">
        <is>
          <t>无</t>
        </is>
      </c>
      <c r="AH7" s="31" t="inlineStr">
        <is>
          <t>截图 0409-3。止损被打，照计划，亏的是计划内的 1R 多一点</t>
        </is>
      </c>
      <c r="AI7" s="43">
        <f>IF(A7="","",SUM(AC$5:AC7))</f>
        <v>1.59004666666667</v>
      </c>
      <c r="AJ7" s="45">
        <f>IF(A7="","",MAX(0,MAX(AI$5:AI7))-AI7)</f>
        <v>1.20572</v>
      </c>
    </row>
    <row r="8" ht="32" customHeight="1">
      <c r="A8" s="29" t="n">
        <v>4</v>
      </c>
      <c r="B8" s="30" t="n">
        <v>47583</v>
      </c>
      <c r="C8" s="31" t="inlineStr">
        <is>
          <t>品种乙</t>
        </is>
      </c>
      <c r="D8" s="32" t="inlineStr">
        <is>
          <t>日线</t>
        </is>
      </c>
      <c r="E8" s="32" t="inlineStr">
        <is>
          <t>突破</t>
        </is>
      </c>
      <c r="F8" s="32" t="inlineStr">
        <is>
          <t>多</t>
        </is>
      </c>
      <c r="G8" s="32" t="n">
        <v>1</v>
      </c>
      <c r="H8" s="32" t="n">
        <v>100</v>
      </c>
      <c r="I8" s="33" t="n">
        <v>25.8</v>
      </c>
      <c r="J8" s="33" t="n">
        <v>25.3</v>
      </c>
      <c r="K8" s="33" t="n">
        <v>27.3</v>
      </c>
      <c r="L8" s="34">
        <f>IF(AND(ISNUMBER(I8),ISNUMBER(J8),ISNUMBER(K8)),IF(OR(AND(F8="多",I8&gt;J8),AND(F8="空",I8&lt;J8)),ABS(K8-I8)/ABS(I8-J8),"止损方向不对"),"")</f>
        <v>3</v>
      </c>
      <c r="M8" s="35">
        <f>IF(AND(ISNUMBER(I8),ISNUMBER(J8)),IF(I8=J8,"",IF(INT(ROUND('参数'!$C$7/(ABS(I8-J8)*IF(N(G8)&gt;0,G8,1)+2*(I8*IF(N(G8)&gt;0,G8,1)*'参数'!$C$12+'参数'!$C$13+'参数'!$C$14*IF(N(G8)&gt;0,G8,1)))/IF(N(H8)&gt;0,H8,1),6))*IF(N(H8)&gt;0,H8,1)&gt;0,INT(ROUND('参数'!$C$7/(ABS(I8-J8)*IF(N(G8)&gt;0,G8,1)+2*(I8*IF(N(G8)&gt;0,G8,1)*'参数'!$C$12+'参数'!$C$13+'参数'!$C$14*IF(N(G8)&gt;0,G8,1)))/IF(N(H8)&gt;0,H8,1),6))*IF(N(H8)&gt;0,H8,1),"预算不足，这笔不做")),"")</f>
        <v>1900</v>
      </c>
      <c r="N8" s="36" t="n">
        <v>1900</v>
      </c>
      <c r="O8" s="20">
        <f>IF(AND(ISNUMBER(I8),ISNUMBER(J8),ISNUMBER(N8)),IF(AND(I8&lt;&gt;J8,N8&gt;0),ABS(I8-J8)*N8*IF(N(G8)&gt;0,G8,1),""),"")</f>
        <v>950</v>
      </c>
      <c r="P8" s="31" t="inlineStr">
        <is>
          <t>收盘跌回 25.30 下方就走</t>
        </is>
      </c>
      <c r="Q8" s="32" t="inlineStr">
        <is>
          <t>已执行</t>
        </is>
      </c>
      <c r="R8" s="37">
        <f>IF(N(U8)&gt;0,SUMPRODUCT(LARGE(('例-成交明细'!$A$5:$A$804=A8)*('例-成交明细'!$D$5:$D$804=IF(F8="空","卖","买"))*'例-成交明细'!$B$5:$B$804,COUNTIFS('例-成交明细'!$A$5:$A$804,A8,'例-成交明细'!$D$5:$D$804,IF(F8="空","卖","买")))),"")</f>
        <v>47583.0</v>
      </c>
      <c r="S8" s="37">
        <f>IF(AND(N(U8)&gt;0,N(W8)&gt;=N(U8)),SUMPRODUCT(MAX(('例-成交明细'!$A$5:$A$804=A8)*('例-成交明细'!$D$5:$D$804=IF(F8="空","买","卖"))*'例-成交明细'!$B$5:$B$804)),"")</f>
        <v>47585.0</v>
      </c>
      <c r="T8" s="38" t="str">
        <f>IF(N(U8)=0,"",IF(SUMPRODUCT(('例-成交明细'!$A$5:$A$804=A8)*('例-成交明细'!$D$5:$D$804=IF(F8="空","卖","买"))*ISNUMBER('例-成交明细'!$C$5:$C$804))=0,"没填时间",IFERROR(VLOOKUP(MOD(SUMPRODUCT(LARGE(('例-成交明细'!$A$5:$A$804=A8)*('例-成交明细'!$D$5:$D$804=IF(F8="空","卖","买"))*('例-成交明细'!$B$5:$B$804+'例-成交明细'!$C$5:$C$804),COUNTIFS('例-成交明细'!$A$5:$A$804,A8,'例-成交明细'!$D$5:$D$804,IF(F8="空","卖","买")))),1),'参数'!$B$39:$C$48,2,TRUE),"")))</f>
        <v>开盘 30 分钟</v>
      </c>
      <c r="U8" s="35">
        <f>IF(A8="","",SUMIFS('例-成交明细'!$F$5:$F$804,'例-成交明细'!$A$5:$A$804,A8,'例-成交明细'!$D$5:$D$804,IF(F8="空","卖","买")))</f>
        <v>1900</v>
      </c>
      <c r="V8" s="39">
        <f>IF(N(U8)&gt;0,SUMIFS('例-成交明细'!$H$5:$H$804,'例-成交明细'!$A$5:$A$804,A8,'例-成交明细'!$D$5:$D$804,IF(F8="空","卖","买"))/U8,"")</f>
        <v>25.8342105263158</v>
      </c>
      <c r="W8" s="35">
        <f>IF(A8="","",SUMIFS('例-成交明细'!$F$5:$F$804,'例-成交明细'!$A$5:$A$804,A8,'例-成交明细'!$D$5:$D$804,IF(F8="空","买","卖")))</f>
        <v>1900</v>
      </c>
      <c r="X8" s="39">
        <f>IF(N(W8)&gt;0,SUMIFS('例-成交明细'!$H$5:$H$804,'例-成交明细'!$A$5:$A$804,A8,'例-成交明细'!$D$5:$D$804,IF(F8="空","买","卖"))/W8,"")</f>
        <v>26.9221052631579</v>
      </c>
      <c r="Y8" s="40" t="str">
        <f>IF(A8="","",IF(Q8&lt;&gt;"已执行",IF(Q8="","未填执行情况",Q8),IF(N(U8)=0,"待录成交",IF(N(W8)&gt;N(U8),"平仓多于开仓",IF(N(W8)&lt;N(U8),"持仓中","已平仓")))))</f>
        <v>已平仓</v>
      </c>
      <c r="Z8" s="41">
        <f>IF(N(U8)=0,"",SUMIFS('例-成交明细'!$L$5:$L$804,'例-成交明细'!$A$5:$A$804,A8))</f>
        <v>30.08</v>
      </c>
      <c r="AA8" s="42">
        <f>IF(Y8&lt;&gt;"已平仓","",(SUMIFS('例-成交明细'!$H$5:$H$804,'例-成交明细'!$A$5:$A$804,A8,'例-成交明细'!$D$5:$D$804,"卖")-SUMIFS('例-成交明细'!$H$5:$H$804,'例-成交明细'!$A$5:$A$804,A8,'例-成交明细'!$D$5:$D$804,"买"))*IF(N(G8)&gt;0,G8,1)-Z8)</f>
        <v>2036.92</v>
      </c>
      <c r="AB8" s="43">
        <f>IF(AND(Y8="已平仓",ISNUMBER(O8)),(SUMIFS('例-成交明细'!$H$5:$H$804,'例-成交明细'!$A$5:$A$804,A8,'例-成交明细'!$D$5:$D$804,"卖")-SUMIFS('例-成交明细'!$H$5:$H$804,'例-成交明细'!$A$5:$A$804,A8,'例-成交明细'!$D$5:$D$804,"买"))*IF(N(G8)&gt;0,G8,1)/O8,"")</f>
        <v>2.17578947368421</v>
      </c>
      <c r="AC8" s="43">
        <f>IF(AND(Y8="已平仓",ISNUMBER(O8)),AA8/O8,"")</f>
        <v>2.14412631578947</v>
      </c>
      <c r="AD8" s="44">
        <f>IF(AND(ISNUMBER(V8),ISNUMBER(I8)),IF(F8="空",I8-V8,V8-I8),"")</f>
        <v>0.034210526315789</v>
      </c>
      <c r="AE8" s="44">
        <f>IF(OR(NOT(ISNUMBER(AA8)),NOT(ISNUMBER(X8))),"",IF(AA8&lt;0,IF(F8="空",X8-J8,J8-X8),IF(NOT(ISNUMBER(K8)),"",IF(F8="空",X8-K8,K8-X8))))</f>
        <v>0.377894736842105</v>
      </c>
      <c r="AF8" s="32" t="inlineStr">
        <is>
          <t>A</t>
        </is>
      </c>
      <c r="AG8" s="32" t="inlineStr">
        <is>
          <t>无</t>
        </is>
      </c>
      <c r="AH8" s="31" t="inlineStr">
        <is>
          <t>分两笔买、两笔卖：先卖一半锁利润，剩下到目标</t>
        </is>
      </c>
      <c r="AI8" s="43">
        <f>IF(A8="","",SUM(AC$5:AC8))</f>
        <v>3.73417298245614</v>
      </c>
      <c r="AJ8" s="45">
        <f>IF(A8="","",MAX(0,MAX(AI$5:AI8))-AI8)</f>
        <v>0</v>
      </c>
    </row>
    <row r="9" ht="46" customHeight="1">
      <c r="A9" s="29" t="n">
        <v>5</v>
      </c>
      <c r="B9" s="30" t="n">
        <v>47584</v>
      </c>
      <c r="C9" s="31" t="inlineStr">
        <is>
          <t>品种甲</t>
        </is>
      </c>
      <c r="D9" s="32" t="inlineStr">
        <is>
          <t>15分钟</t>
        </is>
      </c>
      <c r="E9" s="32" t="inlineStr">
        <is>
          <t>突破</t>
        </is>
      </c>
      <c r="F9" s="32" t="inlineStr">
        <is>
          <t>多</t>
        </is>
      </c>
      <c r="G9" s="32" t="n">
        <v>10</v>
      </c>
      <c r="H9" s="32" t="n">
        <v>1</v>
      </c>
      <c r="I9" s="33" t="n">
        <v>3610</v>
      </c>
      <c r="J9" s="33" t="n">
        <v>3585</v>
      </c>
      <c r="K9" s="33" t="n">
        <v>3680</v>
      </c>
      <c r="L9" s="34">
        <f>IF(AND(ISNUMBER(I9),ISNUMBER(J9),ISNUMBER(K9)),IF(OR(AND(F9="多",I9&gt;J9),AND(F9="空",I9&lt;J9)),ABS(K9-I9)/ABS(I9-J9),"止损方向不对"),"")</f>
        <v>2.8</v>
      </c>
      <c r="M9" s="35">
        <f>IF(AND(ISNUMBER(I9),ISNUMBER(J9)),IF(I9=J9,"",IF(INT(ROUND('参数'!$C$7/(ABS(I9-J9)*IF(N(G9)&gt;0,G9,1)+2*(I9*IF(N(G9)&gt;0,G9,1)*'参数'!$C$12+'参数'!$C$13+'参数'!$C$14*IF(N(G9)&gt;0,G9,1)))/IF(N(H9)&gt;0,H9,1),6))*IF(N(H9)&gt;0,H9,1)&gt;0,INT(ROUND('参数'!$C$7/(ABS(I9-J9)*IF(N(G9)&gt;0,G9,1)+2*(I9*IF(N(G9)&gt;0,G9,1)*'参数'!$C$12+'参数'!$C$13+'参数'!$C$14*IF(N(G9)&gt;0,G9,1)))/IF(N(H9)&gt;0,H9,1),6))*IF(N(H9)&gt;0,H9,1),"预算不足，这笔不做")),"")</f>
        <v>3</v>
      </c>
      <c r="N9" s="36" t="n">
        <v>3</v>
      </c>
      <c r="O9" s="20">
        <f>IF(AND(ISNUMBER(I9),ISNUMBER(J9),ISNUMBER(N9)),IF(AND(I9&lt;&gt;J9,N9&gt;0),ABS(I9-J9)*N9*IF(N(G9)&gt;0,G9,1),""),"")</f>
        <v>750</v>
      </c>
      <c r="P9" s="31" t="inlineStr">
        <is>
          <t>追价超过 3615 就放弃</t>
        </is>
      </c>
      <c r="Q9" s="32" t="inlineStr">
        <is>
          <t>已执行</t>
        </is>
      </c>
      <c r="R9" s="37">
        <f>IF(N(U9)&gt;0,SUMPRODUCT(LARGE(('例-成交明细'!$A$5:$A$804=A9)*('例-成交明细'!$D$5:$D$804=IF(F9="空","卖","买"))*'例-成交明细'!$B$5:$B$804,COUNTIFS('例-成交明细'!$A$5:$A$804,A9,'例-成交明细'!$D$5:$D$804,IF(F9="空","卖","买")))),"")</f>
        <v>47584.0</v>
      </c>
      <c r="S9" s="37">
        <f>IF(AND(N(U9)&gt;0,N(W9)&gt;=N(U9)),SUMPRODUCT(MAX(('例-成交明细'!$A$5:$A$804=A9)*('例-成交明细'!$D$5:$D$804=IF(F9="空","买","卖"))*'例-成交明细'!$B$5:$B$804)),"")</f>
        <v>47585.0</v>
      </c>
      <c r="T9" s="38" t="str">
        <f>IF(N(U9)=0,"",IF(SUMPRODUCT(('例-成交明细'!$A$5:$A$804=A9)*('例-成交明细'!$D$5:$D$804=IF(F9="空","卖","买"))*ISNUMBER('例-成交明细'!$C$5:$C$804))=0,"没填时间",IFERROR(VLOOKUP(MOD(SUMPRODUCT(LARGE(('例-成交明细'!$A$5:$A$804=A9)*('例-成交明细'!$D$5:$D$804=IF(F9="空","卖","买"))*('例-成交明细'!$B$5:$B$804+'例-成交明细'!$C$5:$C$804),COUNTIFS('例-成交明细'!$A$5:$A$804,A9,'例-成交明细'!$D$5:$D$804,IF(F9="空","卖","买")))),1),'参数'!$B$39:$C$48,2,TRUE),"")))</f>
        <v>开盘 30 分钟</v>
      </c>
      <c r="U9" s="35">
        <f>IF(A9="","",SUMIFS('例-成交明细'!$F$5:$F$804,'例-成交明细'!$A$5:$A$804,A9,'例-成交明细'!$D$5:$D$804,IF(F9="空","卖","买")))</f>
        <v>3</v>
      </c>
      <c r="V9" s="39">
        <f>IF(N(U9)&gt;0,SUMIFS('例-成交明细'!$H$5:$H$804,'例-成交明细'!$A$5:$A$804,A9,'例-成交明细'!$D$5:$D$804,IF(F9="空","卖","买"))/U9,"")</f>
        <v>3628</v>
      </c>
      <c r="W9" s="35">
        <f>IF(A9="","",SUMIFS('例-成交明细'!$F$5:$F$804,'例-成交明细'!$A$5:$A$804,A9,'例-成交明细'!$D$5:$D$804,IF(F9="空","买","卖")))</f>
        <v>3</v>
      </c>
      <c r="X9" s="39">
        <f>IF(N(W9)&gt;0,SUMIFS('例-成交明细'!$H$5:$H$804,'例-成交明细'!$A$5:$A$804,A9,'例-成交明细'!$D$5:$D$804,IF(F9="空","买","卖"))/W9,"")</f>
        <v>3675</v>
      </c>
      <c r="Y9" s="40" t="str">
        <f>IF(A9="","",IF(Q9&lt;&gt;"已执行",IF(Q9="","未填执行情况",Q9),IF(N(U9)=0,"待录成交",IF(N(W9)&gt;N(U9),"平仓多于开仓",IF(N(W9)&lt;N(U9),"持仓中","已平仓")))))</f>
        <v>已平仓</v>
      </c>
      <c r="Z9" s="41">
        <f>IF(N(U9)=0,"",SUMIFS('例-成交明细'!$L$5:$L$804,'例-成交明细'!$A$5:$A$804,A9))</f>
        <v>65.73</v>
      </c>
      <c r="AA9" s="42">
        <f>IF(Y9&lt;&gt;"已平仓","",(SUMIFS('例-成交明细'!$H$5:$H$804,'例-成交明细'!$A$5:$A$804,A9,'例-成交明细'!$D$5:$D$804,"卖")-SUMIFS('例-成交明细'!$H$5:$H$804,'例-成交明细'!$A$5:$A$804,A9,'例-成交明细'!$D$5:$D$804,"买"))*IF(N(G9)&gt;0,G9,1)-Z9)</f>
        <v>1344.27</v>
      </c>
      <c r="AB9" s="43">
        <f>IF(AND(Y9="已平仓",ISNUMBER(O9)),(SUMIFS('例-成交明细'!$H$5:$H$804,'例-成交明细'!$A$5:$A$804,A9,'例-成交明细'!$D$5:$D$804,"卖")-SUMIFS('例-成交明细'!$H$5:$H$804,'例-成交明细'!$A$5:$A$804,A9,'例-成交明细'!$D$5:$D$804,"买"))*IF(N(G9)&gt;0,G9,1)/O9,"")</f>
        <v>1.88</v>
      </c>
      <c r="AC9" s="43">
        <f>IF(AND(Y9="已平仓",ISNUMBER(O9)),AA9/O9,"")</f>
        <v>1.79236</v>
      </c>
      <c r="AD9" s="44">
        <f>IF(AND(ISNUMBER(V9),ISNUMBER(I9)),IF(F9="空",I9-V9,V9-I9),"")</f>
        <v>18</v>
      </c>
      <c r="AE9" s="44">
        <f>IF(OR(NOT(ISNUMBER(AA9)),NOT(ISNUMBER(X9))),"",IF(AA9&lt;0,IF(F9="空",X9-J9,J9-X9),IF(NOT(ISNUMBER(K9)),"",IF(F9="空",X9-K9,K9-X9))))</f>
        <v>5</v>
      </c>
      <c r="AF9" s="32" t="inlineStr">
        <is>
          <t>C</t>
        </is>
      </c>
      <c r="AG9" s="32" t="inlineStr">
        <is>
          <t>追单</t>
        </is>
      </c>
      <c r="AH9" s="31" t="inlineStr">
        <is>
          <t>截图 0411-5。超过追价上限还买了，赚了也是 C。下一步：限价单写死</t>
        </is>
      </c>
      <c r="AI9" s="43">
        <f>IF(A9="","",SUM(AC$5:AC9))</f>
        <v>5.52653298245614</v>
      </c>
      <c r="AJ9" s="45">
        <f>IF(A9="","",MAX(0,MAX(AI$5:AI9))-AI9)</f>
        <v>0</v>
      </c>
    </row>
    <row r="10" ht="32" customHeight="1">
      <c r="A10" s="29" t="n">
        <v>6</v>
      </c>
      <c r="B10" s="30" t="n">
        <v>47585</v>
      </c>
      <c r="C10" s="31" t="inlineStr">
        <is>
          <t>品种甲</t>
        </is>
      </c>
      <c r="D10" s="32" t="inlineStr">
        <is>
          <t>15分钟</t>
        </is>
      </c>
      <c r="E10" s="32" t="inlineStr">
        <is>
          <t>回踩</t>
        </is>
      </c>
      <c r="F10" s="32" t="inlineStr">
        <is>
          <t>多</t>
        </is>
      </c>
      <c r="G10" s="32" t="n">
        <v>10</v>
      </c>
      <c r="H10" s="32" t="n">
        <v>1</v>
      </c>
      <c r="I10" s="33" t="n">
        <v>3640</v>
      </c>
      <c r="J10" s="33" t="n">
        <v>3615</v>
      </c>
      <c r="K10" s="33" t="n">
        <v>3710</v>
      </c>
      <c r="L10" s="34">
        <f>IF(AND(ISNUMBER(I10),ISNUMBER(J10),ISNUMBER(K10)),IF(OR(AND(F10="多",I10&gt;J10),AND(F10="空",I10&lt;J10)),ABS(K10-I10)/ABS(I10-J10),"止损方向不对"),"")</f>
        <v>2.8</v>
      </c>
      <c r="M10" s="35">
        <f>IF(AND(ISNUMBER(I10),ISNUMBER(J10)),IF(I10=J10,"",IF(INT(ROUND('参数'!$C$7/(ABS(I10-J10)*IF(N(G10)&gt;0,G10,1)+2*(I10*IF(N(G10)&gt;0,G10,1)*'参数'!$C$12+'参数'!$C$13+'参数'!$C$14*IF(N(G10)&gt;0,G10,1)))/IF(N(H10)&gt;0,H10,1),6))*IF(N(H10)&gt;0,H10,1)&gt;0,INT(ROUND('参数'!$C$7/(ABS(I10-J10)*IF(N(G10)&gt;0,G10,1)+2*(I10*IF(N(G10)&gt;0,G10,1)*'参数'!$C$12+'参数'!$C$13+'参数'!$C$14*IF(N(G10)&gt;0,G10,1)))/IF(N(H10)&gt;0,H10,1),6))*IF(N(H10)&gt;0,H10,1),"预算不足，这笔不做")),"")</f>
        <v>3</v>
      </c>
      <c r="N10" s="36" t="n">
        <v>3</v>
      </c>
      <c r="O10" s="20">
        <f>IF(AND(ISNUMBER(I10),ISNUMBER(J10),ISNUMBER(N10)),IF(AND(I10&lt;&gt;J10,N10&gt;0),ABS(I10-J10)*N10*IF(N(G10)&gt;0,G10,1),""),"")</f>
        <v>750</v>
      </c>
      <c r="P10" s="31" t="inlineStr">
        <is>
          <t>回踩跌破 3615 不做</t>
        </is>
      </c>
      <c r="Q10" s="32" t="inlineStr">
        <is>
          <t>漏单</t>
        </is>
      </c>
      <c r="R10" s="37" t="str">
        <f>IF(N(U10)&gt;0,SUMPRODUCT(LARGE(('例-成交明细'!$A$5:$A$804=A10)*('例-成交明细'!$D$5:$D$804=IF(F10="空","卖","买"))*'例-成交明细'!$B$5:$B$804,COUNTIFS('例-成交明细'!$A$5:$A$804,A10,'例-成交明细'!$D$5:$D$804,IF(F10="空","卖","买")))),"")</f>
        <v/>
      </c>
      <c r="S10" s="37" t="str">
        <f>IF(AND(N(U10)&gt;0,N(W10)&gt;=N(U10)),SUMPRODUCT(MAX(('例-成交明细'!$A$5:$A$804=A10)*('例-成交明细'!$D$5:$D$804=IF(F10="空","买","卖"))*'例-成交明细'!$B$5:$B$804)),"")</f>
        <v/>
      </c>
      <c r="T10" s="38" t="str">
        <f>IF(N(U10)=0,"",IF(SUMPRODUCT(('例-成交明细'!$A$5:$A$804=A10)*('例-成交明细'!$D$5:$D$804=IF(F10="空","卖","买"))*ISNUMBER('例-成交明细'!$C$5:$C$804))=0,"没填时间",IFERROR(VLOOKUP(MOD(SUMPRODUCT(LARGE(('例-成交明细'!$A$5:$A$804=A10)*('例-成交明细'!$D$5:$D$804=IF(F10="空","卖","买"))*('例-成交明细'!$B$5:$B$804+'例-成交明细'!$C$5:$C$804),COUNTIFS('例-成交明细'!$A$5:$A$804,A10,'例-成交明细'!$D$5:$D$804,IF(F10="空","卖","买")))),1),'参数'!$B$39:$C$48,2,TRUE),"")))</f>
        <v/>
      </c>
      <c r="U10" s="35">
        <f>IF(A10="","",SUMIFS('例-成交明细'!$F$5:$F$804,'例-成交明细'!$A$5:$A$804,A10,'例-成交明细'!$D$5:$D$804,IF(F10="空","卖","买")))</f>
        <v>0</v>
      </c>
      <c r="V10" s="39" t="str">
        <f>IF(N(U10)&gt;0,SUMIFS('例-成交明细'!$H$5:$H$804,'例-成交明细'!$A$5:$A$804,A10,'例-成交明细'!$D$5:$D$804,IF(F10="空","卖","买"))/U10,"")</f>
        <v/>
      </c>
      <c r="W10" s="35">
        <f>IF(A10="","",SUMIFS('例-成交明细'!$F$5:$F$804,'例-成交明细'!$A$5:$A$804,A10,'例-成交明细'!$D$5:$D$804,IF(F10="空","买","卖")))</f>
        <v>0</v>
      </c>
      <c r="X10" s="39" t="str">
        <f>IF(N(W10)&gt;0,SUMIFS('例-成交明细'!$H$5:$H$804,'例-成交明细'!$A$5:$A$804,A10,'例-成交明细'!$D$5:$D$804,IF(F10="空","买","卖"))/W10,"")</f>
        <v/>
      </c>
      <c r="Y10" s="40" t="str">
        <f>IF(A10="","",IF(Q10&lt;&gt;"已执行",IF(Q10="","未填执行情况",Q10),IF(N(U10)=0,"待录成交",IF(N(W10)&gt;N(U10),"平仓多于开仓",IF(N(W10)&lt;N(U10),"持仓中","已平仓")))))</f>
        <v>漏单</v>
      </c>
      <c r="Z10" s="41" t="str">
        <f>IF(N(U10)=0,"",SUMIFS('例-成交明细'!$L$5:$L$804,'例-成交明细'!$A$5:$A$804,A10))</f>
        <v/>
      </c>
      <c r="AA10" s="42" t="str">
        <f>IF(Y10&lt;&gt;"已平仓","",(SUMIFS('例-成交明细'!$H$5:$H$804,'例-成交明细'!$A$5:$A$804,A10,'例-成交明细'!$D$5:$D$804,"卖")-SUMIFS('例-成交明细'!$H$5:$H$804,'例-成交明细'!$A$5:$A$804,A10,'例-成交明细'!$D$5:$D$804,"买"))*IF(N(G10)&gt;0,G10,1)-Z10)</f>
        <v/>
      </c>
      <c r="AB10" s="43" t="str">
        <f>IF(AND(Y10="已平仓",ISNUMBER(O10)),(SUMIFS('例-成交明细'!$H$5:$H$804,'例-成交明细'!$A$5:$A$804,A10,'例-成交明细'!$D$5:$D$804,"卖")-SUMIFS('例-成交明细'!$H$5:$H$804,'例-成交明细'!$A$5:$A$804,A10,'例-成交明细'!$D$5:$D$804,"买"))*IF(N(G10)&gt;0,G10,1)/O10,"")</f>
        <v/>
      </c>
      <c r="AC10" s="43" t="str">
        <f>IF(AND(Y10="已平仓",ISNUMBER(O10)),AA10/O10,"")</f>
        <v/>
      </c>
      <c r="AD10" s="44" t="str">
        <f>IF(AND(ISNUMBER(V10),ISNUMBER(I10)),IF(F10="空",I10-V10,V10-I10),"")</f>
        <v/>
      </c>
      <c r="AE10" s="44" t="str">
        <f>IF(OR(NOT(ISNUMBER(AA10)),NOT(ISNUMBER(X10))),"",IF(AA10&lt;0,IF(F10="空",X10-J10,J10-X10),IF(NOT(ISNUMBER(K10)),"",IF(F10="空",X10-K10,K10-X10))))</f>
        <v/>
      </c>
      <c r="AF10" s="32" t="n"/>
      <c r="AG10" s="32" t="n"/>
      <c r="AH10" s="31" t="inlineStr">
        <is>
          <t>开会没看到，记漏单。下次提前挂条件单</t>
        </is>
      </c>
      <c r="AI10" s="43">
        <f>IF(A10="","",SUM(AC$5:AC10))</f>
        <v>5.52653298245614</v>
      </c>
      <c r="AJ10" s="45">
        <f>IF(A10="","",MAX(0,MAX(AI$5:AI10))-AI10)</f>
        <v>0</v>
      </c>
    </row>
    <row r="11" ht="46" customHeight="1">
      <c r="A11" s="29" t="n">
        <v>7</v>
      </c>
      <c r="B11" s="30" t="n">
        <v>47588</v>
      </c>
      <c r="C11" s="31" t="inlineStr">
        <is>
          <t>品种甲</t>
        </is>
      </c>
      <c r="D11" s="32" t="inlineStr">
        <is>
          <t>15分钟</t>
        </is>
      </c>
      <c r="E11" s="32" t="inlineStr">
        <is>
          <t>回踩</t>
        </is>
      </c>
      <c r="F11" s="32" t="inlineStr">
        <is>
          <t>多</t>
        </is>
      </c>
      <c r="G11" s="32" t="n">
        <v>10</v>
      </c>
      <c r="H11" s="32" t="n">
        <v>1</v>
      </c>
      <c r="I11" s="33" t="n">
        <v>3650</v>
      </c>
      <c r="J11" s="33" t="n">
        <v>3625</v>
      </c>
      <c r="K11" s="33" t="n">
        <v>3720</v>
      </c>
      <c r="L11" s="34">
        <f>IF(AND(ISNUMBER(I11),ISNUMBER(J11),ISNUMBER(K11)),IF(OR(AND(F11="多",I11&gt;J11),AND(F11="空",I11&lt;J11)),ABS(K11-I11)/ABS(I11-J11),"止损方向不对"),"")</f>
        <v>2.8</v>
      </c>
      <c r="M11" s="35">
        <f>IF(AND(ISNUMBER(I11),ISNUMBER(J11)),IF(I11=J11,"",IF(INT(ROUND('参数'!$C$7/(ABS(I11-J11)*IF(N(G11)&gt;0,G11,1)+2*(I11*IF(N(G11)&gt;0,G11,1)*'参数'!$C$12+'参数'!$C$13+'参数'!$C$14*IF(N(G11)&gt;0,G11,1)))/IF(N(H11)&gt;0,H11,1),6))*IF(N(H11)&gt;0,H11,1)&gt;0,INT(ROUND('参数'!$C$7/(ABS(I11-J11)*IF(N(G11)&gt;0,G11,1)+2*(I11*IF(N(G11)&gt;0,G11,1)*'参数'!$C$12+'参数'!$C$13+'参数'!$C$14*IF(N(G11)&gt;0,G11,1)))/IF(N(H11)&gt;0,H11,1),6))*IF(N(H11)&gt;0,H11,1),"预算不足，这笔不做")),"")</f>
        <v>3</v>
      </c>
      <c r="N11" s="36" t="n">
        <v>3</v>
      </c>
      <c r="O11" s="20">
        <f>IF(AND(ISNUMBER(I11),ISNUMBER(J11),ISNUMBER(N11)),IF(AND(I11&lt;&gt;J11,N11&gt;0),ABS(I11-J11)*N11*IF(N(G11)&gt;0,G11,1),""),"")</f>
        <v>750</v>
      </c>
      <c r="P11" s="31" t="inlineStr">
        <is>
          <t>夜盘跌破 3625 就走</t>
        </is>
      </c>
      <c r="Q11" s="32" t="inlineStr">
        <is>
          <t>已执行</t>
        </is>
      </c>
      <c r="R11" s="37">
        <f>IF(N(U11)&gt;0,SUMPRODUCT(LARGE(('例-成交明细'!$A$5:$A$804=A11)*('例-成交明细'!$D$5:$D$804=IF(F11="空","卖","买"))*'例-成交明细'!$B$5:$B$804,COUNTIFS('例-成交明细'!$A$5:$A$804,A11,'例-成交明细'!$D$5:$D$804,IF(F11="空","卖","买")))),"")</f>
        <v>47588.0</v>
      </c>
      <c r="S11" s="37">
        <f>IF(AND(N(U11)&gt;0,N(W11)&gt;=N(U11)),SUMPRODUCT(MAX(('例-成交明细'!$A$5:$A$804=A11)*('例-成交明细'!$D$5:$D$804=IF(F11="空","买","卖"))*'例-成交明细'!$B$5:$B$804)),"")</f>
        <v>47589.0</v>
      </c>
      <c r="T11" s="38" t="str">
        <f>IF(N(U11)=0,"",IF(SUMPRODUCT(('例-成交明细'!$A$5:$A$804=A11)*('例-成交明细'!$D$5:$D$804=IF(F11="空","卖","买"))*ISNUMBER('例-成交明细'!$C$5:$C$804))=0,"没填时间",IFERROR(VLOOKUP(MOD(SUMPRODUCT(LARGE(('例-成交明细'!$A$5:$A$804=A11)*('例-成交明细'!$D$5:$D$804=IF(F11="空","卖","买"))*('例-成交明细'!$B$5:$B$804+'例-成交明细'!$C$5:$C$804),COUNTIFS('例-成交明细'!$A$5:$A$804,A11,'例-成交明细'!$D$5:$D$804,IF(F11="空","卖","买")))),1),'参数'!$B$39:$C$48,2,TRUE),"")))</f>
        <v>夜盘</v>
      </c>
      <c r="U11" s="35">
        <f>IF(A11="","",SUMIFS('例-成交明细'!$F$5:$F$804,'例-成交明细'!$A$5:$A$804,A11,'例-成交明细'!$D$5:$D$804,IF(F11="空","卖","买")))</f>
        <v>3</v>
      </c>
      <c r="V11" s="39">
        <f>IF(N(U11)&gt;0,SUMIFS('例-成交明细'!$H$5:$H$804,'例-成交明细'!$A$5:$A$804,A11,'例-成交明细'!$D$5:$D$804,IF(F11="空","卖","买"))/U11,"")</f>
        <v>3651</v>
      </c>
      <c r="W11" s="35">
        <f>IF(A11="","",SUMIFS('例-成交明细'!$F$5:$F$804,'例-成交明细'!$A$5:$A$804,A11,'例-成交明细'!$D$5:$D$804,IF(F11="空","买","卖")))</f>
        <v>3</v>
      </c>
      <c r="X11" s="39">
        <f>IF(N(W11)&gt;0,SUMIFS('例-成交明细'!$H$5:$H$804,'例-成交明细'!$A$5:$A$804,A11,'例-成交明细'!$D$5:$D$804,IF(F11="空","买","卖"))/W11,"")</f>
        <v>3610</v>
      </c>
      <c r="Y11" s="40" t="str">
        <f>IF(A11="","",IF(Q11&lt;&gt;"已执行",IF(Q11="","未填执行情况",Q11),IF(N(U11)=0,"待录成交",IF(N(W11)&gt;N(U11),"平仓多于开仓",IF(N(W11)&lt;N(U11),"持仓中","已平仓")))))</f>
        <v>已平仓</v>
      </c>
      <c r="Z11" s="41">
        <f>IF(N(U11)=0,"",SUMIFS('例-成交明细'!$L$5:$L$804,'例-成交明细'!$A$5:$A$804,A11))</f>
        <v>65.35</v>
      </c>
      <c r="AA11" s="42">
        <f>IF(Y11&lt;&gt;"已平仓","",(SUMIFS('例-成交明细'!$H$5:$H$804,'例-成交明细'!$A$5:$A$804,A11,'例-成交明细'!$D$5:$D$804,"卖")-SUMIFS('例-成交明细'!$H$5:$H$804,'例-成交明细'!$A$5:$A$804,A11,'例-成交明细'!$D$5:$D$804,"买"))*IF(N(G11)&gt;0,G11,1)-Z11)</f>
        <v>-1295.35</v>
      </c>
      <c r="AB11" s="43">
        <f>IF(AND(Y11="已平仓",ISNUMBER(O11)),(SUMIFS('例-成交明细'!$H$5:$H$804,'例-成交明细'!$A$5:$A$804,A11,'例-成交明细'!$D$5:$D$804,"卖")-SUMIFS('例-成交明细'!$H$5:$H$804,'例-成交明细'!$A$5:$A$804,A11,'例-成交明细'!$D$5:$D$804,"买"))*IF(N(G11)&gt;0,G11,1)/O11,"")</f>
        <v>-1.64</v>
      </c>
      <c r="AC11" s="43">
        <f>IF(AND(Y11="已平仓",ISNUMBER(O11)),AA11/O11,"")</f>
        <v>-1.72713333333333</v>
      </c>
      <c r="AD11" s="44">
        <f>IF(AND(ISNUMBER(V11),ISNUMBER(I11)),IF(F11="空",I11-V11,V11-I11),"")</f>
        <v>1</v>
      </c>
      <c r="AE11" s="44">
        <f>IF(OR(NOT(ISNUMBER(AA11)),NOT(ISNUMBER(X11))),"",IF(AA11&lt;0,IF(F11="空",X11-J11,J11-X11),IF(NOT(ISNUMBER(K11)),"",IF(F11="空",X11-K11,K11-X11))))</f>
        <v>15</v>
      </c>
      <c r="AF11" s="32" t="inlineStr">
        <is>
          <t>C</t>
        </is>
      </c>
      <c r="AG11" s="32" t="inlineStr">
        <is>
          <t>止损挪远</t>
        </is>
      </c>
      <c r="AH11" s="31" t="inlineStr">
        <is>
          <t>截图 0415-7。夜盘破止损没走，第二天低开更多。下一步：止损单挂在系统里</t>
        </is>
      </c>
      <c r="AI11" s="43">
        <f>IF(A11="","",SUM(AC$5:AC11))</f>
        <v>3.79939964912281</v>
      </c>
      <c r="AJ11" s="45">
        <f>IF(A11="","",MAX(0,MAX(AI$5:AI11))-AI11)</f>
        <v>1.72713333333333</v>
      </c>
    </row>
    <row r="12" ht="32" customHeight="1">
      <c r="A12" s="29" t="n">
        <v>8</v>
      </c>
      <c r="B12" s="30" t="n">
        <v>47589</v>
      </c>
      <c r="C12" s="31" t="inlineStr">
        <is>
          <t>品种乙</t>
        </is>
      </c>
      <c r="D12" s="32" t="inlineStr">
        <is>
          <t>日线</t>
        </is>
      </c>
      <c r="E12" s="32" t="inlineStr">
        <is>
          <t>回踩</t>
        </is>
      </c>
      <c r="F12" s="32" t="inlineStr">
        <is>
          <t>多</t>
        </is>
      </c>
      <c r="G12" s="32" t="n">
        <v>1</v>
      </c>
      <c r="H12" s="32" t="n">
        <v>100</v>
      </c>
      <c r="I12" s="33" t="n">
        <v>26</v>
      </c>
      <c r="J12" s="33" t="n">
        <v>25.5</v>
      </c>
      <c r="K12" s="33" t="n">
        <v>27.5</v>
      </c>
      <c r="L12" s="34">
        <f>IF(AND(ISNUMBER(I12),ISNUMBER(J12),ISNUMBER(K12)),IF(OR(AND(F12="多",I12&gt;J12),AND(F12="空",I12&lt;J12)),ABS(K12-I12)/ABS(I12-J12),"止损方向不对"),"")</f>
        <v>3</v>
      </c>
      <c r="M12" s="35">
        <f>IF(AND(ISNUMBER(I12),ISNUMBER(J12)),IF(I12=J12,"",IF(INT(ROUND('参数'!$C$7/(ABS(I12-J12)*IF(N(G12)&gt;0,G12,1)+2*(I12*IF(N(G12)&gt;0,G12,1)*'参数'!$C$12+'参数'!$C$13+'参数'!$C$14*IF(N(G12)&gt;0,G12,1)))/IF(N(H12)&gt;0,H12,1),6))*IF(N(H12)&gt;0,H12,1)&gt;0,INT(ROUND('参数'!$C$7/(ABS(I12-J12)*IF(N(G12)&gt;0,G12,1)+2*(I12*IF(N(G12)&gt;0,G12,1)*'参数'!$C$12+'参数'!$C$13+'参数'!$C$14*IF(N(G12)&gt;0,G12,1)))/IF(N(H12)&gt;0,H12,1),6))*IF(N(H12)&gt;0,H12,1),"预算不足，这笔不做")),"")</f>
        <v>1900</v>
      </c>
      <c r="N12" s="36" t="n">
        <v>1900</v>
      </c>
      <c r="O12" s="20">
        <f>IF(AND(ISNUMBER(I12),ISNUMBER(J12),ISNUMBER(N12)),IF(AND(I12&lt;&gt;J12,N12&gt;0),ABS(I12-J12)*N12*IF(N(G12)&gt;0,G12,1),""),"")</f>
        <v>950</v>
      </c>
      <c r="P12" s="31" t="inlineStr">
        <is>
          <t>大盘跌超 1% 不做</t>
        </is>
      </c>
      <c r="Q12" s="32" t="inlineStr">
        <is>
          <t>主动放弃</t>
        </is>
      </c>
      <c r="R12" s="37" t="str">
        <f>IF(N(U12)&gt;0,SUMPRODUCT(LARGE(('例-成交明细'!$A$5:$A$804=A12)*('例-成交明细'!$D$5:$D$804=IF(F12="空","卖","买"))*'例-成交明细'!$B$5:$B$804,COUNTIFS('例-成交明细'!$A$5:$A$804,A12,'例-成交明细'!$D$5:$D$804,IF(F12="空","卖","买")))),"")</f>
        <v/>
      </c>
      <c r="S12" s="37" t="str">
        <f>IF(AND(N(U12)&gt;0,N(W12)&gt;=N(U12)),SUMPRODUCT(MAX(('例-成交明细'!$A$5:$A$804=A12)*('例-成交明细'!$D$5:$D$804=IF(F12="空","买","卖"))*'例-成交明细'!$B$5:$B$804)),"")</f>
        <v/>
      </c>
      <c r="T12" s="38" t="str">
        <f>IF(N(U12)=0,"",IF(SUMPRODUCT(('例-成交明细'!$A$5:$A$804=A12)*('例-成交明细'!$D$5:$D$804=IF(F12="空","卖","买"))*ISNUMBER('例-成交明细'!$C$5:$C$804))=0,"没填时间",IFERROR(VLOOKUP(MOD(SUMPRODUCT(LARGE(('例-成交明细'!$A$5:$A$804=A12)*('例-成交明细'!$D$5:$D$804=IF(F12="空","卖","买"))*('例-成交明细'!$B$5:$B$804+'例-成交明细'!$C$5:$C$804),COUNTIFS('例-成交明细'!$A$5:$A$804,A12,'例-成交明细'!$D$5:$D$804,IF(F12="空","卖","买")))),1),'参数'!$B$39:$C$48,2,TRUE),"")))</f>
        <v/>
      </c>
      <c r="U12" s="35">
        <f>IF(A12="","",SUMIFS('例-成交明细'!$F$5:$F$804,'例-成交明细'!$A$5:$A$804,A12,'例-成交明细'!$D$5:$D$804,IF(F12="空","卖","买")))</f>
        <v>0</v>
      </c>
      <c r="V12" s="39" t="str">
        <f>IF(N(U12)&gt;0,SUMIFS('例-成交明细'!$H$5:$H$804,'例-成交明细'!$A$5:$A$804,A12,'例-成交明细'!$D$5:$D$804,IF(F12="空","卖","买"))/U12,"")</f>
        <v/>
      </c>
      <c r="W12" s="35">
        <f>IF(A12="","",SUMIFS('例-成交明细'!$F$5:$F$804,'例-成交明细'!$A$5:$A$804,A12,'例-成交明细'!$D$5:$D$804,IF(F12="空","买","卖")))</f>
        <v>0</v>
      </c>
      <c r="X12" s="39" t="str">
        <f>IF(N(W12)&gt;0,SUMIFS('例-成交明细'!$H$5:$H$804,'例-成交明细'!$A$5:$A$804,A12,'例-成交明细'!$D$5:$D$804,IF(F12="空","买","卖"))/W12,"")</f>
        <v/>
      </c>
      <c r="Y12" s="40" t="str">
        <f>IF(A12="","",IF(Q12&lt;&gt;"已执行",IF(Q12="","未填执行情况",Q12),IF(N(U12)=0,"待录成交",IF(N(W12)&gt;N(U12),"平仓多于开仓",IF(N(W12)&lt;N(U12),"持仓中","已平仓")))))</f>
        <v>主动放弃</v>
      </c>
      <c r="Z12" s="41" t="str">
        <f>IF(N(U12)=0,"",SUMIFS('例-成交明细'!$L$5:$L$804,'例-成交明细'!$A$5:$A$804,A12))</f>
        <v/>
      </c>
      <c r="AA12" s="42" t="str">
        <f>IF(Y12&lt;&gt;"已平仓","",(SUMIFS('例-成交明细'!$H$5:$H$804,'例-成交明细'!$A$5:$A$804,A12,'例-成交明细'!$D$5:$D$804,"卖")-SUMIFS('例-成交明细'!$H$5:$H$804,'例-成交明细'!$A$5:$A$804,A12,'例-成交明细'!$D$5:$D$804,"买"))*IF(N(G12)&gt;0,G12,1)-Z12)</f>
        <v/>
      </c>
      <c r="AB12" s="43" t="str">
        <f>IF(AND(Y12="已平仓",ISNUMBER(O12)),(SUMIFS('例-成交明细'!$H$5:$H$804,'例-成交明细'!$A$5:$A$804,A12,'例-成交明细'!$D$5:$D$804,"卖")-SUMIFS('例-成交明细'!$H$5:$H$804,'例-成交明细'!$A$5:$A$804,A12,'例-成交明细'!$D$5:$D$804,"买"))*IF(N(G12)&gt;0,G12,1)/O12,"")</f>
        <v/>
      </c>
      <c r="AC12" s="43" t="str">
        <f>IF(AND(Y12="已平仓",ISNUMBER(O12)),AA12/O12,"")</f>
        <v/>
      </c>
      <c r="AD12" s="44" t="str">
        <f>IF(AND(ISNUMBER(V12),ISNUMBER(I12)),IF(F12="空",I12-V12,V12-I12),"")</f>
        <v/>
      </c>
      <c r="AE12" s="44" t="str">
        <f>IF(OR(NOT(ISNUMBER(AA12)),NOT(ISNUMBER(X12))),"",IF(AA12&lt;0,IF(F12="空",X12-J12,J12-X12),IF(NOT(ISNUMBER(K12)),"",IF(F12="空",X12-K12,K12-X12))))</f>
        <v/>
      </c>
      <c r="AF12" s="32" t="n"/>
      <c r="AG12" s="32" t="n"/>
      <c r="AH12" s="31" t="inlineStr">
        <is>
          <t>盘前写了计划，开盘条件不满足，按规则放弃</t>
        </is>
      </c>
      <c r="AI12" s="43">
        <f>IF(A12="","",SUM(AC$5:AC12))</f>
        <v>3.79939964912281</v>
      </c>
      <c r="AJ12" s="45">
        <f>IF(A12="","",MAX(0,MAX(AI$5:AI12))-AI12)</f>
        <v>1.72713333333333</v>
      </c>
    </row>
    <row r="13" ht="32" customHeight="1">
      <c r="A13" s="29" t="n">
        <v>9</v>
      </c>
      <c r="B13" s="30" t="n">
        <v>47590</v>
      </c>
      <c r="C13" s="31" t="inlineStr">
        <is>
          <t>品种甲</t>
        </is>
      </c>
      <c r="D13" s="32" t="inlineStr">
        <is>
          <t>15分钟</t>
        </is>
      </c>
      <c r="E13" s="32" t="inlineStr">
        <is>
          <t>突破</t>
        </is>
      </c>
      <c r="F13" s="32" t="inlineStr">
        <is>
          <t>空</t>
        </is>
      </c>
      <c r="G13" s="32" t="n">
        <v>10</v>
      </c>
      <c r="H13" s="32" t="n">
        <v>1</v>
      </c>
      <c r="I13" s="33" t="n">
        <v>3600</v>
      </c>
      <c r="J13" s="33" t="n">
        <v>3625</v>
      </c>
      <c r="K13" s="33" t="n">
        <v>3530</v>
      </c>
      <c r="L13" s="34">
        <f>IF(AND(ISNUMBER(I13),ISNUMBER(J13),ISNUMBER(K13)),IF(OR(AND(F13="多",I13&gt;J13),AND(F13="空",I13&lt;J13)),ABS(K13-I13)/ABS(I13-J13),"止损方向不对"),"")</f>
        <v>2.8</v>
      </c>
      <c r="M13" s="35">
        <f>IF(AND(ISNUMBER(I13),ISNUMBER(J13)),IF(I13=J13,"",IF(INT(ROUND('参数'!$C$7/(ABS(I13-J13)*IF(N(G13)&gt;0,G13,1)+2*(I13*IF(N(G13)&gt;0,G13,1)*'参数'!$C$12+'参数'!$C$13+'参数'!$C$14*IF(N(G13)&gt;0,G13,1)))/IF(N(H13)&gt;0,H13,1),6))*IF(N(H13)&gt;0,H13,1)&gt;0,INT(ROUND('参数'!$C$7/(ABS(I13-J13)*IF(N(G13)&gt;0,G13,1)+2*(I13*IF(N(G13)&gt;0,G13,1)*'参数'!$C$12+'参数'!$C$13+'参数'!$C$14*IF(N(G13)&gt;0,G13,1)))/IF(N(H13)&gt;0,H13,1),6))*IF(N(H13)&gt;0,H13,1),"预算不足，这笔不做")),"")</f>
        <v>3</v>
      </c>
      <c r="N13" s="36" t="n">
        <v>3</v>
      </c>
      <c r="O13" s="20">
        <f>IF(AND(ISNUMBER(I13),ISNUMBER(J13),ISNUMBER(N13)),IF(AND(I13&lt;&gt;J13,N13&gt;0),ABS(I13-J13)*N13*IF(N(G13)&gt;0,G13,1),""),"")</f>
        <v>750</v>
      </c>
      <c r="P13" s="31" t="inlineStr">
        <is>
          <t>反抽站回 3625 就走</t>
        </is>
      </c>
      <c r="Q13" s="32" t="inlineStr">
        <is>
          <t>已执行</t>
        </is>
      </c>
      <c r="R13" s="37">
        <f>IF(N(U13)&gt;0,SUMPRODUCT(LARGE(('例-成交明细'!$A$5:$A$804=A13)*('例-成交明细'!$D$5:$D$804=IF(F13="空","卖","买"))*'例-成交明细'!$B$5:$B$804,COUNTIFS('例-成交明细'!$A$5:$A$804,A13,'例-成交明细'!$D$5:$D$804,IF(F13="空","卖","买")))),"")</f>
        <v>47590.0</v>
      </c>
      <c r="S13" s="37">
        <f>IF(AND(N(U13)&gt;0,N(W13)&gt;=N(U13)),SUMPRODUCT(MAX(('例-成交明细'!$A$5:$A$804=A13)*('例-成交明细'!$D$5:$D$804=IF(F13="空","买","卖"))*'例-成交明细'!$B$5:$B$804)),"")</f>
        <v>47591.0</v>
      </c>
      <c r="T13" s="38" t="str">
        <f>IF(N(U13)=0,"",IF(SUMPRODUCT(('例-成交明细'!$A$5:$A$804=A13)*('例-成交明细'!$D$5:$D$804=IF(F13="空","卖","买"))*ISNUMBER('例-成交明细'!$C$5:$C$804))=0,"没填时间",IFERROR(VLOOKUP(MOD(SUMPRODUCT(LARGE(('例-成交明细'!$A$5:$A$804=A13)*('例-成交明细'!$D$5:$D$804=IF(F13="空","卖","买"))*('例-成交明细'!$B$5:$B$804+'例-成交明细'!$C$5:$C$804),COUNTIFS('例-成交明细'!$A$5:$A$804,A13,'例-成交明细'!$D$5:$D$804,IF(F13="空","卖","买")))),1),'参数'!$B$39:$C$48,2,TRUE),"")))</f>
        <v>开盘 30 分钟</v>
      </c>
      <c r="U13" s="35">
        <f>IF(A13="","",SUMIFS('例-成交明细'!$F$5:$F$804,'例-成交明细'!$A$5:$A$804,A13,'例-成交明细'!$D$5:$D$804,IF(F13="空","卖","买")))</f>
        <v>3</v>
      </c>
      <c r="V13" s="39">
        <f>IF(N(U13)&gt;0,SUMIFS('例-成交明细'!$H$5:$H$804,'例-成交明细'!$A$5:$A$804,A13,'例-成交明细'!$D$5:$D$804,IF(F13="空","卖","买"))/U13,"")</f>
        <v>3597.33333333333</v>
      </c>
      <c r="W13" s="35">
        <f>IF(A13="","",SUMIFS('例-成交明细'!$F$5:$F$804,'例-成交明细'!$A$5:$A$804,A13,'例-成交明细'!$D$5:$D$804,IF(F13="空","买","卖")))</f>
        <v>3</v>
      </c>
      <c r="X13" s="39">
        <f>IF(N(W13)&gt;0,SUMIFS('例-成交明细'!$H$5:$H$804,'例-成交明细'!$A$5:$A$804,A13,'例-成交明细'!$D$5:$D$804,IF(F13="空","买","卖"))/W13,"")</f>
        <v>3540</v>
      </c>
      <c r="Y13" s="40" t="str">
        <f>IF(A13="","",IF(Q13&lt;&gt;"已执行",IF(Q13="","未填执行情况",Q13),IF(N(U13)=0,"待录成交",IF(N(W13)&gt;N(U13),"平仓多于开仓",IF(N(W13)&lt;N(U13),"持仓中","已平仓")))))</f>
        <v>已平仓</v>
      </c>
      <c r="Z13" s="41">
        <f>IF(N(U13)=0,"",SUMIFS('例-成交明细'!$L$5:$L$804,'例-成交明细'!$A$5:$A$804,A13))</f>
        <v>64.24</v>
      </c>
      <c r="AA13" s="42">
        <f>IF(Y13&lt;&gt;"已平仓","",(SUMIFS('例-成交明细'!$H$5:$H$804,'例-成交明细'!$A$5:$A$804,A13,'例-成交明细'!$D$5:$D$804,"卖")-SUMIFS('例-成交明细'!$H$5:$H$804,'例-成交明细'!$A$5:$A$804,A13,'例-成交明细'!$D$5:$D$804,"买"))*IF(N(G13)&gt;0,G13,1)-Z13)</f>
        <v>1655.76</v>
      </c>
      <c r="AB13" s="43">
        <f>IF(AND(Y13="已平仓",ISNUMBER(O13)),(SUMIFS('例-成交明细'!$H$5:$H$804,'例-成交明细'!$A$5:$A$804,A13,'例-成交明细'!$D$5:$D$804,"卖")-SUMIFS('例-成交明细'!$H$5:$H$804,'例-成交明细'!$A$5:$A$804,A13,'例-成交明细'!$D$5:$D$804,"买"))*IF(N(G13)&gt;0,G13,1)/O13,"")</f>
        <v>2.29333333333333</v>
      </c>
      <c r="AC13" s="43">
        <f>IF(AND(Y13="已平仓",ISNUMBER(O13)),AA13/O13,"")</f>
        <v>2.20768</v>
      </c>
      <c r="AD13" s="44">
        <f>IF(AND(ISNUMBER(V13),ISNUMBER(I13)),IF(F13="空",I13-V13,V13-I13),"")</f>
        <v>2.66666666666652</v>
      </c>
      <c r="AE13" s="44">
        <f>IF(OR(NOT(ISNUMBER(AA13)),NOT(ISNUMBER(X13))),"",IF(AA13&lt;0,IF(F13="空",X13-J13,J13-X13),IF(NOT(ISNUMBER(K13)),"",IF(F13="空",X13-K13,K13-X13))))</f>
        <v>10</v>
      </c>
      <c r="AF13" s="32" t="inlineStr">
        <is>
          <t>A</t>
        </is>
      </c>
      <c r="AG13" s="32" t="inlineStr">
        <is>
          <t>无</t>
        </is>
      </c>
      <c r="AH13" s="31" t="inlineStr">
        <is>
          <t>分两笔开空，到目标一次平</t>
        </is>
      </c>
      <c r="AI13" s="43">
        <f>IF(A13="","",SUM(AC$5:AC13))</f>
        <v>6.00707964912281</v>
      </c>
      <c r="AJ13" s="45">
        <f>IF(A13="","",MAX(0,MAX(AI$5:AI13))-AI13)</f>
        <v>0</v>
      </c>
    </row>
    <row r="14" ht="32" customHeight="1">
      <c r="A14" s="29" t="n">
        <v>10</v>
      </c>
      <c r="B14" s="30" t="n">
        <v>47591</v>
      </c>
      <c r="C14" s="31" t="inlineStr">
        <is>
          <t>品种乙</t>
        </is>
      </c>
      <c r="D14" s="32" t="inlineStr">
        <is>
          <t>日线</t>
        </is>
      </c>
      <c r="E14" s="32" t="inlineStr">
        <is>
          <t>回踩</t>
        </is>
      </c>
      <c r="F14" s="32" t="inlineStr">
        <is>
          <t>多</t>
        </is>
      </c>
      <c r="G14" s="32" t="n">
        <v>1</v>
      </c>
      <c r="H14" s="32" t="n">
        <v>100</v>
      </c>
      <c r="I14" s="33" t="n">
        <v>26.2</v>
      </c>
      <c r="J14" s="33" t="n">
        <v>25.7</v>
      </c>
      <c r="K14" s="33" t="n">
        <v>27.7</v>
      </c>
      <c r="L14" s="34">
        <f>IF(AND(ISNUMBER(I14),ISNUMBER(J14),ISNUMBER(K14)),IF(OR(AND(F14="多",I14&gt;J14),AND(F14="空",I14&lt;J14)),ABS(K14-I14)/ABS(I14-J14),"止损方向不对"),"")</f>
        <v>3</v>
      </c>
      <c r="M14" s="35">
        <f>IF(AND(ISNUMBER(I14),ISNUMBER(J14)),IF(I14=J14,"",IF(INT(ROUND('参数'!$C$7/(ABS(I14-J14)*IF(N(G14)&gt;0,G14,1)+2*(I14*IF(N(G14)&gt;0,G14,1)*'参数'!$C$12+'参数'!$C$13+'参数'!$C$14*IF(N(G14)&gt;0,G14,1)))/IF(N(H14)&gt;0,H14,1),6))*IF(N(H14)&gt;0,H14,1)&gt;0,INT(ROUND('参数'!$C$7/(ABS(I14-J14)*IF(N(G14)&gt;0,G14,1)+2*(I14*IF(N(G14)&gt;0,G14,1)*'参数'!$C$12+'参数'!$C$13+'参数'!$C$14*IF(N(G14)&gt;0,G14,1)))/IF(N(H14)&gt;0,H14,1),6))*IF(N(H14)&gt;0,H14,1),"预算不足，这笔不做")),"")</f>
        <v>1900</v>
      </c>
      <c r="N14" s="36" t="n">
        <v>1900</v>
      </c>
      <c r="O14" s="20">
        <f>IF(AND(ISNUMBER(I14),ISNUMBER(J14),ISNUMBER(N14)),IF(AND(I14&lt;&gt;J14,N14&gt;0),ABS(I14-J14)*N14*IF(N(G14)&gt;0,G14,1),""),"")</f>
        <v>950</v>
      </c>
      <c r="P14" s="31" t="inlineStr">
        <is>
          <t>收盘跌破 25.70 就走</t>
        </is>
      </c>
      <c r="Q14" s="32" t="inlineStr">
        <is>
          <t>已执行</t>
        </is>
      </c>
      <c r="R14" s="37">
        <f>IF(N(U14)&gt;0,SUMPRODUCT(LARGE(('例-成交明细'!$A$5:$A$804=A14)*('例-成交明细'!$D$5:$D$804=IF(F14="空","卖","买"))*'例-成交明细'!$B$5:$B$804,COUNTIFS('例-成交明细'!$A$5:$A$804,A14,'例-成交明细'!$D$5:$D$804,IF(F14="空","卖","买")))),"")</f>
        <v>47591.0</v>
      </c>
      <c r="S14" s="37" t="str">
        <f>IF(AND(N(U14)&gt;0,N(W14)&gt;=N(U14)),SUMPRODUCT(MAX(('例-成交明细'!$A$5:$A$804=A14)*('例-成交明细'!$D$5:$D$804=IF(F14="空","买","卖"))*'例-成交明细'!$B$5:$B$804)),"")</f>
        <v/>
      </c>
      <c r="T14" s="38" t="str">
        <f>IF(N(U14)=0,"",IF(SUMPRODUCT(('例-成交明细'!$A$5:$A$804=A14)*('例-成交明细'!$D$5:$D$804=IF(F14="空","卖","买"))*ISNUMBER('例-成交明细'!$C$5:$C$804))=0,"没填时间",IFERROR(VLOOKUP(MOD(SUMPRODUCT(LARGE(('例-成交明细'!$A$5:$A$804=A14)*('例-成交明细'!$D$5:$D$804=IF(F14="空","卖","买"))*('例-成交明细'!$B$5:$B$804+'例-成交明细'!$C$5:$C$804),COUNTIFS('例-成交明细'!$A$5:$A$804,A14,'例-成交明细'!$D$5:$D$804,IF(F14="空","卖","买")))),1),'参数'!$B$39:$C$48,2,TRUE),"")))</f>
        <v>开盘 30 分钟</v>
      </c>
      <c r="U14" s="35">
        <f>IF(A14="","",SUMIFS('例-成交明细'!$F$5:$F$804,'例-成交明细'!$A$5:$A$804,A14,'例-成交明细'!$D$5:$D$804,IF(F14="空","卖","买")))</f>
        <v>1900</v>
      </c>
      <c r="V14" s="39">
        <f>IF(N(U14)&gt;0,SUMIFS('例-成交明细'!$H$5:$H$804,'例-成交明细'!$A$5:$A$804,A14,'例-成交明细'!$D$5:$D$804,IF(F14="空","卖","买"))/U14,"")</f>
        <v>26.22</v>
      </c>
      <c r="W14" s="35">
        <f>IF(A14="","",SUMIFS('例-成交明细'!$F$5:$F$804,'例-成交明细'!$A$5:$A$804,A14,'例-成交明细'!$D$5:$D$804,IF(F14="空","买","卖")))</f>
        <v>900</v>
      </c>
      <c r="X14" s="39">
        <f>IF(N(W14)&gt;0,SUMIFS('例-成交明细'!$H$5:$H$804,'例-成交明细'!$A$5:$A$804,A14,'例-成交明细'!$D$5:$D$804,IF(F14="空","买","卖"))/W14,"")</f>
        <v>26.9</v>
      </c>
      <c r="Y14" s="40" t="str">
        <f>IF(A14="","",IF(Q14&lt;&gt;"已执行",IF(Q14="","未填执行情况",Q14),IF(N(U14)=0,"待录成交",IF(N(W14)&gt;N(U14),"平仓多于开仓",IF(N(W14)&lt;N(U14),"持仓中","已平仓")))))</f>
        <v>持仓中</v>
      </c>
      <c r="Z14" s="41">
        <f>IF(N(U14)=0,"",SUMIFS('例-成交明细'!$L$5:$L$804,'例-成交明细'!$A$5:$A$804,A14))</f>
        <v>22.21</v>
      </c>
      <c r="AA14" s="42" t="str">
        <f>IF(Y14&lt;&gt;"已平仓","",(SUMIFS('例-成交明细'!$H$5:$H$804,'例-成交明细'!$A$5:$A$804,A14,'例-成交明细'!$D$5:$D$804,"卖")-SUMIFS('例-成交明细'!$H$5:$H$804,'例-成交明细'!$A$5:$A$804,A14,'例-成交明细'!$D$5:$D$804,"买"))*IF(N(G14)&gt;0,G14,1)-Z14)</f>
        <v/>
      </c>
      <c r="AB14" s="43" t="str">
        <f>IF(AND(Y14="已平仓",ISNUMBER(O14)),(SUMIFS('例-成交明细'!$H$5:$H$804,'例-成交明细'!$A$5:$A$804,A14,'例-成交明细'!$D$5:$D$804,"卖")-SUMIFS('例-成交明细'!$H$5:$H$804,'例-成交明细'!$A$5:$A$804,A14,'例-成交明细'!$D$5:$D$804,"买"))*IF(N(G14)&gt;0,G14,1)/O14,"")</f>
        <v/>
      </c>
      <c r="AC14" s="43" t="str">
        <f>IF(AND(Y14="已平仓",ISNUMBER(O14)),AA14/O14,"")</f>
        <v/>
      </c>
      <c r="AD14" s="44">
        <f>IF(AND(ISNUMBER(V14),ISNUMBER(I14)),IF(F14="空",I14-V14,V14-I14),"")</f>
        <v>0.0199999999999996</v>
      </c>
      <c r="AE14" s="44" t="str">
        <f>IF(OR(NOT(ISNUMBER(AA14)),NOT(ISNUMBER(X14))),"",IF(AA14&lt;0,IF(F14="空",X14-J14,J14-X14),IF(NOT(ISNUMBER(K14)),"",IF(F14="空",X14-K14,K14-X14))))</f>
        <v/>
      </c>
      <c r="AF14" s="32" t="n"/>
      <c r="AG14" s="32" t="n"/>
      <c r="AH14" s="31" t="inlineStr">
        <is>
          <t>先卖一部分，剩下的拿着，平仓后再打分</t>
        </is>
      </c>
      <c r="AI14" s="43">
        <f>IF(A14="","",SUM(AC$5:AC14))</f>
        <v>6.00707964912281</v>
      </c>
      <c r="AJ14" s="45">
        <f>IF(A14="","",MAX(0,MAX(AI$5:AI14))-AI14)</f>
        <v>0</v>
      </c>
    </row>
    <row r="15">
      <c r="A15" s="29" t="n"/>
      <c r="B15" s="30" t="n"/>
      <c r="C15" s="31" t="n"/>
      <c r="D15" s="32" t="n"/>
      <c r="E15" s="32" t="n"/>
      <c r="F15" s="32" t="n"/>
      <c r="G15" s="32" t="n"/>
      <c r="H15" s="32" t="n"/>
      <c r="I15" s="33" t="n"/>
      <c r="J15" s="33" t="n"/>
      <c r="K15" s="33" t="n"/>
      <c r="L15" s="34" t="str">
        <f>IF(AND(ISNUMBER(I15),ISNUMBER(J15),ISNUMBER(K15)),IF(OR(AND(F15="多",I15&gt;J15),AND(F15="空",I15&lt;J15)),ABS(K15-I15)/ABS(I15-J15),"止损方向不对"),"")</f>
        <v/>
      </c>
      <c r="M15" s="35" t="str">
        <f>IF(AND(ISNUMBER(I15),ISNUMBER(J15)),IF(I15=J15,"",IF(INT(ROUND('参数'!$C$7/(ABS(I15-J15)*IF(N(G15)&gt;0,G15,1)+2*(I15*IF(N(G15)&gt;0,G15,1)*'参数'!$C$12+'参数'!$C$13+'参数'!$C$14*IF(N(G15)&gt;0,G15,1)))/IF(N(H15)&gt;0,H15,1),6))*IF(N(H15)&gt;0,H15,1)&gt;0,INT(ROUND('参数'!$C$7/(ABS(I15-J15)*IF(N(G15)&gt;0,G15,1)+2*(I15*IF(N(G15)&gt;0,G15,1)*'参数'!$C$12+'参数'!$C$13+'参数'!$C$14*IF(N(G15)&gt;0,G15,1)))/IF(N(H15)&gt;0,H15,1),6))*IF(N(H15)&gt;0,H15,1),"预算不足，这笔不做")),"")</f>
        <v/>
      </c>
      <c r="N15" s="36" t="n"/>
      <c r="O15" s="20" t="str">
        <f>IF(AND(ISNUMBER(I15),ISNUMBER(J15),ISNUMBER(N15)),IF(AND(I15&lt;&gt;J15,N15&gt;0),ABS(I15-J15)*N15*IF(N(G15)&gt;0,G15,1),""),"")</f>
        <v/>
      </c>
      <c r="P15" s="31" t="n"/>
      <c r="Q15" s="32" t="n"/>
      <c r="R15" s="37" t="str">
        <f>IF(N(U15)&gt;0,SUMPRODUCT(LARGE(('例-成交明细'!$A$5:$A$804=A15)*('例-成交明细'!$D$5:$D$804=IF(F15="空","卖","买"))*'例-成交明细'!$B$5:$B$804,COUNTIFS('例-成交明细'!$A$5:$A$804,A15,'例-成交明细'!$D$5:$D$804,IF(F15="空","卖","买")))),"")</f>
        <v/>
      </c>
      <c r="S15" s="37" t="str">
        <f>IF(AND(N(U15)&gt;0,N(W15)&gt;=N(U15)),SUMPRODUCT(MAX(('例-成交明细'!$A$5:$A$804=A15)*('例-成交明细'!$D$5:$D$804=IF(F15="空","买","卖"))*'例-成交明细'!$B$5:$B$804)),"")</f>
        <v/>
      </c>
      <c r="T15" s="38" t="str">
        <f>IF(N(U15)=0,"",IF(SUMPRODUCT(('例-成交明细'!$A$5:$A$804=A15)*('例-成交明细'!$D$5:$D$804=IF(F15="空","卖","买"))*ISNUMBER('例-成交明细'!$C$5:$C$804))=0,"没填时间",IFERROR(VLOOKUP(MOD(SUMPRODUCT(LARGE(('例-成交明细'!$A$5:$A$804=A15)*('例-成交明细'!$D$5:$D$804=IF(F15="空","卖","买"))*('例-成交明细'!$B$5:$B$804+'例-成交明细'!$C$5:$C$804),COUNTIFS('例-成交明细'!$A$5:$A$804,A15,'例-成交明细'!$D$5:$D$804,IF(F15="空","卖","买")))),1),'参数'!$B$39:$C$48,2,TRUE),"")))</f>
        <v/>
      </c>
      <c r="U15" s="35" t="str">
        <f>IF(A15="","",SUMIFS('例-成交明细'!$F$5:$F$804,'例-成交明细'!$A$5:$A$804,A15,'例-成交明细'!$D$5:$D$804,IF(F15="空","卖","买")))</f>
        <v/>
      </c>
      <c r="V15" s="39" t="str">
        <f>IF(N(U15)&gt;0,SUMIFS('例-成交明细'!$H$5:$H$804,'例-成交明细'!$A$5:$A$804,A15,'例-成交明细'!$D$5:$D$804,IF(F15="空","卖","买"))/U15,"")</f>
        <v/>
      </c>
      <c r="W15" s="35" t="str">
        <f>IF(A15="","",SUMIFS('例-成交明细'!$F$5:$F$804,'例-成交明细'!$A$5:$A$804,A15,'例-成交明细'!$D$5:$D$804,IF(F15="空","买","卖")))</f>
        <v/>
      </c>
      <c r="X15" s="39" t="str">
        <f>IF(N(W15)&gt;0,SUMIFS('例-成交明细'!$H$5:$H$804,'例-成交明细'!$A$5:$A$804,A15,'例-成交明细'!$D$5:$D$804,IF(F15="空","买","卖"))/W15,"")</f>
        <v/>
      </c>
      <c r="Y15" s="40" t="str">
        <f>IF(A15="","",IF(Q15&lt;&gt;"已执行",IF(Q15="","未填执行情况",Q15),IF(N(U15)=0,"待录成交",IF(N(W15)&gt;N(U15),"平仓多于开仓",IF(N(W15)&lt;N(U15),"持仓中","已平仓")))))</f>
        <v/>
      </c>
      <c r="Z15" s="41" t="str">
        <f>IF(N(U15)=0,"",SUMIFS('例-成交明细'!$L$5:$L$804,'例-成交明细'!$A$5:$A$804,A15))</f>
        <v/>
      </c>
      <c r="AA15" s="42" t="str">
        <f>IF(Y15&lt;&gt;"已平仓","",(SUMIFS('例-成交明细'!$H$5:$H$804,'例-成交明细'!$A$5:$A$804,A15,'例-成交明细'!$D$5:$D$804,"卖")-SUMIFS('例-成交明细'!$H$5:$H$804,'例-成交明细'!$A$5:$A$804,A15,'例-成交明细'!$D$5:$D$804,"买"))*IF(N(G15)&gt;0,G15,1)-Z15)</f>
        <v/>
      </c>
      <c r="AB15" s="43" t="str">
        <f>IF(AND(Y15="已平仓",ISNUMBER(O15)),(SUMIFS('例-成交明细'!$H$5:$H$804,'例-成交明细'!$A$5:$A$804,A15,'例-成交明细'!$D$5:$D$804,"卖")-SUMIFS('例-成交明细'!$H$5:$H$804,'例-成交明细'!$A$5:$A$804,A15,'例-成交明细'!$D$5:$D$804,"买"))*IF(N(G15)&gt;0,G15,1)/O15,"")</f>
        <v/>
      </c>
      <c r="AC15" s="43" t="str">
        <f>IF(AND(Y15="已平仓",ISNUMBER(O15)),AA15/O15,"")</f>
        <v/>
      </c>
      <c r="AD15" s="44" t="str">
        <f>IF(AND(ISNUMBER(V15),ISNUMBER(I15)),IF(F15="空",I15-V15,V15-I15),"")</f>
        <v/>
      </c>
      <c r="AE15" s="44" t="str">
        <f>IF(OR(NOT(ISNUMBER(AA15)),NOT(ISNUMBER(X15))),"",IF(AA15&lt;0,IF(F15="空",X15-J15,J15-X15),IF(NOT(ISNUMBER(K15)),"",IF(F15="空",X15-K15,K15-X15))))</f>
        <v/>
      </c>
      <c r="AF15" s="32" t="n"/>
      <c r="AG15" s="32" t="n"/>
      <c r="AH15" s="31" t="n"/>
      <c r="AI15" s="43" t="str">
        <f>IF(A15="","",SUM(AC$5:AC15))</f>
        <v/>
      </c>
      <c r="AJ15" s="45" t="str">
        <f>IF(A15="","",MAX(0,MAX(AI$5:AI15))-AI15)</f>
        <v/>
      </c>
    </row>
    <row r="16">
      <c r="A16" s="29" t="n"/>
      <c r="B16" s="30" t="n"/>
      <c r="C16" s="31" t="n"/>
      <c r="D16" s="32" t="n"/>
      <c r="E16" s="32" t="n"/>
      <c r="F16" s="32" t="n"/>
      <c r="G16" s="32" t="n"/>
      <c r="H16" s="32" t="n"/>
      <c r="I16" s="33" t="n"/>
      <c r="J16" s="33" t="n"/>
      <c r="K16" s="33" t="n"/>
      <c r="L16" s="34" t="str">
        <f>IF(AND(ISNUMBER(I16),ISNUMBER(J16),ISNUMBER(K16)),IF(OR(AND(F16="多",I16&gt;J16),AND(F16="空",I16&lt;J16)),ABS(K16-I16)/ABS(I16-J16),"止损方向不对"),"")</f>
        <v/>
      </c>
      <c r="M16" s="35" t="str">
        <f>IF(AND(ISNUMBER(I16),ISNUMBER(J16)),IF(I16=J16,"",IF(INT(ROUND('参数'!$C$7/(ABS(I16-J16)*IF(N(G16)&gt;0,G16,1)+2*(I16*IF(N(G16)&gt;0,G16,1)*'参数'!$C$12+'参数'!$C$13+'参数'!$C$14*IF(N(G16)&gt;0,G16,1)))/IF(N(H16)&gt;0,H16,1),6))*IF(N(H16)&gt;0,H16,1)&gt;0,INT(ROUND('参数'!$C$7/(ABS(I16-J16)*IF(N(G16)&gt;0,G16,1)+2*(I16*IF(N(G16)&gt;0,G16,1)*'参数'!$C$12+'参数'!$C$13+'参数'!$C$14*IF(N(G16)&gt;0,G16,1)))/IF(N(H16)&gt;0,H16,1),6))*IF(N(H16)&gt;0,H16,1),"预算不足，这笔不做")),"")</f>
        <v/>
      </c>
      <c r="N16" s="36" t="n"/>
      <c r="O16" s="20" t="str">
        <f>IF(AND(ISNUMBER(I16),ISNUMBER(J16),ISNUMBER(N16)),IF(AND(I16&lt;&gt;J16,N16&gt;0),ABS(I16-J16)*N16*IF(N(G16)&gt;0,G16,1),""),"")</f>
        <v/>
      </c>
      <c r="P16" s="31" t="n"/>
      <c r="Q16" s="32" t="n"/>
      <c r="R16" s="37" t="str">
        <f>IF(N(U16)&gt;0,SUMPRODUCT(LARGE(('例-成交明细'!$A$5:$A$804=A16)*('例-成交明细'!$D$5:$D$804=IF(F16="空","卖","买"))*'例-成交明细'!$B$5:$B$804,COUNTIFS('例-成交明细'!$A$5:$A$804,A16,'例-成交明细'!$D$5:$D$804,IF(F16="空","卖","买")))),"")</f>
        <v/>
      </c>
      <c r="S16" s="37" t="str">
        <f>IF(AND(N(U16)&gt;0,N(W16)&gt;=N(U16)),SUMPRODUCT(MAX(('例-成交明细'!$A$5:$A$804=A16)*('例-成交明细'!$D$5:$D$804=IF(F16="空","买","卖"))*'例-成交明细'!$B$5:$B$804)),"")</f>
        <v/>
      </c>
      <c r="T16" s="38" t="str">
        <f>IF(N(U16)=0,"",IF(SUMPRODUCT(('例-成交明细'!$A$5:$A$804=A16)*('例-成交明细'!$D$5:$D$804=IF(F16="空","卖","买"))*ISNUMBER('例-成交明细'!$C$5:$C$804))=0,"没填时间",IFERROR(VLOOKUP(MOD(SUMPRODUCT(LARGE(('例-成交明细'!$A$5:$A$804=A16)*('例-成交明细'!$D$5:$D$804=IF(F16="空","卖","买"))*('例-成交明细'!$B$5:$B$804+'例-成交明细'!$C$5:$C$804),COUNTIFS('例-成交明细'!$A$5:$A$804,A16,'例-成交明细'!$D$5:$D$804,IF(F16="空","卖","买")))),1),'参数'!$B$39:$C$48,2,TRUE),"")))</f>
        <v/>
      </c>
      <c r="U16" s="35" t="str">
        <f>IF(A16="","",SUMIFS('例-成交明细'!$F$5:$F$804,'例-成交明细'!$A$5:$A$804,A16,'例-成交明细'!$D$5:$D$804,IF(F16="空","卖","买")))</f>
        <v/>
      </c>
      <c r="V16" s="39" t="str">
        <f>IF(N(U16)&gt;0,SUMIFS('例-成交明细'!$H$5:$H$804,'例-成交明细'!$A$5:$A$804,A16,'例-成交明细'!$D$5:$D$804,IF(F16="空","卖","买"))/U16,"")</f>
        <v/>
      </c>
      <c r="W16" s="35" t="str">
        <f>IF(A16="","",SUMIFS('例-成交明细'!$F$5:$F$804,'例-成交明细'!$A$5:$A$804,A16,'例-成交明细'!$D$5:$D$804,IF(F16="空","买","卖")))</f>
        <v/>
      </c>
      <c r="X16" s="39" t="str">
        <f>IF(N(W16)&gt;0,SUMIFS('例-成交明细'!$H$5:$H$804,'例-成交明细'!$A$5:$A$804,A16,'例-成交明细'!$D$5:$D$804,IF(F16="空","买","卖"))/W16,"")</f>
        <v/>
      </c>
      <c r="Y16" s="40" t="str">
        <f>IF(A16="","",IF(Q16&lt;&gt;"已执行",IF(Q16="","未填执行情况",Q16),IF(N(U16)=0,"待录成交",IF(N(W16)&gt;N(U16),"平仓多于开仓",IF(N(W16)&lt;N(U16),"持仓中","已平仓")))))</f>
        <v/>
      </c>
      <c r="Z16" s="41" t="str">
        <f>IF(N(U16)=0,"",SUMIFS('例-成交明细'!$L$5:$L$804,'例-成交明细'!$A$5:$A$804,A16))</f>
        <v/>
      </c>
      <c r="AA16" s="42" t="str">
        <f>IF(Y16&lt;&gt;"已平仓","",(SUMIFS('例-成交明细'!$H$5:$H$804,'例-成交明细'!$A$5:$A$804,A16,'例-成交明细'!$D$5:$D$804,"卖")-SUMIFS('例-成交明细'!$H$5:$H$804,'例-成交明细'!$A$5:$A$804,A16,'例-成交明细'!$D$5:$D$804,"买"))*IF(N(G16)&gt;0,G16,1)-Z16)</f>
        <v/>
      </c>
      <c r="AB16" s="43" t="str">
        <f>IF(AND(Y16="已平仓",ISNUMBER(O16)),(SUMIFS('例-成交明细'!$H$5:$H$804,'例-成交明细'!$A$5:$A$804,A16,'例-成交明细'!$D$5:$D$804,"卖")-SUMIFS('例-成交明细'!$H$5:$H$804,'例-成交明细'!$A$5:$A$804,A16,'例-成交明细'!$D$5:$D$804,"买"))*IF(N(G16)&gt;0,G16,1)/O16,"")</f>
        <v/>
      </c>
      <c r="AC16" s="43" t="str">
        <f>IF(AND(Y16="已平仓",ISNUMBER(O16)),AA16/O16,"")</f>
        <v/>
      </c>
      <c r="AD16" s="44" t="str">
        <f>IF(AND(ISNUMBER(V16),ISNUMBER(I16)),IF(F16="空",I16-V16,V16-I16),"")</f>
        <v/>
      </c>
      <c r="AE16" s="44" t="str">
        <f>IF(OR(NOT(ISNUMBER(AA16)),NOT(ISNUMBER(X16))),"",IF(AA16&lt;0,IF(F16="空",X16-J16,J16-X16),IF(NOT(ISNUMBER(K16)),"",IF(F16="空",X16-K16,K16-X16))))</f>
        <v/>
      </c>
      <c r="AF16" s="32" t="n"/>
      <c r="AG16" s="32" t="n"/>
      <c r="AH16" s="31" t="n"/>
      <c r="AI16" s="43" t="str">
        <f>IF(A16="","",SUM(AC$5:AC16))</f>
        <v/>
      </c>
      <c r="AJ16" s="45" t="str">
        <f>IF(A16="","",MAX(0,MAX(AI$5:AI16))-AI16)</f>
        <v/>
      </c>
    </row>
    <row r="17">
      <c r="A17" s="29" t="n"/>
      <c r="B17" s="30" t="n"/>
      <c r="C17" s="31" t="n"/>
      <c r="D17" s="32" t="n"/>
      <c r="E17" s="32" t="n"/>
      <c r="F17" s="32" t="n"/>
      <c r="G17" s="32" t="n"/>
      <c r="H17" s="32" t="n"/>
      <c r="I17" s="33" t="n"/>
      <c r="J17" s="33" t="n"/>
      <c r="K17" s="33" t="n"/>
      <c r="L17" s="34" t="str">
        <f>IF(AND(ISNUMBER(I17),ISNUMBER(J17),ISNUMBER(K17)),IF(OR(AND(F17="多",I17&gt;J17),AND(F17="空",I17&lt;J17)),ABS(K17-I17)/ABS(I17-J17),"止损方向不对"),"")</f>
        <v/>
      </c>
      <c r="M17" s="35" t="str">
        <f>IF(AND(ISNUMBER(I17),ISNUMBER(J17)),IF(I17=J17,"",IF(INT(ROUND('参数'!$C$7/(ABS(I17-J17)*IF(N(G17)&gt;0,G17,1)+2*(I17*IF(N(G17)&gt;0,G17,1)*'参数'!$C$12+'参数'!$C$13+'参数'!$C$14*IF(N(G17)&gt;0,G17,1)))/IF(N(H17)&gt;0,H17,1),6))*IF(N(H17)&gt;0,H17,1)&gt;0,INT(ROUND('参数'!$C$7/(ABS(I17-J17)*IF(N(G17)&gt;0,G17,1)+2*(I17*IF(N(G17)&gt;0,G17,1)*'参数'!$C$12+'参数'!$C$13+'参数'!$C$14*IF(N(G17)&gt;0,G17,1)))/IF(N(H17)&gt;0,H17,1),6))*IF(N(H17)&gt;0,H17,1),"预算不足，这笔不做")),"")</f>
        <v/>
      </c>
      <c r="N17" s="36" t="n"/>
      <c r="O17" s="20" t="str">
        <f>IF(AND(ISNUMBER(I17),ISNUMBER(J17),ISNUMBER(N17)),IF(AND(I17&lt;&gt;J17,N17&gt;0),ABS(I17-J17)*N17*IF(N(G17)&gt;0,G17,1),""),"")</f>
        <v/>
      </c>
      <c r="P17" s="31" t="n"/>
      <c r="Q17" s="32" t="n"/>
      <c r="R17" s="37" t="str">
        <f>IF(N(U17)&gt;0,SUMPRODUCT(LARGE(('例-成交明细'!$A$5:$A$804=A17)*('例-成交明细'!$D$5:$D$804=IF(F17="空","卖","买"))*'例-成交明细'!$B$5:$B$804,COUNTIFS('例-成交明细'!$A$5:$A$804,A17,'例-成交明细'!$D$5:$D$804,IF(F17="空","卖","买")))),"")</f>
        <v/>
      </c>
      <c r="S17" s="37" t="str">
        <f>IF(AND(N(U17)&gt;0,N(W17)&gt;=N(U17)),SUMPRODUCT(MAX(('例-成交明细'!$A$5:$A$804=A17)*('例-成交明细'!$D$5:$D$804=IF(F17="空","买","卖"))*'例-成交明细'!$B$5:$B$804)),"")</f>
        <v/>
      </c>
      <c r="T17" s="38" t="str">
        <f>IF(N(U17)=0,"",IF(SUMPRODUCT(('例-成交明细'!$A$5:$A$804=A17)*('例-成交明细'!$D$5:$D$804=IF(F17="空","卖","买"))*ISNUMBER('例-成交明细'!$C$5:$C$804))=0,"没填时间",IFERROR(VLOOKUP(MOD(SUMPRODUCT(LARGE(('例-成交明细'!$A$5:$A$804=A17)*('例-成交明细'!$D$5:$D$804=IF(F17="空","卖","买"))*('例-成交明细'!$B$5:$B$804+'例-成交明细'!$C$5:$C$804),COUNTIFS('例-成交明细'!$A$5:$A$804,A17,'例-成交明细'!$D$5:$D$804,IF(F17="空","卖","买")))),1),'参数'!$B$39:$C$48,2,TRUE),"")))</f>
        <v/>
      </c>
      <c r="U17" s="35" t="str">
        <f>IF(A17="","",SUMIFS('例-成交明细'!$F$5:$F$804,'例-成交明细'!$A$5:$A$804,A17,'例-成交明细'!$D$5:$D$804,IF(F17="空","卖","买")))</f>
        <v/>
      </c>
      <c r="V17" s="39" t="str">
        <f>IF(N(U17)&gt;0,SUMIFS('例-成交明细'!$H$5:$H$804,'例-成交明细'!$A$5:$A$804,A17,'例-成交明细'!$D$5:$D$804,IF(F17="空","卖","买"))/U17,"")</f>
        <v/>
      </c>
      <c r="W17" s="35" t="str">
        <f>IF(A17="","",SUMIFS('例-成交明细'!$F$5:$F$804,'例-成交明细'!$A$5:$A$804,A17,'例-成交明细'!$D$5:$D$804,IF(F17="空","买","卖")))</f>
        <v/>
      </c>
      <c r="X17" s="39" t="str">
        <f>IF(N(W17)&gt;0,SUMIFS('例-成交明细'!$H$5:$H$804,'例-成交明细'!$A$5:$A$804,A17,'例-成交明细'!$D$5:$D$804,IF(F17="空","买","卖"))/W17,"")</f>
        <v/>
      </c>
      <c r="Y17" s="40" t="str">
        <f>IF(A17="","",IF(Q17&lt;&gt;"已执行",IF(Q17="","未填执行情况",Q17),IF(N(U17)=0,"待录成交",IF(N(W17)&gt;N(U17),"平仓多于开仓",IF(N(W17)&lt;N(U17),"持仓中","已平仓")))))</f>
        <v/>
      </c>
      <c r="Z17" s="41" t="str">
        <f>IF(N(U17)=0,"",SUMIFS('例-成交明细'!$L$5:$L$804,'例-成交明细'!$A$5:$A$804,A17))</f>
        <v/>
      </c>
      <c r="AA17" s="42" t="str">
        <f>IF(Y17&lt;&gt;"已平仓","",(SUMIFS('例-成交明细'!$H$5:$H$804,'例-成交明细'!$A$5:$A$804,A17,'例-成交明细'!$D$5:$D$804,"卖")-SUMIFS('例-成交明细'!$H$5:$H$804,'例-成交明细'!$A$5:$A$804,A17,'例-成交明细'!$D$5:$D$804,"买"))*IF(N(G17)&gt;0,G17,1)-Z17)</f>
        <v/>
      </c>
      <c r="AB17" s="43" t="str">
        <f>IF(AND(Y17="已平仓",ISNUMBER(O17)),(SUMIFS('例-成交明细'!$H$5:$H$804,'例-成交明细'!$A$5:$A$804,A17,'例-成交明细'!$D$5:$D$804,"卖")-SUMIFS('例-成交明细'!$H$5:$H$804,'例-成交明细'!$A$5:$A$804,A17,'例-成交明细'!$D$5:$D$804,"买"))*IF(N(G17)&gt;0,G17,1)/O17,"")</f>
        <v/>
      </c>
      <c r="AC17" s="43" t="str">
        <f>IF(AND(Y17="已平仓",ISNUMBER(O17)),AA17/O17,"")</f>
        <v/>
      </c>
      <c r="AD17" s="44" t="str">
        <f>IF(AND(ISNUMBER(V17),ISNUMBER(I17)),IF(F17="空",I17-V17,V17-I17),"")</f>
        <v/>
      </c>
      <c r="AE17" s="44" t="str">
        <f>IF(OR(NOT(ISNUMBER(AA17)),NOT(ISNUMBER(X17))),"",IF(AA17&lt;0,IF(F17="空",X17-J17,J17-X17),IF(NOT(ISNUMBER(K17)),"",IF(F17="空",X17-K17,K17-X17))))</f>
        <v/>
      </c>
      <c r="AF17" s="32" t="n"/>
      <c r="AG17" s="32" t="n"/>
      <c r="AH17" s="31" t="n"/>
      <c r="AI17" s="43" t="str">
        <f>IF(A17="","",SUM(AC$5:AC17))</f>
        <v/>
      </c>
      <c r="AJ17" s="45" t="str">
        <f>IF(A17="","",MAX(0,MAX(AI$5:AI17))-AI17)</f>
        <v/>
      </c>
    </row>
    <row r="18">
      <c r="A18" s="29" t="n"/>
      <c r="B18" s="30" t="n"/>
      <c r="C18" s="31" t="n"/>
      <c r="D18" s="32" t="n"/>
      <c r="E18" s="32" t="n"/>
      <c r="F18" s="32" t="n"/>
      <c r="G18" s="32" t="n"/>
      <c r="H18" s="32" t="n"/>
      <c r="I18" s="33" t="n"/>
      <c r="J18" s="33" t="n"/>
      <c r="K18" s="33" t="n"/>
      <c r="L18" s="34" t="str">
        <f>IF(AND(ISNUMBER(I18),ISNUMBER(J18),ISNUMBER(K18)),IF(OR(AND(F18="多",I18&gt;J18),AND(F18="空",I18&lt;J18)),ABS(K18-I18)/ABS(I18-J18),"止损方向不对"),"")</f>
        <v/>
      </c>
      <c r="M18" s="35" t="str">
        <f>IF(AND(ISNUMBER(I18),ISNUMBER(J18)),IF(I18=J18,"",IF(INT(ROUND('参数'!$C$7/(ABS(I18-J18)*IF(N(G18)&gt;0,G18,1)+2*(I18*IF(N(G18)&gt;0,G18,1)*'参数'!$C$12+'参数'!$C$13+'参数'!$C$14*IF(N(G18)&gt;0,G18,1)))/IF(N(H18)&gt;0,H18,1),6))*IF(N(H18)&gt;0,H18,1)&gt;0,INT(ROUND('参数'!$C$7/(ABS(I18-J18)*IF(N(G18)&gt;0,G18,1)+2*(I18*IF(N(G18)&gt;0,G18,1)*'参数'!$C$12+'参数'!$C$13+'参数'!$C$14*IF(N(G18)&gt;0,G18,1)))/IF(N(H18)&gt;0,H18,1),6))*IF(N(H18)&gt;0,H18,1),"预算不足，这笔不做")),"")</f>
        <v/>
      </c>
      <c r="N18" s="36" t="n"/>
      <c r="O18" s="20" t="str">
        <f>IF(AND(ISNUMBER(I18),ISNUMBER(J18),ISNUMBER(N18)),IF(AND(I18&lt;&gt;J18,N18&gt;0),ABS(I18-J18)*N18*IF(N(G18)&gt;0,G18,1),""),"")</f>
        <v/>
      </c>
      <c r="P18" s="31" t="n"/>
      <c r="Q18" s="32" t="n"/>
      <c r="R18" s="37" t="str">
        <f>IF(N(U18)&gt;0,SUMPRODUCT(LARGE(('例-成交明细'!$A$5:$A$804=A18)*('例-成交明细'!$D$5:$D$804=IF(F18="空","卖","买"))*'例-成交明细'!$B$5:$B$804,COUNTIFS('例-成交明细'!$A$5:$A$804,A18,'例-成交明细'!$D$5:$D$804,IF(F18="空","卖","买")))),"")</f>
        <v/>
      </c>
      <c r="S18" s="37" t="str">
        <f>IF(AND(N(U18)&gt;0,N(W18)&gt;=N(U18)),SUMPRODUCT(MAX(('例-成交明细'!$A$5:$A$804=A18)*('例-成交明细'!$D$5:$D$804=IF(F18="空","买","卖"))*'例-成交明细'!$B$5:$B$804)),"")</f>
        <v/>
      </c>
      <c r="T18" s="38" t="str">
        <f>IF(N(U18)=0,"",IF(SUMPRODUCT(('例-成交明细'!$A$5:$A$804=A18)*('例-成交明细'!$D$5:$D$804=IF(F18="空","卖","买"))*ISNUMBER('例-成交明细'!$C$5:$C$804))=0,"没填时间",IFERROR(VLOOKUP(MOD(SUMPRODUCT(LARGE(('例-成交明细'!$A$5:$A$804=A18)*('例-成交明细'!$D$5:$D$804=IF(F18="空","卖","买"))*('例-成交明细'!$B$5:$B$804+'例-成交明细'!$C$5:$C$804),COUNTIFS('例-成交明细'!$A$5:$A$804,A18,'例-成交明细'!$D$5:$D$804,IF(F18="空","卖","买")))),1),'参数'!$B$39:$C$48,2,TRUE),"")))</f>
        <v/>
      </c>
      <c r="U18" s="35" t="str">
        <f>IF(A18="","",SUMIFS('例-成交明细'!$F$5:$F$804,'例-成交明细'!$A$5:$A$804,A18,'例-成交明细'!$D$5:$D$804,IF(F18="空","卖","买")))</f>
        <v/>
      </c>
      <c r="V18" s="39" t="str">
        <f>IF(N(U18)&gt;0,SUMIFS('例-成交明细'!$H$5:$H$804,'例-成交明细'!$A$5:$A$804,A18,'例-成交明细'!$D$5:$D$804,IF(F18="空","卖","买"))/U18,"")</f>
        <v/>
      </c>
      <c r="W18" s="35" t="str">
        <f>IF(A18="","",SUMIFS('例-成交明细'!$F$5:$F$804,'例-成交明细'!$A$5:$A$804,A18,'例-成交明细'!$D$5:$D$804,IF(F18="空","买","卖")))</f>
        <v/>
      </c>
      <c r="X18" s="39" t="str">
        <f>IF(N(W18)&gt;0,SUMIFS('例-成交明细'!$H$5:$H$804,'例-成交明细'!$A$5:$A$804,A18,'例-成交明细'!$D$5:$D$804,IF(F18="空","买","卖"))/W18,"")</f>
        <v/>
      </c>
      <c r="Y18" s="40" t="str">
        <f>IF(A18="","",IF(Q18&lt;&gt;"已执行",IF(Q18="","未填执行情况",Q18),IF(N(U18)=0,"待录成交",IF(N(W18)&gt;N(U18),"平仓多于开仓",IF(N(W18)&lt;N(U18),"持仓中","已平仓")))))</f>
        <v/>
      </c>
      <c r="Z18" s="41" t="str">
        <f>IF(N(U18)=0,"",SUMIFS('例-成交明细'!$L$5:$L$804,'例-成交明细'!$A$5:$A$804,A18))</f>
        <v/>
      </c>
      <c r="AA18" s="42" t="str">
        <f>IF(Y18&lt;&gt;"已平仓","",(SUMIFS('例-成交明细'!$H$5:$H$804,'例-成交明细'!$A$5:$A$804,A18,'例-成交明细'!$D$5:$D$804,"卖")-SUMIFS('例-成交明细'!$H$5:$H$804,'例-成交明细'!$A$5:$A$804,A18,'例-成交明细'!$D$5:$D$804,"买"))*IF(N(G18)&gt;0,G18,1)-Z18)</f>
        <v/>
      </c>
      <c r="AB18" s="43" t="str">
        <f>IF(AND(Y18="已平仓",ISNUMBER(O18)),(SUMIFS('例-成交明细'!$H$5:$H$804,'例-成交明细'!$A$5:$A$804,A18,'例-成交明细'!$D$5:$D$804,"卖")-SUMIFS('例-成交明细'!$H$5:$H$804,'例-成交明细'!$A$5:$A$804,A18,'例-成交明细'!$D$5:$D$804,"买"))*IF(N(G18)&gt;0,G18,1)/O18,"")</f>
        <v/>
      </c>
      <c r="AC18" s="43" t="str">
        <f>IF(AND(Y18="已平仓",ISNUMBER(O18)),AA18/O18,"")</f>
        <v/>
      </c>
      <c r="AD18" s="44" t="str">
        <f>IF(AND(ISNUMBER(V18),ISNUMBER(I18)),IF(F18="空",I18-V18,V18-I18),"")</f>
        <v/>
      </c>
      <c r="AE18" s="44" t="str">
        <f>IF(OR(NOT(ISNUMBER(AA18)),NOT(ISNUMBER(X18))),"",IF(AA18&lt;0,IF(F18="空",X18-J18,J18-X18),IF(NOT(ISNUMBER(K18)),"",IF(F18="空",X18-K18,K18-X18))))</f>
        <v/>
      </c>
      <c r="AF18" s="32" t="n"/>
      <c r="AG18" s="32" t="n"/>
      <c r="AH18" s="31" t="n"/>
      <c r="AI18" s="43" t="str">
        <f>IF(A18="","",SUM(AC$5:AC18))</f>
        <v/>
      </c>
      <c r="AJ18" s="45" t="str">
        <f>IF(A18="","",MAX(0,MAX(AI$5:AI18))-AI18)</f>
        <v/>
      </c>
    </row>
    <row r="19">
      <c r="A19" s="29" t="n"/>
      <c r="B19" s="30" t="n"/>
      <c r="C19" s="31" t="n"/>
      <c r="D19" s="32" t="n"/>
      <c r="E19" s="32" t="n"/>
      <c r="F19" s="32" t="n"/>
      <c r="G19" s="32" t="n"/>
      <c r="H19" s="32" t="n"/>
      <c r="I19" s="33" t="n"/>
      <c r="J19" s="33" t="n"/>
      <c r="K19" s="33" t="n"/>
      <c r="L19" s="34" t="str">
        <f>IF(AND(ISNUMBER(I19),ISNUMBER(J19),ISNUMBER(K19)),IF(OR(AND(F19="多",I19&gt;J19),AND(F19="空",I19&lt;J19)),ABS(K19-I19)/ABS(I19-J19),"止损方向不对"),"")</f>
        <v/>
      </c>
      <c r="M19" s="35" t="str">
        <f>IF(AND(ISNUMBER(I19),ISNUMBER(J19)),IF(I19=J19,"",IF(INT(ROUND('参数'!$C$7/(ABS(I19-J19)*IF(N(G19)&gt;0,G19,1)+2*(I19*IF(N(G19)&gt;0,G19,1)*'参数'!$C$12+'参数'!$C$13+'参数'!$C$14*IF(N(G19)&gt;0,G19,1)))/IF(N(H19)&gt;0,H19,1),6))*IF(N(H19)&gt;0,H19,1)&gt;0,INT(ROUND('参数'!$C$7/(ABS(I19-J19)*IF(N(G19)&gt;0,G19,1)+2*(I19*IF(N(G19)&gt;0,G19,1)*'参数'!$C$12+'参数'!$C$13+'参数'!$C$14*IF(N(G19)&gt;0,G19,1)))/IF(N(H19)&gt;0,H19,1),6))*IF(N(H19)&gt;0,H19,1),"预算不足，这笔不做")),"")</f>
        <v/>
      </c>
      <c r="N19" s="36" t="n"/>
      <c r="O19" s="20" t="str">
        <f>IF(AND(ISNUMBER(I19),ISNUMBER(J19),ISNUMBER(N19)),IF(AND(I19&lt;&gt;J19,N19&gt;0),ABS(I19-J19)*N19*IF(N(G19)&gt;0,G19,1),""),"")</f>
        <v/>
      </c>
      <c r="P19" s="31" t="n"/>
      <c r="Q19" s="32" t="n"/>
      <c r="R19" s="37" t="str">
        <f>IF(N(U19)&gt;0,SUMPRODUCT(LARGE(('例-成交明细'!$A$5:$A$804=A19)*('例-成交明细'!$D$5:$D$804=IF(F19="空","卖","买"))*'例-成交明细'!$B$5:$B$804,COUNTIFS('例-成交明细'!$A$5:$A$804,A19,'例-成交明细'!$D$5:$D$804,IF(F19="空","卖","买")))),"")</f>
        <v/>
      </c>
      <c r="S19" s="37" t="str">
        <f>IF(AND(N(U19)&gt;0,N(W19)&gt;=N(U19)),SUMPRODUCT(MAX(('例-成交明细'!$A$5:$A$804=A19)*('例-成交明细'!$D$5:$D$804=IF(F19="空","买","卖"))*'例-成交明细'!$B$5:$B$804)),"")</f>
        <v/>
      </c>
      <c r="T19" s="38" t="str">
        <f>IF(N(U19)=0,"",IF(SUMPRODUCT(('例-成交明细'!$A$5:$A$804=A19)*('例-成交明细'!$D$5:$D$804=IF(F19="空","卖","买"))*ISNUMBER('例-成交明细'!$C$5:$C$804))=0,"没填时间",IFERROR(VLOOKUP(MOD(SUMPRODUCT(LARGE(('例-成交明细'!$A$5:$A$804=A19)*('例-成交明细'!$D$5:$D$804=IF(F19="空","卖","买"))*('例-成交明细'!$B$5:$B$804+'例-成交明细'!$C$5:$C$804),COUNTIFS('例-成交明细'!$A$5:$A$804,A19,'例-成交明细'!$D$5:$D$804,IF(F19="空","卖","买")))),1),'参数'!$B$39:$C$48,2,TRUE),"")))</f>
        <v/>
      </c>
      <c r="U19" s="35" t="str">
        <f>IF(A19="","",SUMIFS('例-成交明细'!$F$5:$F$804,'例-成交明细'!$A$5:$A$804,A19,'例-成交明细'!$D$5:$D$804,IF(F19="空","卖","买")))</f>
        <v/>
      </c>
      <c r="V19" s="39" t="str">
        <f>IF(N(U19)&gt;0,SUMIFS('例-成交明细'!$H$5:$H$804,'例-成交明细'!$A$5:$A$804,A19,'例-成交明细'!$D$5:$D$804,IF(F19="空","卖","买"))/U19,"")</f>
        <v/>
      </c>
      <c r="W19" s="35" t="str">
        <f>IF(A19="","",SUMIFS('例-成交明细'!$F$5:$F$804,'例-成交明细'!$A$5:$A$804,A19,'例-成交明细'!$D$5:$D$804,IF(F19="空","买","卖")))</f>
        <v/>
      </c>
      <c r="X19" s="39" t="str">
        <f>IF(N(W19)&gt;0,SUMIFS('例-成交明细'!$H$5:$H$804,'例-成交明细'!$A$5:$A$804,A19,'例-成交明细'!$D$5:$D$804,IF(F19="空","买","卖"))/W19,"")</f>
        <v/>
      </c>
      <c r="Y19" s="40" t="str">
        <f>IF(A19="","",IF(Q19&lt;&gt;"已执行",IF(Q19="","未填执行情况",Q19),IF(N(U19)=0,"待录成交",IF(N(W19)&gt;N(U19),"平仓多于开仓",IF(N(W19)&lt;N(U19),"持仓中","已平仓")))))</f>
        <v/>
      </c>
      <c r="Z19" s="41" t="str">
        <f>IF(N(U19)=0,"",SUMIFS('例-成交明细'!$L$5:$L$804,'例-成交明细'!$A$5:$A$804,A19))</f>
        <v/>
      </c>
      <c r="AA19" s="42" t="str">
        <f>IF(Y19&lt;&gt;"已平仓","",(SUMIFS('例-成交明细'!$H$5:$H$804,'例-成交明细'!$A$5:$A$804,A19,'例-成交明细'!$D$5:$D$804,"卖")-SUMIFS('例-成交明细'!$H$5:$H$804,'例-成交明细'!$A$5:$A$804,A19,'例-成交明细'!$D$5:$D$804,"买"))*IF(N(G19)&gt;0,G19,1)-Z19)</f>
        <v/>
      </c>
      <c r="AB19" s="43" t="str">
        <f>IF(AND(Y19="已平仓",ISNUMBER(O19)),(SUMIFS('例-成交明细'!$H$5:$H$804,'例-成交明细'!$A$5:$A$804,A19,'例-成交明细'!$D$5:$D$804,"卖")-SUMIFS('例-成交明细'!$H$5:$H$804,'例-成交明细'!$A$5:$A$804,A19,'例-成交明细'!$D$5:$D$804,"买"))*IF(N(G19)&gt;0,G19,1)/O19,"")</f>
        <v/>
      </c>
      <c r="AC19" s="43" t="str">
        <f>IF(AND(Y19="已平仓",ISNUMBER(O19)),AA19/O19,"")</f>
        <v/>
      </c>
      <c r="AD19" s="44" t="str">
        <f>IF(AND(ISNUMBER(V19),ISNUMBER(I19)),IF(F19="空",I19-V19,V19-I19),"")</f>
        <v/>
      </c>
      <c r="AE19" s="44" t="str">
        <f>IF(OR(NOT(ISNUMBER(AA19)),NOT(ISNUMBER(X19))),"",IF(AA19&lt;0,IF(F19="空",X19-J19,J19-X19),IF(NOT(ISNUMBER(K19)),"",IF(F19="空",X19-K19,K19-X19))))</f>
        <v/>
      </c>
      <c r="AF19" s="32" t="n"/>
      <c r="AG19" s="32" t="n"/>
      <c r="AH19" s="31" t="n"/>
      <c r="AI19" s="43" t="str">
        <f>IF(A19="","",SUM(AC$5:AC19))</f>
        <v/>
      </c>
      <c r="AJ19" s="45" t="str">
        <f>IF(A19="","",MAX(0,MAX(AI$5:AI19))-AI19)</f>
        <v/>
      </c>
    </row>
    <row r="20">
      <c r="A20" s="29" t="n"/>
      <c r="B20" s="30" t="n"/>
      <c r="C20" s="31" t="n"/>
      <c r="D20" s="32" t="n"/>
      <c r="E20" s="32" t="n"/>
      <c r="F20" s="32" t="n"/>
      <c r="G20" s="32" t="n"/>
      <c r="H20" s="32" t="n"/>
      <c r="I20" s="33" t="n"/>
      <c r="J20" s="33" t="n"/>
      <c r="K20" s="33" t="n"/>
      <c r="L20" s="34" t="str">
        <f>IF(AND(ISNUMBER(I20),ISNUMBER(J20),ISNUMBER(K20)),IF(OR(AND(F20="多",I20&gt;J20),AND(F20="空",I20&lt;J20)),ABS(K20-I20)/ABS(I20-J20),"止损方向不对"),"")</f>
        <v/>
      </c>
      <c r="M20" s="35" t="str">
        <f>IF(AND(ISNUMBER(I20),ISNUMBER(J20)),IF(I20=J20,"",IF(INT(ROUND('参数'!$C$7/(ABS(I20-J20)*IF(N(G20)&gt;0,G20,1)+2*(I20*IF(N(G20)&gt;0,G20,1)*'参数'!$C$12+'参数'!$C$13+'参数'!$C$14*IF(N(G20)&gt;0,G20,1)))/IF(N(H20)&gt;0,H20,1),6))*IF(N(H20)&gt;0,H20,1)&gt;0,INT(ROUND('参数'!$C$7/(ABS(I20-J20)*IF(N(G20)&gt;0,G20,1)+2*(I20*IF(N(G20)&gt;0,G20,1)*'参数'!$C$12+'参数'!$C$13+'参数'!$C$14*IF(N(G20)&gt;0,G20,1)))/IF(N(H20)&gt;0,H20,1),6))*IF(N(H20)&gt;0,H20,1),"预算不足，这笔不做")),"")</f>
        <v/>
      </c>
      <c r="N20" s="36" t="n"/>
      <c r="O20" s="20" t="str">
        <f>IF(AND(ISNUMBER(I20),ISNUMBER(J20),ISNUMBER(N20)),IF(AND(I20&lt;&gt;J20,N20&gt;0),ABS(I20-J20)*N20*IF(N(G20)&gt;0,G20,1),""),"")</f>
        <v/>
      </c>
      <c r="P20" s="31" t="n"/>
      <c r="Q20" s="32" t="n"/>
      <c r="R20" s="37" t="str">
        <f>IF(N(U20)&gt;0,SUMPRODUCT(LARGE(('例-成交明细'!$A$5:$A$804=A20)*('例-成交明细'!$D$5:$D$804=IF(F20="空","卖","买"))*'例-成交明细'!$B$5:$B$804,COUNTIFS('例-成交明细'!$A$5:$A$804,A20,'例-成交明细'!$D$5:$D$804,IF(F20="空","卖","买")))),"")</f>
        <v/>
      </c>
      <c r="S20" s="37" t="str">
        <f>IF(AND(N(U20)&gt;0,N(W20)&gt;=N(U20)),SUMPRODUCT(MAX(('例-成交明细'!$A$5:$A$804=A20)*('例-成交明细'!$D$5:$D$804=IF(F20="空","买","卖"))*'例-成交明细'!$B$5:$B$804)),"")</f>
        <v/>
      </c>
      <c r="T20" s="38" t="str">
        <f>IF(N(U20)=0,"",IF(SUMPRODUCT(('例-成交明细'!$A$5:$A$804=A20)*('例-成交明细'!$D$5:$D$804=IF(F20="空","卖","买"))*ISNUMBER('例-成交明细'!$C$5:$C$804))=0,"没填时间",IFERROR(VLOOKUP(MOD(SUMPRODUCT(LARGE(('例-成交明细'!$A$5:$A$804=A20)*('例-成交明细'!$D$5:$D$804=IF(F20="空","卖","买"))*('例-成交明细'!$B$5:$B$804+'例-成交明细'!$C$5:$C$804),COUNTIFS('例-成交明细'!$A$5:$A$804,A20,'例-成交明细'!$D$5:$D$804,IF(F20="空","卖","买")))),1),'参数'!$B$39:$C$48,2,TRUE),"")))</f>
        <v/>
      </c>
      <c r="U20" s="35" t="str">
        <f>IF(A20="","",SUMIFS('例-成交明细'!$F$5:$F$804,'例-成交明细'!$A$5:$A$804,A20,'例-成交明细'!$D$5:$D$804,IF(F20="空","卖","买")))</f>
        <v/>
      </c>
      <c r="V20" s="39" t="str">
        <f>IF(N(U20)&gt;0,SUMIFS('例-成交明细'!$H$5:$H$804,'例-成交明细'!$A$5:$A$804,A20,'例-成交明细'!$D$5:$D$804,IF(F20="空","卖","买"))/U20,"")</f>
        <v/>
      </c>
      <c r="W20" s="35" t="str">
        <f>IF(A20="","",SUMIFS('例-成交明细'!$F$5:$F$804,'例-成交明细'!$A$5:$A$804,A20,'例-成交明细'!$D$5:$D$804,IF(F20="空","买","卖")))</f>
        <v/>
      </c>
      <c r="X20" s="39" t="str">
        <f>IF(N(W20)&gt;0,SUMIFS('例-成交明细'!$H$5:$H$804,'例-成交明细'!$A$5:$A$804,A20,'例-成交明细'!$D$5:$D$804,IF(F20="空","买","卖"))/W20,"")</f>
        <v/>
      </c>
      <c r="Y20" s="40" t="str">
        <f>IF(A20="","",IF(Q20&lt;&gt;"已执行",IF(Q20="","未填执行情况",Q20),IF(N(U20)=0,"待录成交",IF(N(W20)&gt;N(U20),"平仓多于开仓",IF(N(W20)&lt;N(U20),"持仓中","已平仓")))))</f>
        <v/>
      </c>
      <c r="Z20" s="41" t="str">
        <f>IF(N(U20)=0,"",SUMIFS('例-成交明细'!$L$5:$L$804,'例-成交明细'!$A$5:$A$804,A20))</f>
        <v/>
      </c>
      <c r="AA20" s="42" t="str">
        <f>IF(Y20&lt;&gt;"已平仓","",(SUMIFS('例-成交明细'!$H$5:$H$804,'例-成交明细'!$A$5:$A$804,A20,'例-成交明细'!$D$5:$D$804,"卖")-SUMIFS('例-成交明细'!$H$5:$H$804,'例-成交明细'!$A$5:$A$804,A20,'例-成交明细'!$D$5:$D$804,"买"))*IF(N(G20)&gt;0,G20,1)-Z20)</f>
        <v/>
      </c>
      <c r="AB20" s="43" t="str">
        <f>IF(AND(Y20="已平仓",ISNUMBER(O20)),(SUMIFS('例-成交明细'!$H$5:$H$804,'例-成交明细'!$A$5:$A$804,A20,'例-成交明细'!$D$5:$D$804,"卖")-SUMIFS('例-成交明细'!$H$5:$H$804,'例-成交明细'!$A$5:$A$804,A20,'例-成交明细'!$D$5:$D$804,"买"))*IF(N(G20)&gt;0,G20,1)/O20,"")</f>
        <v/>
      </c>
      <c r="AC20" s="43" t="str">
        <f>IF(AND(Y20="已平仓",ISNUMBER(O20)),AA20/O20,"")</f>
        <v/>
      </c>
      <c r="AD20" s="44" t="str">
        <f>IF(AND(ISNUMBER(V20),ISNUMBER(I20)),IF(F20="空",I20-V20,V20-I20),"")</f>
        <v/>
      </c>
      <c r="AE20" s="44" t="str">
        <f>IF(OR(NOT(ISNUMBER(AA20)),NOT(ISNUMBER(X20))),"",IF(AA20&lt;0,IF(F20="空",X20-J20,J20-X20),IF(NOT(ISNUMBER(K20)),"",IF(F20="空",X20-K20,K20-X20))))</f>
        <v/>
      </c>
      <c r="AF20" s="32" t="n"/>
      <c r="AG20" s="32" t="n"/>
      <c r="AH20" s="31" t="n"/>
      <c r="AI20" s="43" t="str">
        <f>IF(A20="","",SUM(AC$5:AC20))</f>
        <v/>
      </c>
      <c r="AJ20" s="45" t="str">
        <f>IF(A20="","",MAX(0,MAX(AI$5:AI20))-AI20)</f>
        <v/>
      </c>
    </row>
    <row r="21">
      <c r="A21" s="29" t="n"/>
      <c r="B21" s="30" t="n"/>
      <c r="C21" s="31" t="n"/>
      <c r="D21" s="32" t="n"/>
      <c r="E21" s="32" t="n"/>
      <c r="F21" s="32" t="n"/>
      <c r="G21" s="32" t="n"/>
      <c r="H21" s="32" t="n"/>
      <c r="I21" s="33" t="n"/>
      <c r="J21" s="33" t="n"/>
      <c r="K21" s="33" t="n"/>
      <c r="L21" s="34" t="str">
        <f>IF(AND(ISNUMBER(I21),ISNUMBER(J21),ISNUMBER(K21)),IF(OR(AND(F21="多",I21&gt;J21),AND(F21="空",I21&lt;J21)),ABS(K21-I21)/ABS(I21-J21),"止损方向不对"),"")</f>
        <v/>
      </c>
      <c r="M21" s="35" t="str">
        <f>IF(AND(ISNUMBER(I21),ISNUMBER(J21)),IF(I21=J21,"",IF(INT(ROUND('参数'!$C$7/(ABS(I21-J21)*IF(N(G21)&gt;0,G21,1)+2*(I21*IF(N(G21)&gt;0,G21,1)*'参数'!$C$12+'参数'!$C$13+'参数'!$C$14*IF(N(G21)&gt;0,G21,1)))/IF(N(H21)&gt;0,H21,1),6))*IF(N(H21)&gt;0,H21,1)&gt;0,INT(ROUND('参数'!$C$7/(ABS(I21-J21)*IF(N(G21)&gt;0,G21,1)+2*(I21*IF(N(G21)&gt;0,G21,1)*'参数'!$C$12+'参数'!$C$13+'参数'!$C$14*IF(N(G21)&gt;0,G21,1)))/IF(N(H21)&gt;0,H21,1),6))*IF(N(H21)&gt;0,H21,1),"预算不足，这笔不做")),"")</f>
        <v/>
      </c>
      <c r="N21" s="36" t="n"/>
      <c r="O21" s="20" t="str">
        <f>IF(AND(ISNUMBER(I21),ISNUMBER(J21),ISNUMBER(N21)),IF(AND(I21&lt;&gt;J21,N21&gt;0),ABS(I21-J21)*N21*IF(N(G21)&gt;0,G21,1),""),"")</f>
        <v/>
      </c>
      <c r="P21" s="31" t="n"/>
      <c r="Q21" s="32" t="n"/>
      <c r="R21" s="37" t="str">
        <f>IF(N(U21)&gt;0,SUMPRODUCT(LARGE(('例-成交明细'!$A$5:$A$804=A21)*('例-成交明细'!$D$5:$D$804=IF(F21="空","卖","买"))*'例-成交明细'!$B$5:$B$804,COUNTIFS('例-成交明细'!$A$5:$A$804,A21,'例-成交明细'!$D$5:$D$804,IF(F21="空","卖","买")))),"")</f>
        <v/>
      </c>
      <c r="S21" s="37" t="str">
        <f>IF(AND(N(U21)&gt;0,N(W21)&gt;=N(U21)),SUMPRODUCT(MAX(('例-成交明细'!$A$5:$A$804=A21)*('例-成交明细'!$D$5:$D$804=IF(F21="空","买","卖"))*'例-成交明细'!$B$5:$B$804)),"")</f>
        <v/>
      </c>
      <c r="T21" s="38" t="str">
        <f>IF(N(U21)=0,"",IF(SUMPRODUCT(('例-成交明细'!$A$5:$A$804=A21)*('例-成交明细'!$D$5:$D$804=IF(F21="空","卖","买"))*ISNUMBER('例-成交明细'!$C$5:$C$804))=0,"没填时间",IFERROR(VLOOKUP(MOD(SUMPRODUCT(LARGE(('例-成交明细'!$A$5:$A$804=A21)*('例-成交明细'!$D$5:$D$804=IF(F21="空","卖","买"))*('例-成交明细'!$B$5:$B$804+'例-成交明细'!$C$5:$C$804),COUNTIFS('例-成交明细'!$A$5:$A$804,A21,'例-成交明细'!$D$5:$D$804,IF(F21="空","卖","买")))),1),'参数'!$B$39:$C$48,2,TRUE),"")))</f>
        <v/>
      </c>
      <c r="U21" s="35" t="str">
        <f>IF(A21="","",SUMIFS('例-成交明细'!$F$5:$F$804,'例-成交明细'!$A$5:$A$804,A21,'例-成交明细'!$D$5:$D$804,IF(F21="空","卖","买")))</f>
        <v/>
      </c>
      <c r="V21" s="39" t="str">
        <f>IF(N(U21)&gt;0,SUMIFS('例-成交明细'!$H$5:$H$804,'例-成交明细'!$A$5:$A$804,A21,'例-成交明细'!$D$5:$D$804,IF(F21="空","卖","买"))/U21,"")</f>
        <v/>
      </c>
      <c r="W21" s="35" t="str">
        <f>IF(A21="","",SUMIFS('例-成交明细'!$F$5:$F$804,'例-成交明细'!$A$5:$A$804,A21,'例-成交明细'!$D$5:$D$804,IF(F21="空","买","卖")))</f>
        <v/>
      </c>
      <c r="X21" s="39" t="str">
        <f>IF(N(W21)&gt;0,SUMIFS('例-成交明细'!$H$5:$H$804,'例-成交明细'!$A$5:$A$804,A21,'例-成交明细'!$D$5:$D$804,IF(F21="空","买","卖"))/W21,"")</f>
        <v/>
      </c>
      <c r="Y21" s="40" t="str">
        <f>IF(A21="","",IF(Q21&lt;&gt;"已执行",IF(Q21="","未填执行情况",Q21),IF(N(U21)=0,"待录成交",IF(N(W21)&gt;N(U21),"平仓多于开仓",IF(N(W21)&lt;N(U21),"持仓中","已平仓")))))</f>
        <v/>
      </c>
      <c r="Z21" s="41" t="str">
        <f>IF(N(U21)=0,"",SUMIFS('例-成交明细'!$L$5:$L$804,'例-成交明细'!$A$5:$A$804,A21))</f>
        <v/>
      </c>
      <c r="AA21" s="42" t="str">
        <f>IF(Y21&lt;&gt;"已平仓","",(SUMIFS('例-成交明细'!$H$5:$H$804,'例-成交明细'!$A$5:$A$804,A21,'例-成交明细'!$D$5:$D$804,"卖")-SUMIFS('例-成交明细'!$H$5:$H$804,'例-成交明细'!$A$5:$A$804,A21,'例-成交明细'!$D$5:$D$804,"买"))*IF(N(G21)&gt;0,G21,1)-Z21)</f>
        <v/>
      </c>
      <c r="AB21" s="43" t="str">
        <f>IF(AND(Y21="已平仓",ISNUMBER(O21)),(SUMIFS('例-成交明细'!$H$5:$H$804,'例-成交明细'!$A$5:$A$804,A21,'例-成交明细'!$D$5:$D$804,"卖")-SUMIFS('例-成交明细'!$H$5:$H$804,'例-成交明细'!$A$5:$A$804,A21,'例-成交明细'!$D$5:$D$804,"买"))*IF(N(G21)&gt;0,G21,1)/O21,"")</f>
        <v/>
      </c>
      <c r="AC21" s="43" t="str">
        <f>IF(AND(Y21="已平仓",ISNUMBER(O21)),AA21/O21,"")</f>
        <v/>
      </c>
      <c r="AD21" s="44" t="str">
        <f>IF(AND(ISNUMBER(V21),ISNUMBER(I21)),IF(F21="空",I21-V21,V21-I21),"")</f>
        <v/>
      </c>
      <c r="AE21" s="44" t="str">
        <f>IF(OR(NOT(ISNUMBER(AA21)),NOT(ISNUMBER(X21))),"",IF(AA21&lt;0,IF(F21="空",X21-J21,J21-X21),IF(NOT(ISNUMBER(K21)),"",IF(F21="空",X21-K21,K21-X21))))</f>
        <v/>
      </c>
      <c r="AF21" s="32" t="n"/>
      <c r="AG21" s="32" t="n"/>
      <c r="AH21" s="31" t="n"/>
      <c r="AI21" s="43" t="str">
        <f>IF(A21="","",SUM(AC$5:AC21))</f>
        <v/>
      </c>
      <c r="AJ21" s="45" t="str">
        <f>IF(A21="","",MAX(0,MAX(AI$5:AI21))-AI21)</f>
        <v/>
      </c>
    </row>
    <row r="22">
      <c r="A22" s="29" t="n"/>
      <c r="B22" s="30" t="n"/>
      <c r="C22" s="31" t="n"/>
      <c r="D22" s="32" t="n"/>
      <c r="E22" s="32" t="n"/>
      <c r="F22" s="32" t="n"/>
      <c r="G22" s="32" t="n"/>
      <c r="H22" s="32" t="n"/>
      <c r="I22" s="33" t="n"/>
      <c r="J22" s="33" t="n"/>
      <c r="K22" s="33" t="n"/>
      <c r="L22" s="34" t="str">
        <f>IF(AND(ISNUMBER(I22),ISNUMBER(J22),ISNUMBER(K22)),IF(OR(AND(F22="多",I22&gt;J22),AND(F22="空",I22&lt;J22)),ABS(K22-I22)/ABS(I22-J22),"止损方向不对"),"")</f>
        <v/>
      </c>
      <c r="M22" s="35" t="str">
        <f>IF(AND(ISNUMBER(I22),ISNUMBER(J22)),IF(I22=J22,"",IF(INT(ROUND('参数'!$C$7/(ABS(I22-J22)*IF(N(G22)&gt;0,G22,1)+2*(I22*IF(N(G22)&gt;0,G22,1)*'参数'!$C$12+'参数'!$C$13+'参数'!$C$14*IF(N(G22)&gt;0,G22,1)))/IF(N(H22)&gt;0,H22,1),6))*IF(N(H22)&gt;0,H22,1)&gt;0,INT(ROUND('参数'!$C$7/(ABS(I22-J22)*IF(N(G22)&gt;0,G22,1)+2*(I22*IF(N(G22)&gt;0,G22,1)*'参数'!$C$12+'参数'!$C$13+'参数'!$C$14*IF(N(G22)&gt;0,G22,1)))/IF(N(H22)&gt;0,H22,1),6))*IF(N(H22)&gt;0,H22,1),"预算不足，这笔不做")),"")</f>
        <v/>
      </c>
      <c r="N22" s="36" t="n"/>
      <c r="O22" s="20" t="str">
        <f>IF(AND(ISNUMBER(I22),ISNUMBER(J22),ISNUMBER(N22)),IF(AND(I22&lt;&gt;J22,N22&gt;0),ABS(I22-J22)*N22*IF(N(G22)&gt;0,G22,1),""),"")</f>
        <v/>
      </c>
      <c r="P22" s="31" t="n"/>
      <c r="Q22" s="32" t="n"/>
      <c r="R22" s="37" t="str">
        <f>IF(N(U22)&gt;0,SUMPRODUCT(LARGE(('例-成交明细'!$A$5:$A$804=A22)*('例-成交明细'!$D$5:$D$804=IF(F22="空","卖","买"))*'例-成交明细'!$B$5:$B$804,COUNTIFS('例-成交明细'!$A$5:$A$804,A22,'例-成交明细'!$D$5:$D$804,IF(F22="空","卖","买")))),"")</f>
        <v/>
      </c>
      <c r="S22" s="37" t="str">
        <f>IF(AND(N(U22)&gt;0,N(W22)&gt;=N(U22)),SUMPRODUCT(MAX(('例-成交明细'!$A$5:$A$804=A22)*('例-成交明细'!$D$5:$D$804=IF(F22="空","买","卖"))*'例-成交明细'!$B$5:$B$804)),"")</f>
        <v/>
      </c>
      <c r="T22" s="38" t="str">
        <f>IF(N(U22)=0,"",IF(SUMPRODUCT(('例-成交明细'!$A$5:$A$804=A22)*('例-成交明细'!$D$5:$D$804=IF(F22="空","卖","买"))*ISNUMBER('例-成交明细'!$C$5:$C$804))=0,"没填时间",IFERROR(VLOOKUP(MOD(SUMPRODUCT(LARGE(('例-成交明细'!$A$5:$A$804=A22)*('例-成交明细'!$D$5:$D$804=IF(F22="空","卖","买"))*('例-成交明细'!$B$5:$B$804+'例-成交明细'!$C$5:$C$804),COUNTIFS('例-成交明细'!$A$5:$A$804,A22,'例-成交明细'!$D$5:$D$804,IF(F22="空","卖","买")))),1),'参数'!$B$39:$C$48,2,TRUE),"")))</f>
        <v/>
      </c>
      <c r="U22" s="35" t="str">
        <f>IF(A22="","",SUMIFS('例-成交明细'!$F$5:$F$804,'例-成交明细'!$A$5:$A$804,A22,'例-成交明细'!$D$5:$D$804,IF(F22="空","卖","买")))</f>
        <v/>
      </c>
      <c r="V22" s="39" t="str">
        <f>IF(N(U22)&gt;0,SUMIFS('例-成交明细'!$H$5:$H$804,'例-成交明细'!$A$5:$A$804,A22,'例-成交明细'!$D$5:$D$804,IF(F22="空","卖","买"))/U22,"")</f>
        <v/>
      </c>
      <c r="W22" s="35" t="str">
        <f>IF(A22="","",SUMIFS('例-成交明细'!$F$5:$F$804,'例-成交明细'!$A$5:$A$804,A22,'例-成交明细'!$D$5:$D$804,IF(F22="空","买","卖")))</f>
        <v/>
      </c>
      <c r="X22" s="39" t="str">
        <f>IF(N(W22)&gt;0,SUMIFS('例-成交明细'!$H$5:$H$804,'例-成交明细'!$A$5:$A$804,A22,'例-成交明细'!$D$5:$D$804,IF(F22="空","买","卖"))/W22,"")</f>
        <v/>
      </c>
      <c r="Y22" s="40" t="str">
        <f>IF(A22="","",IF(Q22&lt;&gt;"已执行",IF(Q22="","未填执行情况",Q22),IF(N(U22)=0,"待录成交",IF(N(W22)&gt;N(U22),"平仓多于开仓",IF(N(W22)&lt;N(U22),"持仓中","已平仓")))))</f>
        <v/>
      </c>
      <c r="Z22" s="41" t="str">
        <f>IF(N(U22)=0,"",SUMIFS('例-成交明细'!$L$5:$L$804,'例-成交明细'!$A$5:$A$804,A22))</f>
        <v/>
      </c>
      <c r="AA22" s="42" t="str">
        <f>IF(Y22&lt;&gt;"已平仓","",(SUMIFS('例-成交明细'!$H$5:$H$804,'例-成交明细'!$A$5:$A$804,A22,'例-成交明细'!$D$5:$D$804,"卖")-SUMIFS('例-成交明细'!$H$5:$H$804,'例-成交明细'!$A$5:$A$804,A22,'例-成交明细'!$D$5:$D$804,"买"))*IF(N(G22)&gt;0,G22,1)-Z22)</f>
        <v/>
      </c>
      <c r="AB22" s="43" t="str">
        <f>IF(AND(Y22="已平仓",ISNUMBER(O22)),(SUMIFS('例-成交明细'!$H$5:$H$804,'例-成交明细'!$A$5:$A$804,A22,'例-成交明细'!$D$5:$D$804,"卖")-SUMIFS('例-成交明细'!$H$5:$H$804,'例-成交明细'!$A$5:$A$804,A22,'例-成交明细'!$D$5:$D$804,"买"))*IF(N(G22)&gt;0,G22,1)/O22,"")</f>
        <v/>
      </c>
      <c r="AC22" s="43" t="str">
        <f>IF(AND(Y22="已平仓",ISNUMBER(O22)),AA22/O22,"")</f>
        <v/>
      </c>
      <c r="AD22" s="44" t="str">
        <f>IF(AND(ISNUMBER(V22),ISNUMBER(I22)),IF(F22="空",I22-V22,V22-I22),"")</f>
        <v/>
      </c>
      <c r="AE22" s="44" t="str">
        <f>IF(OR(NOT(ISNUMBER(AA22)),NOT(ISNUMBER(X22))),"",IF(AA22&lt;0,IF(F22="空",X22-J22,J22-X22),IF(NOT(ISNUMBER(K22)),"",IF(F22="空",X22-K22,K22-X22))))</f>
        <v/>
      </c>
      <c r="AF22" s="32" t="n"/>
      <c r="AG22" s="32" t="n"/>
      <c r="AH22" s="31" t="n"/>
      <c r="AI22" s="43" t="str">
        <f>IF(A22="","",SUM(AC$5:AC22))</f>
        <v/>
      </c>
      <c r="AJ22" s="45" t="str">
        <f>IF(A22="","",MAX(0,MAX(AI$5:AI22))-AI22)</f>
        <v/>
      </c>
    </row>
    <row r="23">
      <c r="A23" s="29" t="n"/>
      <c r="B23" s="30" t="n"/>
      <c r="C23" s="31" t="n"/>
      <c r="D23" s="32" t="n"/>
      <c r="E23" s="32" t="n"/>
      <c r="F23" s="32" t="n"/>
      <c r="G23" s="32" t="n"/>
      <c r="H23" s="32" t="n"/>
      <c r="I23" s="33" t="n"/>
      <c r="J23" s="33" t="n"/>
      <c r="K23" s="33" t="n"/>
      <c r="L23" s="34" t="str">
        <f>IF(AND(ISNUMBER(I23),ISNUMBER(J23),ISNUMBER(K23)),IF(OR(AND(F23="多",I23&gt;J23),AND(F23="空",I23&lt;J23)),ABS(K23-I23)/ABS(I23-J23),"止损方向不对"),"")</f>
        <v/>
      </c>
      <c r="M23" s="35" t="str">
        <f>IF(AND(ISNUMBER(I23),ISNUMBER(J23)),IF(I23=J23,"",IF(INT(ROUND('参数'!$C$7/(ABS(I23-J23)*IF(N(G23)&gt;0,G23,1)+2*(I23*IF(N(G23)&gt;0,G23,1)*'参数'!$C$12+'参数'!$C$13+'参数'!$C$14*IF(N(G23)&gt;0,G23,1)))/IF(N(H23)&gt;0,H23,1),6))*IF(N(H23)&gt;0,H23,1)&gt;0,INT(ROUND('参数'!$C$7/(ABS(I23-J23)*IF(N(G23)&gt;0,G23,1)+2*(I23*IF(N(G23)&gt;0,G23,1)*'参数'!$C$12+'参数'!$C$13+'参数'!$C$14*IF(N(G23)&gt;0,G23,1)))/IF(N(H23)&gt;0,H23,1),6))*IF(N(H23)&gt;0,H23,1),"预算不足，这笔不做")),"")</f>
        <v/>
      </c>
      <c r="N23" s="36" t="n"/>
      <c r="O23" s="20" t="str">
        <f>IF(AND(ISNUMBER(I23),ISNUMBER(J23),ISNUMBER(N23)),IF(AND(I23&lt;&gt;J23,N23&gt;0),ABS(I23-J23)*N23*IF(N(G23)&gt;0,G23,1),""),"")</f>
        <v/>
      </c>
      <c r="P23" s="31" t="n"/>
      <c r="Q23" s="32" t="n"/>
      <c r="R23" s="37" t="str">
        <f>IF(N(U23)&gt;0,SUMPRODUCT(LARGE(('例-成交明细'!$A$5:$A$804=A23)*('例-成交明细'!$D$5:$D$804=IF(F23="空","卖","买"))*'例-成交明细'!$B$5:$B$804,COUNTIFS('例-成交明细'!$A$5:$A$804,A23,'例-成交明细'!$D$5:$D$804,IF(F23="空","卖","买")))),"")</f>
        <v/>
      </c>
      <c r="S23" s="37" t="str">
        <f>IF(AND(N(U23)&gt;0,N(W23)&gt;=N(U23)),SUMPRODUCT(MAX(('例-成交明细'!$A$5:$A$804=A23)*('例-成交明细'!$D$5:$D$804=IF(F23="空","买","卖"))*'例-成交明细'!$B$5:$B$804)),"")</f>
        <v/>
      </c>
      <c r="T23" s="38" t="str">
        <f>IF(N(U23)=0,"",IF(SUMPRODUCT(('例-成交明细'!$A$5:$A$804=A23)*('例-成交明细'!$D$5:$D$804=IF(F23="空","卖","买"))*ISNUMBER('例-成交明细'!$C$5:$C$804))=0,"没填时间",IFERROR(VLOOKUP(MOD(SUMPRODUCT(LARGE(('例-成交明细'!$A$5:$A$804=A23)*('例-成交明细'!$D$5:$D$804=IF(F23="空","卖","买"))*('例-成交明细'!$B$5:$B$804+'例-成交明细'!$C$5:$C$804),COUNTIFS('例-成交明细'!$A$5:$A$804,A23,'例-成交明细'!$D$5:$D$804,IF(F23="空","卖","买")))),1),'参数'!$B$39:$C$48,2,TRUE),"")))</f>
        <v/>
      </c>
      <c r="U23" s="35" t="str">
        <f>IF(A23="","",SUMIFS('例-成交明细'!$F$5:$F$804,'例-成交明细'!$A$5:$A$804,A23,'例-成交明细'!$D$5:$D$804,IF(F23="空","卖","买")))</f>
        <v/>
      </c>
      <c r="V23" s="39" t="str">
        <f>IF(N(U23)&gt;0,SUMIFS('例-成交明细'!$H$5:$H$804,'例-成交明细'!$A$5:$A$804,A23,'例-成交明细'!$D$5:$D$804,IF(F23="空","卖","买"))/U23,"")</f>
        <v/>
      </c>
      <c r="W23" s="35" t="str">
        <f>IF(A23="","",SUMIFS('例-成交明细'!$F$5:$F$804,'例-成交明细'!$A$5:$A$804,A23,'例-成交明细'!$D$5:$D$804,IF(F23="空","买","卖")))</f>
        <v/>
      </c>
      <c r="X23" s="39" t="str">
        <f>IF(N(W23)&gt;0,SUMIFS('例-成交明细'!$H$5:$H$804,'例-成交明细'!$A$5:$A$804,A23,'例-成交明细'!$D$5:$D$804,IF(F23="空","买","卖"))/W23,"")</f>
        <v/>
      </c>
      <c r="Y23" s="40" t="str">
        <f>IF(A23="","",IF(Q23&lt;&gt;"已执行",IF(Q23="","未填执行情况",Q23),IF(N(U23)=0,"待录成交",IF(N(W23)&gt;N(U23),"平仓多于开仓",IF(N(W23)&lt;N(U23),"持仓中","已平仓")))))</f>
        <v/>
      </c>
      <c r="Z23" s="41" t="str">
        <f>IF(N(U23)=0,"",SUMIFS('例-成交明细'!$L$5:$L$804,'例-成交明细'!$A$5:$A$804,A23))</f>
        <v/>
      </c>
      <c r="AA23" s="42" t="str">
        <f>IF(Y23&lt;&gt;"已平仓","",(SUMIFS('例-成交明细'!$H$5:$H$804,'例-成交明细'!$A$5:$A$804,A23,'例-成交明细'!$D$5:$D$804,"卖")-SUMIFS('例-成交明细'!$H$5:$H$804,'例-成交明细'!$A$5:$A$804,A23,'例-成交明细'!$D$5:$D$804,"买"))*IF(N(G23)&gt;0,G23,1)-Z23)</f>
        <v/>
      </c>
      <c r="AB23" s="43" t="str">
        <f>IF(AND(Y23="已平仓",ISNUMBER(O23)),(SUMIFS('例-成交明细'!$H$5:$H$804,'例-成交明细'!$A$5:$A$804,A23,'例-成交明细'!$D$5:$D$804,"卖")-SUMIFS('例-成交明细'!$H$5:$H$804,'例-成交明细'!$A$5:$A$804,A23,'例-成交明细'!$D$5:$D$804,"买"))*IF(N(G23)&gt;0,G23,1)/O23,"")</f>
        <v/>
      </c>
      <c r="AC23" s="43" t="str">
        <f>IF(AND(Y23="已平仓",ISNUMBER(O23)),AA23/O23,"")</f>
        <v/>
      </c>
      <c r="AD23" s="44" t="str">
        <f>IF(AND(ISNUMBER(V23),ISNUMBER(I23)),IF(F23="空",I23-V23,V23-I23),"")</f>
        <v/>
      </c>
      <c r="AE23" s="44" t="str">
        <f>IF(OR(NOT(ISNUMBER(AA23)),NOT(ISNUMBER(X23))),"",IF(AA23&lt;0,IF(F23="空",X23-J23,J23-X23),IF(NOT(ISNUMBER(K23)),"",IF(F23="空",X23-K23,K23-X23))))</f>
        <v/>
      </c>
      <c r="AF23" s="32" t="n"/>
      <c r="AG23" s="32" t="n"/>
      <c r="AH23" s="31" t="n"/>
      <c r="AI23" s="43" t="str">
        <f>IF(A23="","",SUM(AC$5:AC23))</f>
        <v/>
      </c>
      <c r="AJ23" s="45" t="str">
        <f>IF(A23="","",MAX(0,MAX(AI$5:AI23))-AI23)</f>
        <v/>
      </c>
    </row>
    <row r="24">
      <c r="A24" s="29" t="n"/>
      <c r="B24" s="30" t="n"/>
      <c r="C24" s="31" t="n"/>
      <c r="D24" s="32" t="n"/>
      <c r="E24" s="32" t="n"/>
      <c r="F24" s="32" t="n"/>
      <c r="G24" s="32" t="n"/>
      <c r="H24" s="32" t="n"/>
      <c r="I24" s="33" t="n"/>
      <c r="J24" s="33" t="n"/>
      <c r="K24" s="33" t="n"/>
      <c r="L24" s="34" t="str">
        <f>IF(AND(ISNUMBER(I24),ISNUMBER(J24),ISNUMBER(K24)),IF(OR(AND(F24="多",I24&gt;J24),AND(F24="空",I24&lt;J24)),ABS(K24-I24)/ABS(I24-J24),"止损方向不对"),"")</f>
        <v/>
      </c>
      <c r="M24" s="35" t="str">
        <f>IF(AND(ISNUMBER(I24),ISNUMBER(J24)),IF(I24=J24,"",IF(INT(ROUND('参数'!$C$7/(ABS(I24-J24)*IF(N(G24)&gt;0,G24,1)+2*(I24*IF(N(G24)&gt;0,G24,1)*'参数'!$C$12+'参数'!$C$13+'参数'!$C$14*IF(N(G24)&gt;0,G24,1)))/IF(N(H24)&gt;0,H24,1),6))*IF(N(H24)&gt;0,H24,1)&gt;0,INT(ROUND('参数'!$C$7/(ABS(I24-J24)*IF(N(G24)&gt;0,G24,1)+2*(I24*IF(N(G24)&gt;0,G24,1)*'参数'!$C$12+'参数'!$C$13+'参数'!$C$14*IF(N(G24)&gt;0,G24,1)))/IF(N(H24)&gt;0,H24,1),6))*IF(N(H24)&gt;0,H24,1),"预算不足，这笔不做")),"")</f>
        <v/>
      </c>
      <c r="N24" s="36" t="n"/>
      <c r="O24" s="20" t="str">
        <f>IF(AND(ISNUMBER(I24),ISNUMBER(J24),ISNUMBER(N24)),IF(AND(I24&lt;&gt;J24,N24&gt;0),ABS(I24-J24)*N24*IF(N(G24)&gt;0,G24,1),""),"")</f>
        <v/>
      </c>
      <c r="P24" s="31" t="n"/>
      <c r="Q24" s="32" t="n"/>
      <c r="R24" s="37" t="str">
        <f>IF(N(U24)&gt;0,SUMPRODUCT(LARGE(('例-成交明细'!$A$5:$A$804=A24)*('例-成交明细'!$D$5:$D$804=IF(F24="空","卖","买"))*'例-成交明细'!$B$5:$B$804,COUNTIFS('例-成交明细'!$A$5:$A$804,A24,'例-成交明细'!$D$5:$D$804,IF(F24="空","卖","买")))),"")</f>
        <v/>
      </c>
      <c r="S24" s="37" t="str">
        <f>IF(AND(N(U24)&gt;0,N(W24)&gt;=N(U24)),SUMPRODUCT(MAX(('例-成交明细'!$A$5:$A$804=A24)*('例-成交明细'!$D$5:$D$804=IF(F24="空","买","卖"))*'例-成交明细'!$B$5:$B$804)),"")</f>
        <v/>
      </c>
      <c r="T24" s="38" t="str">
        <f>IF(N(U24)=0,"",IF(SUMPRODUCT(('例-成交明细'!$A$5:$A$804=A24)*('例-成交明细'!$D$5:$D$804=IF(F24="空","卖","买"))*ISNUMBER('例-成交明细'!$C$5:$C$804))=0,"没填时间",IFERROR(VLOOKUP(MOD(SUMPRODUCT(LARGE(('例-成交明细'!$A$5:$A$804=A24)*('例-成交明细'!$D$5:$D$804=IF(F24="空","卖","买"))*('例-成交明细'!$B$5:$B$804+'例-成交明细'!$C$5:$C$804),COUNTIFS('例-成交明细'!$A$5:$A$804,A24,'例-成交明细'!$D$5:$D$804,IF(F24="空","卖","买")))),1),'参数'!$B$39:$C$48,2,TRUE),"")))</f>
        <v/>
      </c>
      <c r="U24" s="35" t="str">
        <f>IF(A24="","",SUMIFS('例-成交明细'!$F$5:$F$804,'例-成交明细'!$A$5:$A$804,A24,'例-成交明细'!$D$5:$D$804,IF(F24="空","卖","买")))</f>
        <v/>
      </c>
      <c r="V24" s="39" t="str">
        <f>IF(N(U24)&gt;0,SUMIFS('例-成交明细'!$H$5:$H$804,'例-成交明细'!$A$5:$A$804,A24,'例-成交明细'!$D$5:$D$804,IF(F24="空","卖","买"))/U24,"")</f>
        <v/>
      </c>
      <c r="W24" s="35" t="str">
        <f>IF(A24="","",SUMIFS('例-成交明细'!$F$5:$F$804,'例-成交明细'!$A$5:$A$804,A24,'例-成交明细'!$D$5:$D$804,IF(F24="空","买","卖")))</f>
        <v/>
      </c>
      <c r="X24" s="39" t="str">
        <f>IF(N(W24)&gt;0,SUMIFS('例-成交明细'!$H$5:$H$804,'例-成交明细'!$A$5:$A$804,A24,'例-成交明细'!$D$5:$D$804,IF(F24="空","买","卖"))/W24,"")</f>
        <v/>
      </c>
      <c r="Y24" s="40" t="str">
        <f>IF(A24="","",IF(Q24&lt;&gt;"已执行",IF(Q24="","未填执行情况",Q24),IF(N(U24)=0,"待录成交",IF(N(W24)&gt;N(U24),"平仓多于开仓",IF(N(W24)&lt;N(U24),"持仓中","已平仓")))))</f>
        <v/>
      </c>
      <c r="Z24" s="41" t="str">
        <f>IF(N(U24)=0,"",SUMIFS('例-成交明细'!$L$5:$L$804,'例-成交明细'!$A$5:$A$804,A24))</f>
        <v/>
      </c>
      <c r="AA24" s="42" t="str">
        <f>IF(Y24&lt;&gt;"已平仓","",(SUMIFS('例-成交明细'!$H$5:$H$804,'例-成交明细'!$A$5:$A$804,A24,'例-成交明细'!$D$5:$D$804,"卖")-SUMIFS('例-成交明细'!$H$5:$H$804,'例-成交明细'!$A$5:$A$804,A24,'例-成交明细'!$D$5:$D$804,"买"))*IF(N(G24)&gt;0,G24,1)-Z24)</f>
        <v/>
      </c>
      <c r="AB24" s="43" t="str">
        <f>IF(AND(Y24="已平仓",ISNUMBER(O24)),(SUMIFS('例-成交明细'!$H$5:$H$804,'例-成交明细'!$A$5:$A$804,A24,'例-成交明细'!$D$5:$D$804,"卖")-SUMIFS('例-成交明细'!$H$5:$H$804,'例-成交明细'!$A$5:$A$804,A24,'例-成交明细'!$D$5:$D$804,"买"))*IF(N(G24)&gt;0,G24,1)/O24,"")</f>
        <v/>
      </c>
      <c r="AC24" s="43" t="str">
        <f>IF(AND(Y24="已平仓",ISNUMBER(O24)),AA24/O24,"")</f>
        <v/>
      </c>
      <c r="AD24" s="44" t="str">
        <f>IF(AND(ISNUMBER(V24),ISNUMBER(I24)),IF(F24="空",I24-V24,V24-I24),"")</f>
        <v/>
      </c>
      <c r="AE24" s="44" t="str">
        <f>IF(OR(NOT(ISNUMBER(AA24)),NOT(ISNUMBER(X24))),"",IF(AA24&lt;0,IF(F24="空",X24-J24,J24-X24),IF(NOT(ISNUMBER(K24)),"",IF(F24="空",X24-K24,K24-X24))))</f>
        <v/>
      </c>
      <c r="AF24" s="32" t="n"/>
      <c r="AG24" s="32" t="n"/>
      <c r="AH24" s="31" t="n"/>
      <c r="AI24" s="43" t="str">
        <f>IF(A24="","",SUM(AC$5:AC24))</f>
        <v/>
      </c>
      <c r="AJ24" s="45" t="str">
        <f>IF(A24="","",MAX(0,MAX(AI$5:AI24))-AI24)</f>
        <v/>
      </c>
    </row>
    <row r="25">
      <c r="A25" s="29" t="n"/>
      <c r="B25" s="30" t="n"/>
      <c r="C25" s="31" t="n"/>
      <c r="D25" s="32" t="n"/>
      <c r="E25" s="32" t="n"/>
      <c r="F25" s="32" t="n"/>
      <c r="G25" s="32" t="n"/>
      <c r="H25" s="32" t="n"/>
      <c r="I25" s="33" t="n"/>
      <c r="J25" s="33" t="n"/>
      <c r="K25" s="33" t="n"/>
      <c r="L25" s="34" t="str">
        <f>IF(AND(ISNUMBER(I25),ISNUMBER(J25),ISNUMBER(K25)),IF(OR(AND(F25="多",I25&gt;J25),AND(F25="空",I25&lt;J25)),ABS(K25-I25)/ABS(I25-J25),"止损方向不对"),"")</f>
        <v/>
      </c>
      <c r="M25" s="35" t="str">
        <f>IF(AND(ISNUMBER(I25),ISNUMBER(J25)),IF(I25=J25,"",IF(INT(ROUND('参数'!$C$7/(ABS(I25-J25)*IF(N(G25)&gt;0,G25,1)+2*(I25*IF(N(G25)&gt;0,G25,1)*'参数'!$C$12+'参数'!$C$13+'参数'!$C$14*IF(N(G25)&gt;0,G25,1)))/IF(N(H25)&gt;0,H25,1),6))*IF(N(H25)&gt;0,H25,1)&gt;0,INT(ROUND('参数'!$C$7/(ABS(I25-J25)*IF(N(G25)&gt;0,G25,1)+2*(I25*IF(N(G25)&gt;0,G25,1)*'参数'!$C$12+'参数'!$C$13+'参数'!$C$14*IF(N(G25)&gt;0,G25,1)))/IF(N(H25)&gt;0,H25,1),6))*IF(N(H25)&gt;0,H25,1),"预算不足，这笔不做")),"")</f>
        <v/>
      </c>
      <c r="N25" s="36" t="n"/>
      <c r="O25" s="20" t="str">
        <f>IF(AND(ISNUMBER(I25),ISNUMBER(J25),ISNUMBER(N25)),IF(AND(I25&lt;&gt;J25,N25&gt;0),ABS(I25-J25)*N25*IF(N(G25)&gt;0,G25,1),""),"")</f>
        <v/>
      </c>
      <c r="P25" s="31" t="n"/>
      <c r="Q25" s="32" t="n"/>
      <c r="R25" s="37" t="str">
        <f>IF(N(U25)&gt;0,SUMPRODUCT(LARGE(('例-成交明细'!$A$5:$A$804=A25)*('例-成交明细'!$D$5:$D$804=IF(F25="空","卖","买"))*'例-成交明细'!$B$5:$B$804,COUNTIFS('例-成交明细'!$A$5:$A$804,A25,'例-成交明细'!$D$5:$D$804,IF(F25="空","卖","买")))),"")</f>
        <v/>
      </c>
      <c r="S25" s="37" t="str">
        <f>IF(AND(N(U25)&gt;0,N(W25)&gt;=N(U25)),SUMPRODUCT(MAX(('例-成交明细'!$A$5:$A$804=A25)*('例-成交明细'!$D$5:$D$804=IF(F25="空","买","卖"))*'例-成交明细'!$B$5:$B$804)),"")</f>
        <v/>
      </c>
      <c r="T25" s="38" t="str">
        <f>IF(N(U25)=0,"",IF(SUMPRODUCT(('例-成交明细'!$A$5:$A$804=A25)*('例-成交明细'!$D$5:$D$804=IF(F25="空","卖","买"))*ISNUMBER('例-成交明细'!$C$5:$C$804))=0,"没填时间",IFERROR(VLOOKUP(MOD(SUMPRODUCT(LARGE(('例-成交明细'!$A$5:$A$804=A25)*('例-成交明细'!$D$5:$D$804=IF(F25="空","卖","买"))*('例-成交明细'!$B$5:$B$804+'例-成交明细'!$C$5:$C$804),COUNTIFS('例-成交明细'!$A$5:$A$804,A25,'例-成交明细'!$D$5:$D$804,IF(F25="空","卖","买")))),1),'参数'!$B$39:$C$48,2,TRUE),"")))</f>
        <v/>
      </c>
      <c r="U25" s="35" t="str">
        <f>IF(A25="","",SUMIFS('例-成交明细'!$F$5:$F$804,'例-成交明细'!$A$5:$A$804,A25,'例-成交明细'!$D$5:$D$804,IF(F25="空","卖","买")))</f>
        <v/>
      </c>
      <c r="V25" s="39" t="str">
        <f>IF(N(U25)&gt;0,SUMIFS('例-成交明细'!$H$5:$H$804,'例-成交明细'!$A$5:$A$804,A25,'例-成交明细'!$D$5:$D$804,IF(F25="空","卖","买"))/U25,"")</f>
        <v/>
      </c>
      <c r="W25" s="35" t="str">
        <f>IF(A25="","",SUMIFS('例-成交明细'!$F$5:$F$804,'例-成交明细'!$A$5:$A$804,A25,'例-成交明细'!$D$5:$D$804,IF(F25="空","买","卖")))</f>
        <v/>
      </c>
      <c r="X25" s="39" t="str">
        <f>IF(N(W25)&gt;0,SUMIFS('例-成交明细'!$H$5:$H$804,'例-成交明细'!$A$5:$A$804,A25,'例-成交明细'!$D$5:$D$804,IF(F25="空","买","卖"))/W25,"")</f>
        <v/>
      </c>
      <c r="Y25" s="40" t="str">
        <f>IF(A25="","",IF(Q25&lt;&gt;"已执行",IF(Q25="","未填执行情况",Q25),IF(N(U25)=0,"待录成交",IF(N(W25)&gt;N(U25),"平仓多于开仓",IF(N(W25)&lt;N(U25),"持仓中","已平仓")))))</f>
        <v/>
      </c>
      <c r="Z25" s="41" t="str">
        <f>IF(N(U25)=0,"",SUMIFS('例-成交明细'!$L$5:$L$804,'例-成交明细'!$A$5:$A$804,A25))</f>
        <v/>
      </c>
      <c r="AA25" s="42" t="str">
        <f>IF(Y25&lt;&gt;"已平仓","",(SUMIFS('例-成交明细'!$H$5:$H$804,'例-成交明细'!$A$5:$A$804,A25,'例-成交明细'!$D$5:$D$804,"卖")-SUMIFS('例-成交明细'!$H$5:$H$804,'例-成交明细'!$A$5:$A$804,A25,'例-成交明细'!$D$5:$D$804,"买"))*IF(N(G25)&gt;0,G25,1)-Z25)</f>
        <v/>
      </c>
      <c r="AB25" s="43" t="str">
        <f>IF(AND(Y25="已平仓",ISNUMBER(O25)),(SUMIFS('例-成交明细'!$H$5:$H$804,'例-成交明细'!$A$5:$A$804,A25,'例-成交明细'!$D$5:$D$804,"卖")-SUMIFS('例-成交明细'!$H$5:$H$804,'例-成交明细'!$A$5:$A$804,A25,'例-成交明细'!$D$5:$D$804,"买"))*IF(N(G25)&gt;0,G25,1)/O25,"")</f>
        <v/>
      </c>
      <c r="AC25" s="43" t="str">
        <f>IF(AND(Y25="已平仓",ISNUMBER(O25)),AA25/O25,"")</f>
        <v/>
      </c>
      <c r="AD25" s="44" t="str">
        <f>IF(AND(ISNUMBER(V25),ISNUMBER(I25)),IF(F25="空",I25-V25,V25-I25),"")</f>
        <v/>
      </c>
      <c r="AE25" s="44" t="str">
        <f>IF(OR(NOT(ISNUMBER(AA25)),NOT(ISNUMBER(X25))),"",IF(AA25&lt;0,IF(F25="空",X25-J25,J25-X25),IF(NOT(ISNUMBER(K25)),"",IF(F25="空",X25-K25,K25-X25))))</f>
        <v/>
      </c>
      <c r="AF25" s="32" t="n"/>
      <c r="AG25" s="32" t="n"/>
      <c r="AH25" s="31" t="n"/>
      <c r="AI25" s="43" t="str">
        <f>IF(A25="","",SUM(AC$5:AC25))</f>
        <v/>
      </c>
      <c r="AJ25" s="45" t="str">
        <f>IF(A25="","",MAX(0,MAX(AI$5:AI25))-AI25)</f>
        <v/>
      </c>
    </row>
    <row r="26">
      <c r="A26" s="29" t="n"/>
      <c r="B26" s="30" t="n"/>
      <c r="C26" s="31" t="n"/>
      <c r="D26" s="32" t="n"/>
      <c r="E26" s="32" t="n"/>
      <c r="F26" s="32" t="n"/>
      <c r="G26" s="32" t="n"/>
      <c r="H26" s="32" t="n"/>
      <c r="I26" s="33" t="n"/>
      <c r="J26" s="33" t="n"/>
      <c r="K26" s="33" t="n"/>
      <c r="L26" s="34" t="str">
        <f>IF(AND(ISNUMBER(I26),ISNUMBER(J26),ISNUMBER(K26)),IF(OR(AND(F26="多",I26&gt;J26),AND(F26="空",I26&lt;J26)),ABS(K26-I26)/ABS(I26-J26),"止损方向不对"),"")</f>
        <v/>
      </c>
      <c r="M26" s="35" t="str">
        <f>IF(AND(ISNUMBER(I26),ISNUMBER(J26)),IF(I26=J26,"",IF(INT(ROUND('参数'!$C$7/(ABS(I26-J26)*IF(N(G26)&gt;0,G26,1)+2*(I26*IF(N(G26)&gt;0,G26,1)*'参数'!$C$12+'参数'!$C$13+'参数'!$C$14*IF(N(G26)&gt;0,G26,1)))/IF(N(H26)&gt;0,H26,1),6))*IF(N(H26)&gt;0,H26,1)&gt;0,INT(ROUND('参数'!$C$7/(ABS(I26-J26)*IF(N(G26)&gt;0,G26,1)+2*(I26*IF(N(G26)&gt;0,G26,1)*'参数'!$C$12+'参数'!$C$13+'参数'!$C$14*IF(N(G26)&gt;0,G26,1)))/IF(N(H26)&gt;0,H26,1),6))*IF(N(H26)&gt;0,H26,1),"预算不足，这笔不做")),"")</f>
        <v/>
      </c>
      <c r="N26" s="36" t="n"/>
      <c r="O26" s="20" t="str">
        <f>IF(AND(ISNUMBER(I26),ISNUMBER(J26),ISNUMBER(N26)),IF(AND(I26&lt;&gt;J26,N26&gt;0),ABS(I26-J26)*N26*IF(N(G26)&gt;0,G26,1),""),"")</f>
        <v/>
      </c>
      <c r="P26" s="31" t="n"/>
      <c r="Q26" s="32" t="n"/>
      <c r="R26" s="37" t="str">
        <f>IF(N(U26)&gt;0,SUMPRODUCT(LARGE(('例-成交明细'!$A$5:$A$804=A26)*('例-成交明细'!$D$5:$D$804=IF(F26="空","卖","买"))*'例-成交明细'!$B$5:$B$804,COUNTIFS('例-成交明细'!$A$5:$A$804,A26,'例-成交明细'!$D$5:$D$804,IF(F26="空","卖","买")))),"")</f>
        <v/>
      </c>
      <c r="S26" s="37" t="str">
        <f>IF(AND(N(U26)&gt;0,N(W26)&gt;=N(U26)),SUMPRODUCT(MAX(('例-成交明细'!$A$5:$A$804=A26)*('例-成交明细'!$D$5:$D$804=IF(F26="空","买","卖"))*'例-成交明细'!$B$5:$B$804)),"")</f>
        <v/>
      </c>
      <c r="T26" s="38" t="str">
        <f>IF(N(U26)=0,"",IF(SUMPRODUCT(('例-成交明细'!$A$5:$A$804=A26)*('例-成交明细'!$D$5:$D$804=IF(F26="空","卖","买"))*ISNUMBER('例-成交明细'!$C$5:$C$804))=0,"没填时间",IFERROR(VLOOKUP(MOD(SUMPRODUCT(LARGE(('例-成交明细'!$A$5:$A$804=A26)*('例-成交明细'!$D$5:$D$804=IF(F26="空","卖","买"))*('例-成交明细'!$B$5:$B$804+'例-成交明细'!$C$5:$C$804),COUNTIFS('例-成交明细'!$A$5:$A$804,A26,'例-成交明细'!$D$5:$D$804,IF(F26="空","卖","买")))),1),'参数'!$B$39:$C$48,2,TRUE),"")))</f>
        <v/>
      </c>
      <c r="U26" s="35" t="str">
        <f>IF(A26="","",SUMIFS('例-成交明细'!$F$5:$F$804,'例-成交明细'!$A$5:$A$804,A26,'例-成交明细'!$D$5:$D$804,IF(F26="空","卖","买")))</f>
        <v/>
      </c>
      <c r="V26" s="39" t="str">
        <f>IF(N(U26)&gt;0,SUMIFS('例-成交明细'!$H$5:$H$804,'例-成交明细'!$A$5:$A$804,A26,'例-成交明细'!$D$5:$D$804,IF(F26="空","卖","买"))/U26,"")</f>
        <v/>
      </c>
      <c r="W26" s="35" t="str">
        <f>IF(A26="","",SUMIFS('例-成交明细'!$F$5:$F$804,'例-成交明细'!$A$5:$A$804,A26,'例-成交明细'!$D$5:$D$804,IF(F26="空","买","卖")))</f>
        <v/>
      </c>
      <c r="X26" s="39" t="str">
        <f>IF(N(W26)&gt;0,SUMIFS('例-成交明细'!$H$5:$H$804,'例-成交明细'!$A$5:$A$804,A26,'例-成交明细'!$D$5:$D$804,IF(F26="空","买","卖"))/W26,"")</f>
        <v/>
      </c>
      <c r="Y26" s="40" t="str">
        <f>IF(A26="","",IF(Q26&lt;&gt;"已执行",IF(Q26="","未填执行情况",Q26),IF(N(U26)=0,"待录成交",IF(N(W26)&gt;N(U26),"平仓多于开仓",IF(N(W26)&lt;N(U26),"持仓中","已平仓")))))</f>
        <v/>
      </c>
      <c r="Z26" s="41" t="str">
        <f>IF(N(U26)=0,"",SUMIFS('例-成交明细'!$L$5:$L$804,'例-成交明细'!$A$5:$A$804,A26))</f>
        <v/>
      </c>
      <c r="AA26" s="42" t="str">
        <f>IF(Y26&lt;&gt;"已平仓","",(SUMIFS('例-成交明细'!$H$5:$H$804,'例-成交明细'!$A$5:$A$804,A26,'例-成交明细'!$D$5:$D$804,"卖")-SUMIFS('例-成交明细'!$H$5:$H$804,'例-成交明细'!$A$5:$A$804,A26,'例-成交明细'!$D$5:$D$804,"买"))*IF(N(G26)&gt;0,G26,1)-Z26)</f>
        <v/>
      </c>
      <c r="AB26" s="43" t="str">
        <f>IF(AND(Y26="已平仓",ISNUMBER(O26)),(SUMIFS('例-成交明细'!$H$5:$H$804,'例-成交明细'!$A$5:$A$804,A26,'例-成交明细'!$D$5:$D$804,"卖")-SUMIFS('例-成交明细'!$H$5:$H$804,'例-成交明细'!$A$5:$A$804,A26,'例-成交明细'!$D$5:$D$804,"买"))*IF(N(G26)&gt;0,G26,1)/O26,"")</f>
        <v/>
      </c>
      <c r="AC26" s="43" t="str">
        <f>IF(AND(Y26="已平仓",ISNUMBER(O26)),AA26/O26,"")</f>
        <v/>
      </c>
      <c r="AD26" s="44" t="str">
        <f>IF(AND(ISNUMBER(V26),ISNUMBER(I26)),IF(F26="空",I26-V26,V26-I26),"")</f>
        <v/>
      </c>
      <c r="AE26" s="44" t="str">
        <f>IF(OR(NOT(ISNUMBER(AA26)),NOT(ISNUMBER(X26))),"",IF(AA26&lt;0,IF(F26="空",X26-J26,J26-X26),IF(NOT(ISNUMBER(K26)),"",IF(F26="空",X26-K26,K26-X26))))</f>
        <v/>
      </c>
      <c r="AF26" s="32" t="n"/>
      <c r="AG26" s="32" t="n"/>
      <c r="AH26" s="31" t="n"/>
      <c r="AI26" s="43" t="str">
        <f>IF(A26="","",SUM(AC$5:AC26))</f>
        <v/>
      </c>
      <c r="AJ26" s="45" t="str">
        <f>IF(A26="","",MAX(0,MAX(AI$5:AI26))-AI26)</f>
        <v/>
      </c>
    </row>
  </sheetData>
  <mergeCells count="8">
    <mergeCell ref="Q3:Y3"/>
    <mergeCell ref="A1:AG1"/>
    <mergeCell ref="AI3:AJ3"/>
    <mergeCell ref="AH1:AJ1"/>
    <mergeCell ref="A2:AJ2"/>
    <mergeCell ref="Z3:AE3"/>
    <mergeCell ref="AF3:AH3"/>
    <mergeCell ref="A3:O3"/>
  </mergeCells>
  <conditionalFormatting sqref="AA5:AA2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B5:AB26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AC5:AC26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AI5:AI26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Y5:Y26">
    <cfRule type="cellIs" priority="9" operator="equal" dxfId="2">
      <formula>"持仓中"</formula>
    </cfRule>
    <cfRule type="expression" priority="10" dxfId="3">
      <formula>OR($Y5="待录成交",$Y5="平仓多于开仓",$Y5="未填执行情况")</formula>
    </cfRule>
  </conditionalFormatting>
  <conditionalFormatting sqref="M5:M26">
    <cfRule type="cellIs" priority="11" operator="equal" dxfId="3">
      <formula>"预算不足，这笔不做"</formula>
    </cfRule>
  </conditionalFormatting>
  <conditionalFormatting sqref="L5:L26">
    <cfRule type="cellIs" priority="12" operator="equal" dxfId="3">
      <formula>"止损方向不对"</formula>
    </cfRule>
  </conditionalFormatting>
  <conditionalFormatting sqref="N5:N26">
    <cfRule type="expression" priority="13" dxfId="4">
      <formula>AND(ISNUMBER($N5),ISNUMBER($M5),$N5&gt;$M5)</formula>
    </cfRule>
  </conditionalFormatting>
  <conditionalFormatting sqref="AF5:AG26">
    <cfRule type="expression" priority="14" dxfId="5">
      <formula>AND(OR($AF5="C",$AF5="D"),N($AC5)&gt;0)</formula>
    </cfRule>
  </conditionalFormatting>
  <conditionalFormatting sqref="AD5:AD26">
    <cfRule type="expression" priority="15" dxfId="4">
      <formula>AND(ISNUMBER($AD5),$AD5&gt;ABS($I5)*0.01)</formula>
    </cfRule>
  </conditionalFormatting>
  <dataValidations count="7">
    <dataValidation sqref="A5:A26" showDropDown="0" showInputMessage="1" showErrorMessage="1" allowBlank="1" errorTitle="格式不对" error="编号请用数字（1、2、3…），成交明细里填同一个数字。" promptTitle="怎么填" prompt="用数字编号，成交明细里填同一个数字。" type="whole" errorStyle="stop" operator="greaterThanOrEqual">
      <formula1>1</formula1>
    </dataValidation>
    <dataValidation sqref="B5:B26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5:E26" showDropDown="0" showInputMessage="0" showErrorMessage="1" allowBlank="1" errorTitle="不在选项里" error="请从下拉里选；要加新选项，先去参数页的下拉选项里加。" type="list" errorStyle="warning">
      <formula1>'参数'!$B$22:$B$33</formula1>
    </dataValidation>
    <dataValidation sqref="F5:F26" showDropDown="0" showInputMessage="1" showErrorMessage="1" allowBlank="1" errorTitle="不在选项里" error="请从下拉里选；要加新选项，先去参数页的下拉选项里加。" promptTitle="怎么填" prompt="多：先买后卖。空：先卖后买。" type="list" errorStyle="stop">
      <formula1>'参数'!$C$22:$C$33</formula1>
    </dataValidation>
    <dataValidation sqref="Q5:Q26" showDropDown="0" showInputMessage="1" showErrorMessage="1" allowBlank="1" errorTitle="不在选项里" error="请从下拉里选；要加新选项，先去参数页的下拉选项里加。" promptTitle="怎么填" prompt="已执行：有成交。未成交：挂了没成交。主动放弃：按规则不做。漏单：该做没做。" type="list" errorStyle="stop">
      <formula1>'参数'!$D$22:$D$33</formula1>
    </dataValidation>
    <dataValidation sqref="AF5:AF26" showDropDown="0" showInputMessage="1" showErrorMessage="1" allowBlank="1" errorTitle="不在选项里" error="请从下拉里选；要加新选项，先去参数页的下拉选项里加。" promptTitle="怎么填" prompt="A 完全照计划；B 小偏差；C 违反一条规则；D 没有计划就下单。只看过程，不看赚亏。" type="list" errorStyle="stop">
      <formula1>'参数'!$E$22:$E$33</formula1>
    </dataValidation>
    <dataValidation sqref="AG5:AG26" showDropDown="0" showInputMessage="0" showErrorMessage="1" allowBlank="1" errorTitle="不在选项里" error="请从下拉里选；要加新选项，先去参数页的下拉选项里加。" type="list" errorStyle="warning">
      <formula1>'参数'!$F$22:$F$33</formula1>
    </dataValidation>
  </dataValidations>
  <printOptions horizontalCentered="1"/>
  <pageMargins left="0.35" right="0.35" top="0.45" bottom="0.6" header="0.2" footer="0.25"/>
  <pageSetup orientation="landscape" paperSize="9" scale="62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  <colBreaks count="1" manualBreakCount="1">
    <brk id="16" min="0" max="16383" man="1"/>
  </colBreaks>
</worksheet>
</file>

<file path=xl/worksheets/sheet8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O36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.5" customWidth="1" min="2" max="2"/>
    <col width="6.5" customWidth="1" min="3" max="3"/>
    <col width="5" customWidth="1" min="4" max="4"/>
    <col width="8" customWidth="1" min="5" max="5"/>
    <col width="8" customWidth="1" min="6" max="6"/>
    <col width="8.5" customWidth="1" min="7" max="7"/>
    <col width="10" customWidth="1" min="8" max="8"/>
    <col width="5.5" customWidth="1" min="9" max="9"/>
    <col width="8" customWidth="1" min="10" max="10"/>
    <col width="9" customWidth="1" min="11" max="11"/>
    <col width="8" customWidth="1" min="12" max="12"/>
    <col width="8.5" customWidth="1" min="13" max="13"/>
    <col width="10" customWidth="1" min="14" max="14"/>
    <col width="20" customWidth="1" min="15" max="15"/>
  </cols>
  <sheetData>
    <row r="1" ht="30" customHeight="1">
      <c r="A1" s="13" t="inlineStr">
        <is>
          <t>示例 · 通用交易日志：成交明细（每成交一笔记一行）</t>
        </is>
      </c>
      <c r="M1" s="14" t="inlineStr">
        <is>
          <t>TradeLearn · XtradingTime 交易内训</t>
        </is>
      </c>
    </row>
    <row r="2" ht="20" customHeight="1">
      <c r="A2" s="58" t="inlineStr">
        <is>
          <t>虚构示例，仅演示填法：成交价格和数量全部虚构。</t>
        </is>
      </c>
    </row>
    <row r="3" ht="18" customHeight="1">
      <c r="A3" s="28" t="inlineStr">
        <is>
          <t>成交（照成交单抄）</t>
        </is>
      </c>
      <c r="B3" s="28" t="n"/>
      <c r="C3" s="28" t="n"/>
      <c r="D3" s="28" t="n"/>
      <c r="E3" s="28" t="n"/>
      <c r="F3" s="28" t="n"/>
      <c r="G3" s="28" t="n"/>
      <c r="H3" s="28" t="inlineStr">
        <is>
          <t>金额与费用</t>
        </is>
      </c>
      <c r="I3" s="28" t="n"/>
      <c r="J3" s="28" t="n"/>
      <c r="K3" s="28" t="n"/>
      <c r="L3" s="28" t="n"/>
      <c r="M3" s="28" t="n"/>
      <c r="N3" s="28" t="inlineStr">
        <is>
          <t>核对</t>
        </is>
      </c>
      <c r="O3" s="28" t="n"/>
    </row>
    <row r="4" ht="54.4" customHeight="1">
      <c r="A4" s="25" t="inlineStr">
        <is>
          <t>交易编号</t>
        </is>
      </c>
      <c r="B4" s="25" t="inlineStr">
        <is>
          <t>成交日期</t>
        </is>
      </c>
      <c r="C4" s="25" t="inlineStr">
        <is>
          <t>时间</t>
        </is>
      </c>
      <c r="D4" s="25" t="inlineStr">
        <is>
          <t>买卖</t>
        </is>
      </c>
      <c r="E4" s="25" t="inlineStr">
        <is>
          <t>成交价</t>
        </is>
      </c>
      <c r="F4" s="25" t="inlineStr">
        <is>
          <t>数量</t>
        </is>
      </c>
      <c r="G4" s="25" t="inlineStr">
        <is>
          <t>参考价（下单时看到的价）</t>
        </is>
      </c>
      <c r="H4" s="25" t="inlineStr">
        <is>
          <t>价格 × 数量</t>
        </is>
      </c>
      <c r="I4" s="25" t="inlineStr">
        <is>
          <t>乘数</t>
        </is>
      </c>
      <c r="J4" s="25" t="inlineStr">
        <is>
          <t>费用估算</t>
        </is>
      </c>
      <c r="K4" s="25" t="inlineStr">
        <is>
          <t>实际费用（成交单有就填）</t>
        </is>
      </c>
      <c r="L4" s="25" t="inlineStr">
        <is>
          <t>计入费用</t>
        </is>
      </c>
      <c r="M4" s="25" t="inlineStr">
        <is>
          <t>滑点成本（不利为正）</t>
        </is>
      </c>
      <c r="N4" s="25" t="inlineStr">
        <is>
          <t>品种</t>
        </is>
      </c>
      <c r="O4" s="25" t="inlineStr">
        <is>
          <t>备注</t>
        </is>
      </c>
    </row>
    <row r="5" ht="18" customHeight="1">
      <c r="A5" s="29" t="n">
        <v>1</v>
      </c>
      <c r="B5" s="30" t="n">
        <v>47581</v>
      </c>
      <c r="C5" s="27" t="n">
        <v>0.3993055555555556</v>
      </c>
      <c r="D5" s="32" t="inlineStr">
        <is>
          <t>买</t>
        </is>
      </c>
      <c r="E5" s="33" t="n">
        <v>3502</v>
      </c>
      <c r="F5" s="36" t="n">
        <v>3</v>
      </c>
      <c r="G5" s="33" t="n">
        <v>3500</v>
      </c>
      <c r="H5" s="20">
        <f>IF(AND(ISNUMBER(E5),ISNUMBER(F5)),E5*F5,"")</f>
        <v>10506</v>
      </c>
      <c r="I5" s="38">
        <f>IF(A5="","",IFERROR(IF(N(INDEX('例-交易记录'!$G$5:$G$304,MATCH(A5,'例-交易记录'!$A$5:$A$304,0)))&gt;0,INDEX('例-交易记录'!$G$5:$G$304,MATCH(A5,'例-交易记录'!$A$5:$A$304,0)),1),1))</f>
        <v>10</v>
      </c>
      <c r="J5" s="41">
        <f>IF(ISNUMBER(H5),ROUND('参数'!$C$11+H5*I5*'参数'!$C$12+F5*'参数'!$C$13,2),"")</f>
        <v>31.52</v>
      </c>
      <c r="K5" s="22" t="n"/>
      <c r="L5" s="20">
        <f>IF(ISNUMBER(K5),K5,IF(ISNUMBER(H5),J5,""))</f>
        <v>31.52</v>
      </c>
      <c r="M5" s="46">
        <f>IF(AND(ISNUMBER(E5),ISNUMBER(G5),ISNUMBER(F5)),(E5-G5)*IF(D5="卖",-1,1)*F5*I5,"")</f>
        <v>60</v>
      </c>
      <c r="N5" s="38" t="str">
        <f>IF(A5="","",IFERROR(T(INDEX('例-交易记录'!$C$5:$C$304,MATCH(A5,'例-交易记录'!$A$5:$A$304,0))),"编号没找到"))</f>
        <v>品种甲</v>
      </c>
      <c r="O5" s="31" t="inlineStr">
        <is>
          <t>突破确认后进场</t>
        </is>
      </c>
    </row>
    <row r="6" ht="18" customHeight="1">
      <c r="A6" s="29" t="n">
        <v>3</v>
      </c>
      <c r="B6" s="30" t="n">
        <v>47582</v>
      </c>
      <c r="C6" s="27" t="n">
        <v>0.4305555555555556</v>
      </c>
      <c r="D6" s="32" t="inlineStr">
        <is>
          <t>卖</t>
        </is>
      </c>
      <c r="E6" s="33" t="n">
        <v>3558</v>
      </c>
      <c r="F6" s="36" t="n">
        <v>3</v>
      </c>
      <c r="G6" s="33" t="n">
        <v>3560</v>
      </c>
      <c r="H6" s="20">
        <f>IF(AND(ISNUMBER(E6),ISNUMBER(F6)),E6*F6,"")</f>
        <v>10674</v>
      </c>
      <c r="I6" s="38">
        <f>IF(A6="","",IFERROR(IF(N(INDEX('例-交易记录'!$G$5:$G$304,MATCH(A6,'例-交易记录'!$A$5:$A$304,0)))&gt;0,INDEX('例-交易记录'!$G$5:$G$304,MATCH(A6,'例-交易记录'!$A$5:$A$304,0)),1),1))</f>
        <v>10</v>
      </c>
      <c r="J6" s="41">
        <f>IF(ISNUMBER(H6),ROUND('参数'!$C$11+H6*I6*'参数'!$C$12+F6*'参数'!$C$13,2),"")</f>
        <v>32.02</v>
      </c>
      <c r="K6" s="22" t="n"/>
      <c r="L6" s="20">
        <f>IF(ISNUMBER(K6),K6,IF(ISNUMBER(H6),J6,""))</f>
        <v>32.02</v>
      </c>
      <c r="M6" s="46">
        <f>IF(AND(ISNUMBER(E6),ISNUMBER(G6),ISNUMBER(F6)),(E6-G6)*IF(D6="卖",-1,1)*F6*I6,"")</f>
        <v>60</v>
      </c>
      <c r="N6" s="38" t="str">
        <f>IF(A6="","",IFERROR(T(INDEX('例-交易记录'!$C$5:$C$304,MATCH(A6,'例-交易记录'!$A$5:$A$304,0))),"编号没找到"))</f>
        <v>品种甲</v>
      </c>
      <c r="O6" s="31" t="inlineStr">
        <is>
          <t>区间上沿开空</t>
        </is>
      </c>
    </row>
    <row r="7" ht="32" customHeight="1">
      <c r="A7" s="29" t="n">
        <v>3</v>
      </c>
      <c r="B7" s="30" t="n">
        <v>47582</v>
      </c>
      <c r="C7" s="27" t="n">
        <v>0.6111111111111112</v>
      </c>
      <c r="D7" s="32" t="inlineStr">
        <is>
          <t>买</t>
        </is>
      </c>
      <c r="E7" s="33" t="n">
        <v>3586</v>
      </c>
      <c r="F7" s="36" t="n">
        <v>3</v>
      </c>
      <c r="G7" s="33" t="n">
        <v>3585</v>
      </c>
      <c r="H7" s="20">
        <f>IF(AND(ISNUMBER(E7),ISNUMBER(F7)),E7*F7,"")</f>
        <v>10758</v>
      </c>
      <c r="I7" s="38">
        <f>IF(A7="","",IFERROR(IF(N(INDEX('例-交易记录'!$G$5:$G$304,MATCH(A7,'例-交易记录'!$A$5:$A$304,0)))&gt;0,INDEX('例-交易记录'!$G$5:$G$304,MATCH(A7,'例-交易记录'!$A$5:$A$304,0)),1),1))</f>
        <v>10</v>
      </c>
      <c r="J7" s="41">
        <f>IF(ISNUMBER(H7),ROUND('参数'!$C$11+H7*I7*'参数'!$C$12+F7*'参数'!$C$13,2),"")</f>
        <v>32.27</v>
      </c>
      <c r="K7" s="22" t="n"/>
      <c r="L7" s="20">
        <f>IF(ISNUMBER(K7),K7,IF(ISNUMBER(H7),J7,""))</f>
        <v>32.27</v>
      </c>
      <c r="M7" s="46">
        <f>IF(AND(ISNUMBER(E7),ISNUMBER(G7),ISNUMBER(F7)),(E7-G7)*IF(D7="卖",-1,1)*F7*I7,"")</f>
        <v>30</v>
      </c>
      <c r="N7" s="38" t="str">
        <f>IF(A7="","",IFERROR(T(INDEX('例-交易记录'!$C$5:$C$304,MATCH(A7,'例-交易记录'!$A$5:$A$304,0))),"编号没找到"))</f>
        <v>品种甲</v>
      </c>
      <c r="O7" s="31" t="inlineStr">
        <is>
          <t>止损成交，滑了 1 个点</t>
        </is>
      </c>
    </row>
    <row r="8" ht="18" customHeight="1">
      <c r="A8" s="29" t="n">
        <v>1</v>
      </c>
      <c r="B8" s="30" t="n">
        <v>47583</v>
      </c>
      <c r="C8" s="27" t="n">
        <v>0.5902777777777778</v>
      </c>
      <c r="D8" s="32" t="inlineStr">
        <is>
          <t>卖</t>
        </is>
      </c>
      <c r="E8" s="33" t="n">
        <v>3588</v>
      </c>
      <c r="F8" s="36" t="n">
        <v>3</v>
      </c>
      <c r="G8" s="33" t="n">
        <v>3590</v>
      </c>
      <c r="H8" s="20">
        <f>IF(AND(ISNUMBER(E8),ISNUMBER(F8)),E8*F8,"")</f>
        <v>10764</v>
      </c>
      <c r="I8" s="38">
        <f>IF(A8="","",IFERROR(IF(N(INDEX('例-交易记录'!$G$5:$G$304,MATCH(A8,'例-交易记录'!$A$5:$A$304,0)))&gt;0,INDEX('例-交易记录'!$G$5:$G$304,MATCH(A8,'例-交易记录'!$A$5:$A$304,0)),1),1))</f>
        <v>10</v>
      </c>
      <c r="J8" s="41">
        <f>IF(ISNUMBER(H8),ROUND('参数'!$C$11+H8*I8*'参数'!$C$12+F8*'参数'!$C$13,2),"")</f>
        <v>32.29</v>
      </c>
      <c r="K8" s="22" t="n"/>
      <c r="L8" s="20">
        <f>IF(ISNUMBER(K8),K8,IF(ISNUMBER(H8),J8,""))</f>
        <v>32.29</v>
      </c>
      <c r="M8" s="46">
        <f>IF(AND(ISNUMBER(E8),ISNUMBER(G8),ISNUMBER(F8)),(E8-G8)*IF(D8="卖",-1,1)*F8*I8,"")</f>
        <v>60</v>
      </c>
      <c r="N8" s="38" t="str">
        <f>IF(A8="","",IFERROR(T(INDEX('例-交易记录'!$C$5:$C$304,MATCH(A8,'例-交易记录'!$A$5:$A$304,0))),"编号没找到"))</f>
        <v>品种甲</v>
      </c>
      <c r="O8" s="31" t="inlineStr">
        <is>
          <t>到目标</t>
        </is>
      </c>
    </row>
    <row r="9" ht="18" customHeight="1">
      <c r="A9" s="29" t="n">
        <v>4</v>
      </c>
      <c r="B9" s="30" t="n">
        <v>47583</v>
      </c>
      <c r="C9" s="27" t="n">
        <v>0.4027777777777778</v>
      </c>
      <c r="D9" s="32" t="inlineStr">
        <is>
          <t>买</t>
        </is>
      </c>
      <c r="E9" s="33" t="n">
        <v>25.82</v>
      </c>
      <c r="F9" s="36" t="n">
        <v>1000</v>
      </c>
      <c r="G9" s="33" t="n">
        <v>25.8</v>
      </c>
      <c r="H9" s="20">
        <f>IF(AND(ISNUMBER(E9),ISNUMBER(F9)),E9*F9,"")</f>
        <v>25820</v>
      </c>
      <c r="I9" s="38">
        <f>IF(A9="","",IFERROR(IF(N(INDEX('例-交易记录'!$G$5:$G$304,MATCH(A9,'例-交易记录'!$A$5:$A$304,0)))&gt;0,INDEX('例-交易记录'!$G$5:$G$304,MATCH(A9,'例-交易记录'!$A$5:$A$304,0)),1),1))</f>
        <v>1</v>
      </c>
      <c r="J9" s="41">
        <f>IF(ISNUMBER(H9),ROUND('参数'!$C$11+H9*I9*'参数'!$C$12+F9*'参数'!$C$13,2),"")</f>
        <v>7.75</v>
      </c>
      <c r="K9" s="22" t="n"/>
      <c r="L9" s="20">
        <f>IF(ISNUMBER(K9),K9,IF(ISNUMBER(H9),J9,""))</f>
        <v>7.75</v>
      </c>
      <c r="M9" s="46">
        <f>IF(AND(ISNUMBER(E9),ISNUMBER(G9),ISNUMBER(F9)),(E9-G9)*IF(D9="卖",-1,1)*F9*I9,"")</f>
        <v>19.9999999999996</v>
      </c>
      <c r="N9" s="38" t="str">
        <f>IF(A9="","",IFERROR(T(INDEX('例-交易记录'!$C$5:$C$304,MATCH(A9,'例-交易记录'!$A$5:$A$304,0))),"编号没找到"))</f>
        <v>品种乙</v>
      </c>
      <c r="O9" s="31" t="inlineStr">
        <is>
          <t>第一笔</t>
        </is>
      </c>
    </row>
    <row r="10" ht="18" customHeight="1">
      <c r="A10" s="29" t="n">
        <v>4</v>
      </c>
      <c r="B10" s="30" t="n">
        <v>47583</v>
      </c>
      <c r="C10" s="27" t="n">
        <v>0.4201388888888889</v>
      </c>
      <c r="D10" s="32" t="inlineStr">
        <is>
          <t>买</t>
        </is>
      </c>
      <c r="E10" s="33" t="n">
        <v>25.85</v>
      </c>
      <c r="F10" s="36" t="n">
        <v>900</v>
      </c>
      <c r="G10" s="33" t="n">
        <v>25.85</v>
      </c>
      <c r="H10" s="20">
        <f>IF(AND(ISNUMBER(E10),ISNUMBER(F10)),E10*F10,"")</f>
        <v>23265</v>
      </c>
      <c r="I10" s="38">
        <f>IF(A10="","",IFERROR(IF(N(INDEX('例-交易记录'!$G$5:$G$304,MATCH(A10,'例-交易记录'!$A$5:$A$304,0)))&gt;0,INDEX('例-交易记录'!$G$5:$G$304,MATCH(A10,'例-交易记录'!$A$5:$A$304,0)),1),1))</f>
        <v>1</v>
      </c>
      <c r="J10" s="41">
        <f>IF(ISNUMBER(H10),ROUND('参数'!$C$11+H10*I10*'参数'!$C$12+F10*'参数'!$C$13,2),"")</f>
        <v>6.98</v>
      </c>
      <c r="K10" s="22" t="n"/>
      <c r="L10" s="20">
        <f>IF(ISNUMBER(K10),K10,IF(ISNUMBER(H10),J10,""))</f>
        <v>6.98</v>
      </c>
      <c r="M10" s="46">
        <f>IF(AND(ISNUMBER(E10),ISNUMBER(G10),ISNUMBER(F10)),(E10-G10)*IF(D10="卖",-1,1)*F10*I10,"")</f>
        <v>0</v>
      </c>
      <c r="N10" s="38" t="str">
        <f>IF(A10="","",IFERROR(T(INDEX('例-交易记录'!$C$5:$C$304,MATCH(A10,'例-交易记录'!$A$5:$A$304,0))),"编号没找到"))</f>
        <v>品种乙</v>
      </c>
      <c r="O10" s="31" t="inlineStr">
        <is>
          <t>第二笔</t>
        </is>
      </c>
    </row>
    <row r="11" ht="18" customHeight="1">
      <c r="A11" s="29" t="n">
        <v>4</v>
      </c>
      <c r="B11" s="30" t="n">
        <v>47584</v>
      </c>
      <c r="C11" s="27" t="n">
        <v>0.5625</v>
      </c>
      <c r="D11" s="32" t="inlineStr">
        <is>
          <t>卖</t>
        </is>
      </c>
      <c r="E11" s="33" t="n">
        <v>26.6</v>
      </c>
      <c r="F11" s="36" t="n">
        <v>1000</v>
      </c>
      <c r="G11" s="33" t="n">
        <v>26.6</v>
      </c>
      <c r="H11" s="20">
        <f>IF(AND(ISNUMBER(E11),ISNUMBER(F11)),E11*F11,"")</f>
        <v>26600</v>
      </c>
      <c r="I11" s="38">
        <f>IF(A11="","",IFERROR(IF(N(INDEX('例-交易记录'!$G$5:$G$304,MATCH(A11,'例-交易记录'!$A$5:$A$304,0)))&gt;0,INDEX('例-交易记录'!$G$5:$G$304,MATCH(A11,'例-交易记录'!$A$5:$A$304,0)),1),1))</f>
        <v>1</v>
      </c>
      <c r="J11" s="41">
        <f>IF(ISNUMBER(H11),ROUND('参数'!$C$11+H11*I11*'参数'!$C$12+F11*'参数'!$C$13,2),"")</f>
        <v>7.98</v>
      </c>
      <c r="K11" s="22" t="n"/>
      <c r="L11" s="20">
        <f>IF(ISNUMBER(K11),K11,IF(ISNUMBER(H11),J11,""))</f>
        <v>7.98</v>
      </c>
      <c r="M11" s="46">
        <f>IF(AND(ISNUMBER(E11),ISNUMBER(G11),ISNUMBER(F11)),(E11-G11)*IF(D11="卖",-1,1)*F11*I11,"")</f>
        <v>0</v>
      </c>
      <c r="N11" s="38" t="str">
        <f>IF(A11="","",IFERROR(T(INDEX('例-交易记录'!$C$5:$C$304,MATCH(A11,'例-交易记录'!$A$5:$A$304,0))),"编号没找到"))</f>
        <v>品种乙</v>
      </c>
      <c r="O11" s="31" t="inlineStr">
        <is>
          <t>先卖一半</t>
        </is>
      </c>
    </row>
    <row r="12" ht="18" customHeight="1">
      <c r="A12" s="29" t="n">
        <v>5</v>
      </c>
      <c r="B12" s="30" t="n">
        <v>47584</v>
      </c>
      <c r="C12" s="27" t="n">
        <v>0.4097222222222222</v>
      </c>
      <c r="D12" s="32" t="inlineStr">
        <is>
          <t>买</t>
        </is>
      </c>
      <c r="E12" s="33" t="n">
        <v>3628</v>
      </c>
      <c r="F12" s="36" t="n">
        <v>3</v>
      </c>
      <c r="G12" s="33" t="n">
        <v>3610</v>
      </c>
      <c r="H12" s="20">
        <f>IF(AND(ISNUMBER(E12),ISNUMBER(F12)),E12*F12,"")</f>
        <v>10884</v>
      </c>
      <c r="I12" s="38">
        <f>IF(A12="","",IFERROR(IF(N(INDEX('例-交易记录'!$G$5:$G$304,MATCH(A12,'例-交易记录'!$A$5:$A$304,0)))&gt;0,INDEX('例-交易记录'!$G$5:$G$304,MATCH(A12,'例-交易记录'!$A$5:$A$304,0)),1),1))</f>
        <v>10</v>
      </c>
      <c r="J12" s="41">
        <f>IF(ISNUMBER(H12),ROUND('参数'!$C$11+H12*I12*'参数'!$C$12+F12*'参数'!$C$13,2),"")</f>
        <v>32.65</v>
      </c>
      <c r="K12" s="22" t="n"/>
      <c r="L12" s="20">
        <f>IF(ISNUMBER(K12),K12,IF(ISNUMBER(H12),J12,""))</f>
        <v>32.65</v>
      </c>
      <c r="M12" s="46">
        <f>IF(AND(ISNUMBER(E12),ISNUMBER(G12),ISNUMBER(F12)),(E12-G12)*IF(D12="卖",-1,1)*F12*I12,"")</f>
        <v>540</v>
      </c>
      <c r="N12" s="38" t="str">
        <f>IF(A12="","",IFERROR(T(INDEX('例-交易记录'!$C$5:$C$304,MATCH(A12,'例-交易记录'!$A$5:$A$304,0))),"编号没找到"))</f>
        <v>品种甲</v>
      </c>
      <c r="O12" s="31" t="inlineStr">
        <is>
          <t>超过追价上限还买了</t>
        </is>
      </c>
    </row>
    <row r="13" ht="18" customHeight="1">
      <c r="A13" s="29" t="n">
        <v>4</v>
      </c>
      <c r="B13" s="30" t="n">
        <v>47585</v>
      </c>
      <c r="C13" s="27" t="n">
        <v>0.4270833333333333</v>
      </c>
      <c r="D13" s="32" t="inlineStr">
        <is>
          <t>卖</t>
        </is>
      </c>
      <c r="E13" s="33" t="n">
        <v>27.28</v>
      </c>
      <c r="F13" s="36" t="n">
        <v>900</v>
      </c>
      <c r="G13" s="33" t="n">
        <v>27.3</v>
      </c>
      <c r="H13" s="20">
        <f>IF(AND(ISNUMBER(E13),ISNUMBER(F13)),E13*F13,"")</f>
        <v>24552</v>
      </c>
      <c r="I13" s="38">
        <f>IF(A13="","",IFERROR(IF(N(INDEX('例-交易记录'!$G$5:$G$304,MATCH(A13,'例-交易记录'!$A$5:$A$304,0)))&gt;0,INDEX('例-交易记录'!$G$5:$G$304,MATCH(A13,'例-交易记录'!$A$5:$A$304,0)),1),1))</f>
        <v>1</v>
      </c>
      <c r="J13" s="41">
        <f>IF(ISNUMBER(H13),ROUND('参数'!$C$11+H13*I13*'参数'!$C$12+F13*'参数'!$C$13,2),"")</f>
        <v>7.37</v>
      </c>
      <c r="K13" s="22" t="n"/>
      <c r="L13" s="20">
        <f>IF(ISNUMBER(K13),K13,IF(ISNUMBER(H13),J13,""))</f>
        <v>7.37</v>
      </c>
      <c r="M13" s="46">
        <f>IF(AND(ISNUMBER(E13),ISNUMBER(G13),ISNUMBER(F13)),(E13-G13)*IF(D13="卖",-1,1)*F13*I13,"")</f>
        <v>17.9999999999996</v>
      </c>
      <c r="N13" s="38" t="str">
        <f>IF(A13="","",IFERROR(T(INDEX('例-交易记录'!$C$5:$C$304,MATCH(A13,'例-交易记录'!$A$5:$A$304,0))),"编号没找到"))</f>
        <v>品种乙</v>
      </c>
      <c r="O13" s="31" t="inlineStr">
        <is>
          <t>到目标</t>
        </is>
      </c>
    </row>
    <row r="14" ht="18" customHeight="1">
      <c r="A14" s="29" t="n">
        <v>5</v>
      </c>
      <c r="B14" s="30" t="n">
        <v>47585</v>
      </c>
      <c r="C14" s="27" t="n">
        <v>0.4444444444444444</v>
      </c>
      <c r="D14" s="32" t="inlineStr">
        <is>
          <t>卖</t>
        </is>
      </c>
      <c r="E14" s="33" t="n">
        <v>3675</v>
      </c>
      <c r="F14" s="36" t="n">
        <v>3</v>
      </c>
      <c r="G14" s="33" t="n">
        <v>3675</v>
      </c>
      <c r="H14" s="20">
        <f>IF(AND(ISNUMBER(E14),ISNUMBER(F14)),E14*F14,"")</f>
        <v>11025</v>
      </c>
      <c r="I14" s="38">
        <f>IF(A14="","",IFERROR(IF(N(INDEX('例-交易记录'!$G$5:$G$304,MATCH(A14,'例-交易记录'!$A$5:$A$304,0)))&gt;0,INDEX('例-交易记录'!$G$5:$G$304,MATCH(A14,'例-交易记录'!$A$5:$A$304,0)),1),1))</f>
        <v>10</v>
      </c>
      <c r="J14" s="41">
        <f>IF(ISNUMBER(H14),ROUND('参数'!$C$11+H14*I14*'参数'!$C$12+F14*'参数'!$C$13,2),"")</f>
        <v>33.08</v>
      </c>
      <c r="K14" s="22" t="n"/>
      <c r="L14" s="20">
        <f>IF(ISNUMBER(K14),K14,IF(ISNUMBER(H14),J14,""))</f>
        <v>33.08</v>
      </c>
      <c r="M14" s="46">
        <f>IF(AND(ISNUMBER(E14),ISNUMBER(G14),ISNUMBER(F14)),(E14-G14)*IF(D14="卖",-1,1)*F14*I14,"")</f>
        <v>0</v>
      </c>
      <c r="N14" s="38" t="str">
        <f>IF(A14="","",IFERROR(T(INDEX('例-交易记录'!$C$5:$C$304,MATCH(A14,'例-交易记录'!$A$5:$A$304,0))),"编号没找到"))</f>
        <v>品种甲</v>
      </c>
      <c r="O14" s="31" t="inlineStr">
        <is>
          <t>接近目标走</t>
        </is>
      </c>
    </row>
    <row r="15" ht="18" customHeight="1">
      <c r="A15" s="29" t="n">
        <v>7</v>
      </c>
      <c r="B15" s="30" t="n">
        <v>47588</v>
      </c>
      <c r="C15" s="27" t="n">
        <v>0.8854166666666666</v>
      </c>
      <c r="D15" s="32" t="inlineStr">
        <is>
          <t>买</t>
        </is>
      </c>
      <c r="E15" s="33" t="n">
        <v>3651</v>
      </c>
      <c r="F15" s="36" t="n">
        <v>3</v>
      </c>
      <c r="G15" s="33" t="n">
        <v>3650</v>
      </c>
      <c r="H15" s="20">
        <f>IF(AND(ISNUMBER(E15),ISNUMBER(F15)),E15*F15,"")</f>
        <v>10953</v>
      </c>
      <c r="I15" s="38">
        <f>IF(A15="","",IFERROR(IF(N(INDEX('例-交易记录'!$G$5:$G$304,MATCH(A15,'例-交易记录'!$A$5:$A$304,0)))&gt;0,INDEX('例-交易记录'!$G$5:$G$304,MATCH(A15,'例-交易记录'!$A$5:$A$304,0)),1),1))</f>
        <v>10</v>
      </c>
      <c r="J15" s="41">
        <f>IF(ISNUMBER(H15),ROUND('参数'!$C$11+H15*I15*'参数'!$C$12+F15*'参数'!$C$13,2),"")</f>
        <v>32.86</v>
      </c>
      <c r="K15" s="22" t="n"/>
      <c r="L15" s="20">
        <f>IF(ISNUMBER(K15),K15,IF(ISNUMBER(H15),J15,""))</f>
        <v>32.86</v>
      </c>
      <c r="M15" s="46">
        <f>IF(AND(ISNUMBER(E15),ISNUMBER(G15),ISNUMBER(F15)),(E15-G15)*IF(D15="卖",-1,1)*F15*I15,"")</f>
        <v>30</v>
      </c>
      <c r="N15" s="38" t="str">
        <f>IF(A15="","",IFERROR(T(INDEX('例-交易记录'!$C$5:$C$304,MATCH(A15,'例-交易记录'!$A$5:$A$304,0))),"编号没找到"))</f>
        <v>品种甲</v>
      </c>
      <c r="O15" s="31" t="inlineStr">
        <is>
          <t>夜盘回踩进场</t>
        </is>
      </c>
    </row>
    <row r="16" ht="18" customHeight="1">
      <c r="A16" s="29" t="n">
        <v>7</v>
      </c>
      <c r="B16" s="30" t="n">
        <v>47589</v>
      </c>
      <c r="C16" s="27" t="n">
        <v>0.3756944444444444</v>
      </c>
      <c r="D16" s="32" t="inlineStr">
        <is>
          <t>卖</t>
        </is>
      </c>
      <c r="E16" s="33" t="n">
        <v>3610</v>
      </c>
      <c r="F16" s="36" t="n">
        <v>3</v>
      </c>
      <c r="G16" s="33" t="n">
        <v>3612</v>
      </c>
      <c r="H16" s="20">
        <f>IF(AND(ISNUMBER(E16),ISNUMBER(F16)),E16*F16,"")</f>
        <v>10830</v>
      </c>
      <c r="I16" s="38">
        <f>IF(A16="","",IFERROR(IF(N(INDEX('例-交易记录'!$G$5:$G$304,MATCH(A16,'例-交易记录'!$A$5:$A$304,0)))&gt;0,INDEX('例-交易记录'!$G$5:$G$304,MATCH(A16,'例-交易记录'!$A$5:$A$304,0)),1),1))</f>
        <v>10</v>
      </c>
      <c r="J16" s="41">
        <f>IF(ISNUMBER(H16),ROUND('参数'!$C$11+H16*I16*'参数'!$C$12+F16*'参数'!$C$13,2),"")</f>
        <v>32.49</v>
      </c>
      <c r="K16" s="22" t="n"/>
      <c r="L16" s="20">
        <f>IF(ISNUMBER(K16),K16,IF(ISNUMBER(H16),J16,""))</f>
        <v>32.49</v>
      </c>
      <c r="M16" s="46">
        <f>IF(AND(ISNUMBER(E16),ISNUMBER(G16),ISNUMBER(F16)),(E16-G16)*IF(D16="卖",-1,1)*F16*I16,"")</f>
        <v>60</v>
      </c>
      <c r="N16" s="38" t="str">
        <f>IF(A16="","",IFERROR(T(INDEX('例-交易记录'!$C$5:$C$304,MATCH(A16,'例-交易记录'!$A$5:$A$304,0))),"编号没找到"))</f>
        <v>品种甲</v>
      </c>
      <c r="O16" s="31" t="inlineStr">
        <is>
          <t>低开，开盘才走</t>
        </is>
      </c>
    </row>
    <row r="17" ht="18" customHeight="1">
      <c r="A17" s="29" t="n">
        <v>9</v>
      </c>
      <c r="B17" s="30" t="n">
        <v>47590</v>
      </c>
      <c r="C17" s="27" t="n">
        <v>0.4166666666666667</v>
      </c>
      <c r="D17" s="32" t="inlineStr">
        <is>
          <t>卖</t>
        </is>
      </c>
      <c r="E17" s="33" t="n">
        <v>3598</v>
      </c>
      <c r="F17" s="36" t="n">
        <v>2</v>
      </c>
      <c r="G17" s="33" t="n">
        <v>3600</v>
      </c>
      <c r="H17" s="20">
        <f>IF(AND(ISNUMBER(E17),ISNUMBER(F17)),E17*F17,"")</f>
        <v>7196</v>
      </c>
      <c r="I17" s="38">
        <f>IF(A17="","",IFERROR(IF(N(INDEX('例-交易记录'!$G$5:$G$304,MATCH(A17,'例-交易记录'!$A$5:$A$304,0)))&gt;0,INDEX('例-交易记录'!$G$5:$G$304,MATCH(A17,'例-交易记录'!$A$5:$A$304,0)),1),1))</f>
        <v>10</v>
      </c>
      <c r="J17" s="41">
        <f>IF(ISNUMBER(H17),ROUND('参数'!$C$11+H17*I17*'参数'!$C$12+F17*'参数'!$C$13,2),"")</f>
        <v>21.59</v>
      </c>
      <c r="K17" s="22" t="n"/>
      <c r="L17" s="20">
        <f>IF(ISNUMBER(K17),K17,IF(ISNUMBER(H17),J17,""))</f>
        <v>21.59</v>
      </c>
      <c r="M17" s="46">
        <f>IF(AND(ISNUMBER(E17),ISNUMBER(G17),ISNUMBER(F17)),(E17-G17)*IF(D17="卖",-1,1)*F17*I17,"")</f>
        <v>40</v>
      </c>
      <c r="N17" s="38" t="str">
        <f>IF(A17="","",IFERROR(T(INDEX('例-交易记录'!$C$5:$C$304,MATCH(A17,'例-交易记录'!$A$5:$A$304,0))),"编号没找到"))</f>
        <v>品种甲</v>
      </c>
      <c r="O17" s="31" t="inlineStr">
        <is>
          <t>第一笔</t>
        </is>
      </c>
    </row>
    <row r="18" ht="18" customHeight="1">
      <c r="A18" s="29" t="n">
        <v>9</v>
      </c>
      <c r="B18" s="30" t="n">
        <v>47590</v>
      </c>
      <c r="C18" s="27" t="n">
        <v>0.4375</v>
      </c>
      <c r="D18" s="32" t="inlineStr">
        <is>
          <t>卖</t>
        </is>
      </c>
      <c r="E18" s="33" t="n">
        <v>3596</v>
      </c>
      <c r="F18" s="36" t="n">
        <v>1</v>
      </c>
      <c r="G18" s="33" t="n">
        <v>3597</v>
      </c>
      <c r="H18" s="20">
        <f>IF(AND(ISNUMBER(E18),ISNUMBER(F18)),E18*F18,"")</f>
        <v>3596</v>
      </c>
      <c r="I18" s="38">
        <f>IF(A18="","",IFERROR(IF(N(INDEX('例-交易记录'!$G$5:$G$304,MATCH(A18,'例-交易记录'!$A$5:$A$304,0)))&gt;0,INDEX('例-交易记录'!$G$5:$G$304,MATCH(A18,'例-交易记录'!$A$5:$A$304,0)),1),1))</f>
        <v>10</v>
      </c>
      <c r="J18" s="41">
        <f>IF(ISNUMBER(H18),ROUND('参数'!$C$11+H18*I18*'参数'!$C$12+F18*'参数'!$C$13,2),"")</f>
        <v>10.79</v>
      </c>
      <c r="K18" s="22" t="n"/>
      <c r="L18" s="20">
        <f>IF(ISNUMBER(K18),K18,IF(ISNUMBER(H18),J18,""))</f>
        <v>10.79</v>
      </c>
      <c r="M18" s="46">
        <f>IF(AND(ISNUMBER(E18),ISNUMBER(G18),ISNUMBER(F18)),(E18-G18)*IF(D18="卖",-1,1)*F18*I18,"")</f>
        <v>10</v>
      </c>
      <c r="N18" s="38" t="str">
        <f>IF(A18="","",IFERROR(T(INDEX('例-交易记录'!$C$5:$C$304,MATCH(A18,'例-交易记录'!$A$5:$A$304,0))),"编号没找到"))</f>
        <v>品种甲</v>
      </c>
      <c r="O18" s="31" t="inlineStr">
        <is>
          <t>第二笔</t>
        </is>
      </c>
    </row>
    <row r="19" ht="18" customHeight="1">
      <c r="A19" s="29" t="n">
        <v>10</v>
      </c>
      <c r="B19" s="30" t="n">
        <v>47591</v>
      </c>
      <c r="C19" s="27" t="n">
        <v>0.40625</v>
      </c>
      <c r="D19" s="32" t="inlineStr">
        <is>
          <t>买</t>
        </is>
      </c>
      <c r="E19" s="33" t="n">
        <v>26.22</v>
      </c>
      <c r="F19" s="36" t="n">
        <v>1900</v>
      </c>
      <c r="G19" s="33" t="n">
        <v>26.2</v>
      </c>
      <c r="H19" s="20">
        <f>IF(AND(ISNUMBER(E19),ISNUMBER(F19)),E19*F19,"")</f>
        <v>49818</v>
      </c>
      <c r="I19" s="38">
        <f>IF(A19="","",IFERROR(IF(N(INDEX('例-交易记录'!$G$5:$G$304,MATCH(A19,'例-交易记录'!$A$5:$A$304,0)))&gt;0,INDEX('例-交易记录'!$G$5:$G$304,MATCH(A19,'例-交易记录'!$A$5:$A$304,0)),1),1))</f>
        <v>1</v>
      </c>
      <c r="J19" s="41">
        <f>IF(ISNUMBER(H19),ROUND('参数'!$C$11+H19*I19*'参数'!$C$12+F19*'参数'!$C$13,2),"")</f>
        <v>14.95</v>
      </c>
      <c r="K19" s="22" t="n"/>
      <c r="L19" s="20">
        <f>IF(ISNUMBER(K19),K19,IF(ISNUMBER(H19),J19,""))</f>
        <v>14.95</v>
      </c>
      <c r="M19" s="46">
        <f>IF(AND(ISNUMBER(E19),ISNUMBER(G19),ISNUMBER(F19)),(E19-G19)*IF(D19="卖",-1,1)*F19*I19,"")</f>
        <v>37.9999999999992</v>
      </c>
      <c r="N19" s="38" t="str">
        <f>IF(A19="","",IFERROR(T(INDEX('例-交易记录'!$C$5:$C$304,MATCH(A19,'例-交易记录'!$A$5:$A$304,0))),"编号没找到"))</f>
        <v>品种乙</v>
      </c>
      <c r="O19" s="31" t="inlineStr"/>
    </row>
    <row r="20" ht="32" customHeight="1">
      <c r="A20" s="29" t="n">
        <v>9</v>
      </c>
      <c r="B20" s="30" t="n">
        <v>47591</v>
      </c>
      <c r="C20" s="27" t="n">
        <v>0.5833333333333334</v>
      </c>
      <c r="D20" s="32" t="inlineStr">
        <is>
          <t>买</t>
        </is>
      </c>
      <c r="E20" s="33" t="n">
        <v>3540</v>
      </c>
      <c r="F20" s="36" t="n">
        <v>3</v>
      </c>
      <c r="G20" s="33" t="n">
        <v>3530</v>
      </c>
      <c r="H20" s="20">
        <f>IF(AND(ISNUMBER(E20),ISNUMBER(F20)),E20*F20,"")</f>
        <v>10620</v>
      </c>
      <c r="I20" s="38">
        <f>IF(A20="","",IFERROR(IF(N(INDEX('例-交易记录'!$G$5:$G$304,MATCH(A20,'例-交易记录'!$A$5:$A$304,0)))&gt;0,INDEX('例-交易记录'!$G$5:$G$304,MATCH(A20,'例-交易记录'!$A$5:$A$304,0)),1),1))</f>
        <v>10</v>
      </c>
      <c r="J20" s="41">
        <f>IF(ISNUMBER(H20),ROUND('参数'!$C$11+H20*I20*'参数'!$C$12+F20*'参数'!$C$13,2),"")</f>
        <v>31.86</v>
      </c>
      <c r="K20" s="22" t="n"/>
      <c r="L20" s="20">
        <f>IF(ISNUMBER(K20),K20,IF(ISNUMBER(H20),J20,""))</f>
        <v>31.86</v>
      </c>
      <c r="M20" s="46">
        <f>IF(AND(ISNUMBER(E20),ISNUMBER(G20),ISNUMBER(F20)),(E20-G20)*IF(D20="卖",-1,1)*F20*I20,"")</f>
        <v>300</v>
      </c>
      <c r="N20" s="38" t="str">
        <f>IF(A20="","",IFERROR(T(INDEX('例-交易记录'!$C$5:$C$304,MATCH(A20,'例-交易记录'!$A$5:$A$304,0))),"编号没找到"))</f>
        <v>品种甲</v>
      </c>
      <c r="O20" s="31" t="inlineStr">
        <is>
          <t>离目标差一点，收盘前平</t>
        </is>
      </c>
    </row>
    <row r="21" ht="18" customHeight="1">
      <c r="A21" s="29" t="n">
        <v>10</v>
      </c>
      <c r="B21" s="30" t="n">
        <v>47591</v>
      </c>
      <c r="C21" s="27" t="n">
        <v>0.5972222222222222</v>
      </c>
      <c r="D21" s="32" t="inlineStr">
        <is>
          <t>卖</t>
        </is>
      </c>
      <c r="E21" s="33" t="n">
        <v>26.9</v>
      </c>
      <c r="F21" s="36" t="n">
        <v>900</v>
      </c>
      <c r="G21" s="33" t="n">
        <v>26.9</v>
      </c>
      <c r="H21" s="20">
        <f>IF(AND(ISNUMBER(E21),ISNUMBER(F21)),E21*F21,"")</f>
        <v>24210</v>
      </c>
      <c r="I21" s="38">
        <f>IF(A21="","",IFERROR(IF(N(INDEX('例-交易记录'!$G$5:$G$304,MATCH(A21,'例-交易记录'!$A$5:$A$304,0)))&gt;0,INDEX('例-交易记录'!$G$5:$G$304,MATCH(A21,'例-交易记录'!$A$5:$A$304,0)),1),1))</f>
        <v>1</v>
      </c>
      <c r="J21" s="41">
        <f>IF(ISNUMBER(H21),ROUND('参数'!$C$11+H21*I21*'参数'!$C$12+F21*'参数'!$C$13,2),"")</f>
        <v>7.26</v>
      </c>
      <c r="K21" s="22" t="n"/>
      <c r="L21" s="20">
        <f>IF(ISNUMBER(K21),K21,IF(ISNUMBER(H21),J21,""))</f>
        <v>7.26</v>
      </c>
      <c r="M21" s="46">
        <f>IF(AND(ISNUMBER(E21),ISNUMBER(G21),ISNUMBER(F21)),(E21-G21)*IF(D21="卖",-1,1)*F21*I21,"")</f>
        <v>0</v>
      </c>
      <c r="N21" s="38" t="str">
        <f>IF(A21="","",IFERROR(T(INDEX('例-交易记录'!$C$5:$C$304,MATCH(A21,'例-交易记录'!$A$5:$A$304,0))),"编号没找到"))</f>
        <v>品种乙</v>
      </c>
      <c r="O21" s="31" t="inlineStr">
        <is>
          <t>先卖一部分</t>
        </is>
      </c>
    </row>
    <row r="22">
      <c r="A22" s="29" t="n"/>
      <c r="B22" s="30" t="n"/>
      <c r="C22" s="27" t="n"/>
      <c r="D22" s="32" t="n"/>
      <c r="E22" s="33" t="n"/>
      <c r="F22" s="36" t="n"/>
      <c r="G22" s="33" t="n"/>
      <c r="H22" s="20" t="str">
        <f>IF(AND(ISNUMBER(E22),ISNUMBER(F22)),E22*F22,"")</f>
        <v/>
      </c>
      <c r="I22" s="38" t="str">
        <f>IF(A22="","",IFERROR(IF(N(INDEX('例-交易记录'!$G$5:$G$304,MATCH(A22,'例-交易记录'!$A$5:$A$304,0)))&gt;0,INDEX('例-交易记录'!$G$5:$G$304,MATCH(A22,'例-交易记录'!$A$5:$A$304,0)),1),1))</f>
        <v/>
      </c>
      <c r="J22" s="41" t="str">
        <f>IF(ISNUMBER(H22),ROUND('参数'!$C$11+H22*I22*'参数'!$C$12+F22*'参数'!$C$13,2),"")</f>
        <v/>
      </c>
      <c r="K22" s="22" t="n"/>
      <c r="L22" s="20" t="str">
        <f>IF(ISNUMBER(K22),K22,IF(ISNUMBER(H22),J22,""))</f>
        <v/>
      </c>
      <c r="M22" s="46" t="str">
        <f>IF(AND(ISNUMBER(E22),ISNUMBER(G22),ISNUMBER(F22)),(E22-G22)*IF(D22="卖",-1,1)*F22*I22,"")</f>
        <v/>
      </c>
      <c r="N22" s="38" t="str">
        <f>IF(A22="","",IFERROR(T(INDEX('例-交易记录'!$C$5:$C$304,MATCH(A22,'例-交易记录'!$A$5:$A$304,0))),"编号没找到"))</f>
        <v/>
      </c>
      <c r="O22" s="31" t="n"/>
    </row>
    <row r="23">
      <c r="A23" s="29" t="n"/>
      <c r="B23" s="30" t="n"/>
      <c r="C23" s="27" t="n"/>
      <c r="D23" s="32" t="n"/>
      <c r="E23" s="33" t="n"/>
      <c r="F23" s="36" t="n"/>
      <c r="G23" s="33" t="n"/>
      <c r="H23" s="20" t="str">
        <f>IF(AND(ISNUMBER(E23),ISNUMBER(F23)),E23*F23,"")</f>
        <v/>
      </c>
      <c r="I23" s="38" t="str">
        <f>IF(A23="","",IFERROR(IF(N(INDEX('例-交易记录'!$G$5:$G$304,MATCH(A23,'例-交易记录'!$A$5:$A$304,0)))&gt;0,INDEX('例-交易记录'!$G$5:$G$304,MATCH(A23,'例-交易记录'!$A$5:$A$304,0)),1),1))</f>
        <v/>
      </c>
      <c r="J23" s="41" t="str">
        <f>IF(ISNUMBER(H23),ROUND('参数'!$C$11+H23*I23*'参数'!$C$12+F23*'参数'!$C$13,2),"")</f>
        <v/>
      </c>
      <c r="K23" s="22" t="n"/>
      <c r="L23" s="20" t="str">
        <f>IF(ISNUMBER(K23),K23,IF(ISNUMBER(H23),J23,""))</f>
        <v/>
      </c>
      <c r="M23" s="46" t="str">
        <f>IF(AND(ISNUMBER(E23),ISNUMBER(G23),ISNUMBER(F23)),(E23-G23)*IF(D23="卖",-1,1)*F23*I23,"")</f>
        <v/>
      </c>
      <c r="N23" s="38" t="str">
        <f>IF(A23="","",IFERROR(T(INDEX('例-交易记录'!$C$5:$C$304,MATCH(A23,'例-交易记录'!$A$5:$A$304,0))),"编号没找到"))</f>
        <v/>
      </c>
      <c r="O23" s="31" t="n"/>
    </row>
    <row r="24">
      <c r="A24" s="29" t="n"/>
      <c r="B24" s="30" t="n"/>
      <c r="C24" s="27" t="n"/>
      <c r="D24" s="32" t="n"/>
      <c r="E24" s="33" t="n"/>
      <c r="F24" s="36" t="n"/>
      <c r="G24" s="33" t="n"/>
      <c r="H24" s="20" t="str">
        <f>IF(AND(ISNUMBER(E24),ISNUMBER(F24)),E24*F24,"")</f>
        <v/>
      </c>
      <c r="I24" s="38" t="str">
        <f>IF(A24="","",IFERROR(IF(N(INDEX('例-交易记录'!$G$5:$G$304,MATCH(A24,'例-交易记录'!$A$5:$A$304,0)))&gt;0,INDEX('例-交易记录'!$G$5:$G$304,MATCH(A24,'例-交易记录'!$A$5:$A$304,0)),1),1))</f>
        <v/>
      </c>
      <c r="J24" s="41" t="str">
        <f>IF(ISNUMBER(H24),ROUND('参数'!$C$11+H24*I24*'参数'!$C$12+F24*'参数'!$C$13,2),"")</f>
        <v/>
      </c>
      <c r="K24" s="22" t="n"/>
      <c r="L24" s="20" t="str">
        <f>IF(ISNUMBER(K24),K24,IF(ISNUMBER(H24),J24,""))</f>
        <v/>
      </c>
      <c r="M24" s="46" t="str">
        <f>IF(AND(ISNUMBER(E24),ISNUMBER(G24),ISNUMBER(F24)),(E24-G24)*IF(D24="卖",-1,1)*F24*I24,"")</f>
        <v/>
      </c>
      <c r="N24" s="38" t="str">
        <f>IF(A24="","",IFERROR(T(INDEX('例-交易记录'!$C$5:$C$304,MATCH(A24,'例-交易记录'!$A$5:$A$304,0))),"编号没找到"))</f>
        <v/>
      </c>
      <c r="O24" s="31" t="n"/>
    </row>
    <row r="25">
      <c r="A25" s="29" t="n"/>
      <c r="B25" s="30" t="n"/>
      <c r="C25" s="27" t="n"/>
      <c r="D25" s="32" t="n"/>
      <c r="E25" s="33" t="n"/>
      <c r="F25" s="36" t="n"/>
      <c r="G25" s="33" t="n"/>
      <c r="H25" s="20" t="str">
        <f>IF(AND(ISNUMBER(E25),ISNUMBER(F25)),E25*F25,"")</f>
        <v/>
      </c>
      <c r="I25" s="38" t="str">
        <f>IF(A25="","",IFERROR(IF(N(INDEX('例-交易记录'!$G$5:$G$304,MATCH(A25,'例-交易记录'!$A$5:$A$304,0)))&gt;0,INDEX('例-交易记录'!$G$5:$G$304,MATCH(A25,'例-交易记录'!$A$5:$A$304,0)),1),1))</f>
        <v/>
      </c>
      <c r="J25" s="41" t="str">
        <f>IF(ISNUMBER(H25),ROUND('参数'!$C$11+H25*I25*'参数'!$C$12+F25*'参数'!$C$13,2),"")</f>
        <v/>
      </c>
      <c r="K25" s="22" t="n"/>
      <c r="L25" s="20" t="str">
        <f>IF(ISNUMBER(K25),K25,IF(ISNUMBER(H25),J25,""))</f>
        <v/>
      </c>
      <c r="M25" s="46" t="str">
        <f>IF(AND(ISNUMBER(E25),ISNUMBER(G25),ISNUMBER(F25)),(E25-G25)*IF(D25="卖",-1,1)*F25*I25,"")</f>
        <v/>
      </c>
      <c r="N25" s="38" t="str">
        <f>IF(A25="","",IFERROR(T(INDEX('例-交易记录'!$C$5:$C$304,MATCH(A25,'例-交易记录'!$A$5:$A$304,0))),"编号没找到"))</f>
        <v/>
      </c>
      <c r="O25" s="31" t="n"/>
    </row>
    <row r="26">
      <c r="A26" s="29" t="n"/>
      <c r="B26" s="30" t="n"/>
      <c r="C26" s="27" t="n"/>
      <c r="D26" s="32" t="n"/>
      <c r="E26" s="33" t="n"/>
      <c r="F26" s="36" t="n"/>
      <c r="G26" s="33" t="n"/>
      <c r="H26" s="20" t="str">
        <f>IF(AND(ISNUMBER(E26),ISNUMBER(F26)),E26*F26,"")</f>
        <v/>
      </c>
      <c r="I26" s="38" t="str">
        <f>IF(A26="","",IFERROR(IF(N(INDEX('例-交易记录'!$G$5:$G$304,MATCH(A26,'例-交易记录'!$A$5:$A$304,0)))&gt;0,INDEX('例-交易记录'!$G$5:$G$304,MATCH(A26,'例-交易记录'!$A$5:$A$304,0)),1),1))</f>
        <v/>
      </c>
      <c r="J26" s="41" t="str">
        <f>IF(ISNUMBER(H26),ROUND('参数'!$C$11+H26*I26*'参数'!$C$12+F26*'参数'!$C$13,2),"")</f>
        <v/>
      </c>
      <c r="K26" s="22" t="n"/>
      <c r="L26" s="20" t="str">
        <f>IF(ISNUMBER(K26),K26,IF(ISNUMBER(H26),J26,""))</f>
        <v/>
      </c>
      <c r="M26" s="46" t="str">
        <f>IF(AND(ISNUMBER(E26),ISNUMBER(G26),ISNUMBER(F26)),(E26-G26)*IF(D26="卖",-1,1)*F26*I26,"")</f>
        <v/>
      </c>
      <c r="N26" s="38" t="str">
        <f>IF(A26="","",IFERROR(T(INDEX('例-交易记录'!$C$5:$C$304,MATCH(A26,'例-交易记录'!$A$5:$A$304,0))),"编号没找到"))</f>
        <v/>
      </c>
      <c r="O26" s="31" t="n"/>
    </row>
    <row r="27">
      <c r="A27" s="29" t="n"/>
      <c r="B27" s="30" t="n"/>
      <c r="C27" s="27" t="n"/>
      <c r="D27" s="32" t="n"/>
      <c r="E27" s="33" t="n"/>
      <c r="F27" s="36" t="n"/>
      <c r="G27" s="33" t="n"/>
      <c r="H27" s="20" t="str">
        <f>IF(AND(ISNUMBER(E27),ISNUMBER(F27)),E27*F27,"")</f>
        <v/>
      </c>
      <c r="I27" s="38" t="str">
        <f>IF(A27="","",IFERROR(IF(N(INDEX('例-交易记录'!$G$5:$G$304,MATCH(A27,'例-交易记录'!$A$5:$A$304,0)))&gt;0,INDEX('例-交易记录'!$G$5:$G$304,MATCH(A27,'例-交易记录'!$A$5:$A$304,0)),1),1))</f>
        <v/>
      </c>
      <c r="J27" s="41" t="str">
        <f>IF(ISNUMBER(H27),ROUND('参数'!$C$11+H27*I27*'参数'!$C$12+F27*'参数'!$C$13,2),"")</f>
        <v/>
      </c>
      <c r="K27" s="22" t="n"/>
      <c r="L27" s="20" t="str">
        <f>IF(ISNUMBER(K27),K27,IF(ISNUMBER(H27),J27,""))</f>
        <v/>
      </c>
      <c r="M27" s="46" t="str">
        <f>IF(AND(ISNUMBER(E27),ISNUMBER(G27),ISNUMBER(F27)),(E27-G27)*IF(D27="卖",-1,1)*F27*I27,"")</f>
        <v/>
      </c>
      <c r="N27" s="38" t="str">
        <f>IF(A27="","",IFERROR(T(INDEX('例-交易记录'!$C$5:$C$304,MATCH(A27,'例-交易记录'!$A$5:$A$304,0))),"编号没找到"))</f>
        <v/>
      </c>
      <c r="O27" s="31" t="n"/>
    </row>
    <row r="28">
      <c r="A28" s="29" t="n"/>
      <c r="B28" s="30" t="n"/>
      <c r="C28" s="27" t="n"/>
      <c r="D28" s="32" t="n"/>
      <c r="E28" s="33" t="n"/>
      <c r="F28" s="36" t="n"/>
      <c r="G28" s="33" t="n"/>
      <c r="H28" s="20" t="str">
        <f>IF(AND(ISNUMBER(E28),ISNUMBER(F28)),E28*F28,"")</f>
        <v/>
      </c>
      <c r="I28" s="38" t="str">
        <f>IF(A28="","",IFERROR(IF(N(INDEX('例-交易记录'!$G$5:$G$304,MATCH(A28,'例-交易记录'!$A$5:$A$304,0)))&gt;0,INDEX('例-交易记录'!$G$5:$G$304,MATCH(A28,'例-交易记录'!$A$5:$A$304,0)),1),1))</f>
        <v/>
      </c>
      <c r="J28" s="41" t="str">
        <f>IF(ISNUMBER(H28),ROUND('参数'!$C$11+H28*I28*'参数'!$C$12+F28*'参数'!$C$13,2),"")</f>
        <v/>
      </c>
      <c r="K28" s="22" t="n"/>
      <c r="L28" s="20" t="str">
        <f>IF(ISNUMBER(K28),K28,IF(ISNUMBER(H28),J28,""))</f>
        <v/>
      </c>
      <c r="M28" s="46" t="str">
        <f>IF(AND(ISNUMBER(E28),ISNUMBER(G28),ISNUMBER(F28)),(E28-G28)*IF(D28="卖",-1,1)*F28*I28,"")</f>
        <v/>
      </c>
      <c r="N28" s="38" t="str">
        <f>IF(A28="","",IFERROR(T(INDEX('例-交易记录'!$C$5:$C$304,MATCH(A28,'例-交易记录'!$A$5:$A$304,0))),"编号没找到"))</f>
        <v/>
      </c>
      <c r="O28" s="31" t="n"/>
    </row>
    <row r="29">
      <c r="A29" s="29" t="n"/>
      <c r="B29" s="30" t="n"/>
      <c r="C29" s="27" t="n"/>
      <c r="D29" s="32" t="n"/>
      <c r="E29" s="33" t="n"/>
      <c r="F29" s="36" t="n"/>
      <c r="G29" s="33" t="n"/>
      <c r="H29" s="20" t="str">
        <f>IF(AND(ISNUMBER(E29),ISNUMBER(F29)),E29*F29,"")</f>
        <v/>
      </c>
      <c r="I29" s="38" t="str">
        <f>IF(A29="","",IFERROR(IF(N(INDEX('例-交易记录'!$G$5:$G$304,MATCH(A29,'例-交易记录'!$A$5:$A$304,0)))&gt;0,INDEX('例-交易记录'!$G$5:$G$304,MATCH(A29,'例-交易记录'!$A$5:$A$304,0)),1),1))</f>
        <v/>
      </c>
      <c r="J29" s="41" t="str">
        <f>IF(ISNUMBER(H29),ROUND('参数'!$C$11+H29*I29*'参数'!$C$12+F29*'参数'!$C$13,2),"")</f>
        <v/>
      </c>
      <c r="K29" s="22" t="n"/>
      <c r="L29" s="20" t="str">
        <f>IF(ISNUMBER(K29),K29,IF(ISNUMBER(H29),J29,""))</f>
        <v/>
      </c>
      <c r="M29" s="46" t="str">
        <f>IF(AND(ISNUMBER(E29),ISNUMBER(G29),ISNUMBER(F29)),(E29-G29)*IF(D29="卖",-1,1)*F29*I29,"")</f>
        <v/>
      </c>
      <c r="N29" s="38" t="str">
        <f>IF(A29="","",IFERROR(T(INDEX('例-交易记录'!$C$5:$C$304,MATCH(A29,'例-交易记录'!$A$5:$A$304,0))),"编号没找到"))</f>
        <v/>
      </c>
      <c r="O29" s="31" t="n"/>
    </row>
    <row r="30">
      <c r="A30" s="29" t="n"/>
      <c r="B30" s="30" t="n"/>
      <c r="C30" s="27" t="n"/>
      <c r="D30" s="32" t="n"/>
      <c r="E30" s="33" t="n"/>
      <c r="F30" s="36" t="n"/>
      <c r="G30" s="33" t="n"/>
      <c r="H30" s="20" t="str">
        <f>IF(AND(ISNUMBER(E30),ISNUMBER(F30)),E30*F30,"")</f>
        <v/>
      </c>
      <c r="I30" s="38" t="str">
        <f>IF(A30="","",IFERROR(IF(N(INDEX('例-交易记录'!$G$5:$G$304,MATCH(A30,'例-交易记录'!$A$5:$A$304,0)))&gt;0,INDEX('例-交易记录'!$G$5:$G$304,MATCH(A30,'例-交易记录'!$A$5:$A$304,0)),1),1))</f>
        <v/>
      </c>
      <c r="J30" s="41" t="str">
        <f>IF(ISNUMBER(H30),ROUND('参数'!$C$11+H30*I30*'参数'!$C$12+F30*'参数'!$C$13,2),"")</f>
        <v/>
      </c>
      <c r="K30" s="22" t="n"/>
      <c r="L30" s="20" t="str">
        <f>IF(ISNUMBER(K30),K30,IF(ISNUMBER(H30),J30,""))</f>
        <v/>
      </c>
      <c r="M30" s="46" t="str">
        <f>IF(AND(ISNUMBER(E30),ISNUMBER(G30),ISNUMBER(F30)),(E30-G30)*IF(D30="卖",-1,1)*F30*I30,"")</f>
        <v/>
      </c>
      <c r="N30" s="38" t="str">
        <f>IF(A30="","",IFERROR(T(INDEX('例-交易记录'!$C$5:$C$304,MATCH(A30,'例-交易记录'!$A$5:$A$304,0))),"编号没找到"))</f>
        <v/>
      </c>
      <c r="O30" s="31" t="n"/>
    </row>
    <row r="31">
      <c r="A31" s="29" t="n"/>
      <c r="B31" s="30" t="n"/>
      <c r="C31" s="27" t="n"/>
      <c r="D31" s="32" t="n"/>
      <c r="E31" s="33" t="n"/>
      <c r="F31" s="36" t="n"/>
      <c r="G31" s="33" t="n"/>
      <c r="H31" s="20" t="str">
        <f>IF(AND(ISNUMBER(E31),ISNUMBER(F31)),E31*F31,"")</f>
        <v/>
      </c>
      <c r="I31" s="38" t="str">
        <f>IF(A31="","",IFERROR(IF(N(INDEX('例-交易记录'!$G$5:$G$304,MATCH(A31,'例-交易记录'!$A$5:$A$304,0)))&gt;0,INDEX('例-交易记录'!$G$5:$G$304,MATCH(A31,'例-交易记录'!$A$5:$A$304,0)),1),1))</f>
        <v/>
      </c>
      <c r="J31" s="41" t="str">
        <f>IF(ISNUMBER(H31),ROUND('参数'!$C$11+H31*I31*'参数'!$C$12+F31*'参数'!$C$13,2),"")</f>
        <v/>
      </c>
      <c r="K31" s="22" t="n"/>
      <c r="L31" s="20" t="str">
        <f>IF(ISNUMBER(K31),K31,IF(ISNUMBER(H31),J31,""))</f>
        <v/>
      </c>
      <c r="M31" s="46" t="str">
        <f>IF(AND(ISNUMBER(E31),ISNUMBER(G31),ISNUMBER(F31)),(E31-G31)*IF(D31="卖",-1,1)*F31*I31,"")</f>
        <v/>
      </c>
      <c r="N31" s="38" t="str">
        <f>IF(A31="","",IFERROR(T(INDEX('例-交易记录'!$C$5:$C$304,MATCH(A31,'例-交易记录'!$A$5:$A$304,0))),"编号没找到"))</f>
        <v/>
      </c>
      <c r="O31" s="31" t="n"/>
    </row>
    <row r="32">
      <c r="A32" s="29" t="n"/>
      <c r="B32" s="30" t="n"/>
      <c r="C32" s="27" t="n"/>
      <c r="D32" s="32" t="n"/>
      <c r="E32" s="33" t="n"/>
      <c r="F32" s="36" t="n"/>
      <c r="G32" s="33" t="n"/>
      <c r="H32" s="20" t="str">
        <f>IF(AND(ISNUMBER(E32),ISNUMBER(F32)),E32*F32,"")</f>
        <v/>
      </c>
      <c r="I32" s="38" t="str">
        <f>IF(A32="","",IFERROR(IF(N(INDEX('例-交易记录'!$G$5:$G$304,MATCH(A32,'例-交易记录'!$A$5:$A$304,0)))&gt;0,INDEX('例-交易记录'!$G$5:$G$304,MATCH(A32,'例-交易记录'!$A$5:$A$304,0)),1),1))</f>
        <v/>
      </c>
      <c r="J32" s="41" t="str">
        <f>IF(ISNUMBER(H32),ROUND('参数'!$C$11+H32*I32*'参数'!$C$12+F32*'参数'!$C$13,2),"")</f>
        <v/>
      </c>
      <c r="K32" s="22" t="n"/>
      <c r="L32" s="20" t="str">
        <f>IF(ISNUMBER(K32),K32,IF(ISNUMBER(H32),J32,""))</f>
        <v/>
      </c>
      <c r="M32" s="46" t="str">
        <f>IF(AND(ISNUMBER(E32),ISNUMBER(G32),ISNUMBER(F32)),(E32-G32)*IF(D32="卖",-1,1)*F32*I32,"")</f>
        <v/>
      </c>
      <c r="N32" s="38" t="str">
        <f>IF(A32="","",IFERROR(T(INDEX('例-交易记录'!$C$5:$C$304,MATCH(A32,'例-交易记录'!$A$5:$A$304,0))),"编号没找到"))</f>
        <v/>
      </c>
      <c r="O32" s="31" t="n"/>
    </row>
    <row r="33">
      <c r="A33" s="29" t="n"/>
      <c r="B33" s="30" t="n"/>
      <c r="C33" s="27" t="n"/>
      <c r="D33" s="32" t="n"/>
      <c r="E33" s="33" t="n"/>
      <c r="F33" s="36" t="n"/>
      <c r="G33" s="33" t="n"/>
      <c r="H33" s="20" t="str">
        <f>IF(AND(ISNUMBER(E33),ISNUMBER(F33)),E33*F33,"")</f>
        <v/>
      </c>
      <c r="I33" s="38" t="str">
        <f>IF(A33="","",IFERROR(IF(N(INDEX('例-交易记录'!$G$5:$G$304,MATCH(A33,'例-交易记录'!$A$5:$A$304,0)))&gt;0,INDEX('例-交易记录'!$G$5:$G$304,MATCH(A33,'例-交易记录'!$A$5:$A$304,0)),1),1))</f>
        <v/>
      </c>
      <c r="J33" s="41" t="str">
        <f>IF(ISNUMBER(H33),ROUND('参数'!$C$11+H33*I33*'参数'!$C$12+F33*'参数'!$C$13,2),"")</f>
        <v/>
      </c>
      <c r="K33" s="22" t="n"/>
      <c r="L33" s="20" t="str">
        <f>IF(ISNUMBER(K33),K33,IF(ISNUMBER(H33),J33,""))</f>
        <v/>
      </c>
      <c r="M33" s="46" t="str">
        <f>IF(AND(ISNUMBER(E33),ISNUMBER(G33),ISNUMBER(F33)),(E33-G33)*IF(D33="卖",-1,1)*F33*I33,"")</f>
        <v/>
      </c>
      <c r="N33" s="38" t="str">
        <f>IF(A33="","",IFERROR(T(INDEX('例-交易记录'!$C$5:$C$304,MATCH(A33,'例-交易记录'!$A$5:$A$304,0))),"编号没找到"))</f>
        <v/>
      </c>
      <c r="O33" s="31" t="n"/>
    </row>
    <row r="34">
      <c r="A34" s="29" t="n"/>
      <c r="B34" s="30" t="n"/>
      <c r="C34" s="27" t="n"/>
      <c r="D34" s="32" t="n"/>
      <c r="E34" s="33" t="n"/>
      <c r="F34" s="36" t="n"/>
      <c r="G34" s="33" t="n"/>
      <c r="H34" s="20" t="str">
        <f>IF(AND(ISNUMBER(E34),ISNUMBER(F34)),E34*F34,"")</f>
        <v/>
      </c>
      <c r="I34" s="38" t="str">
        <f>IF(A34="","",IFERROR(IF(N(INDEX('例-交易记录'!$G$5:$G$304,MATCH(A34,'例-交易记录'!$A$5:$A$304,0)))&gt;0,INDEX('例-交易记录'!$G$5:$G$304,MATCH(A34,'例-交易记录'!$A$5:$A$304,0)),1),1))</f>
        <v/>
      </c>
      <c r="J34" s="41" t="str">
        <f>IF(ISNUMBER(H34),ROUND('参数'!$C$11+H34*I34*'参数'!$C$12+F34*'参数'!$C$13,2),"")</f>
        <v/>
      </c>
      <c r="K34" s="22" t="n"/>
      <c r="L34" s="20" t="str">
        <f>IF(ISNUMBER(K34),K34,IF(ISNUMBER(H34),J34,""))</f>
        <v/>
      </c>
      <c r="M34" s="46" t="str">
        <f>IF(AND(ISNUMBER(E34),ISNUMBER(G34),ISNUMBER(F34)),(E34-G34)*IF(D34="卖",-1,1)*F34*I34,"")</f>
        <v/>
      </c>
      <c r="N34" s="38" t="str">
        <f>IF(A34="","",IFERROR(T(INDEX('例-交易记录'!$C$5:$C$304,MATCH(A34,'例-交易记录'!$A$5:$A$304,0))),"编号没找到"))</f>
        <v/>
      </c>
      <c r="O34" s="31" t="n"/>
    </row>
    <row r="35">
      <c r="A35" s="29" t="n"/>
      <c r="B35" s="30" t="n"/>
      <c r="C35" s="27" t="n"/>
      <c r="D35" s="32" t="n"/>
      <c r="E35" s="33" t="n"/>
      <c r="F35" s="36" t="n"/>
      <c r="G35" s="33" t="n"/>
      <c r="H35" s="20" t="str">
        <f>IF(AND(ISNUMBER(E35),ISNUMBER(F35)),E35*F35,"")</f>
        <v/>
      </c>
      <c r="I35" s="38" t="str">
        <f>IF(A35="","",IFERROR(IF(N(INDEX('例-交易记录'!$G$5:$G$304,MATCH(A35,'例-交易记录'!$A$5:$A$304,0)))&gt;0,INDEX('例-交易记录'!$G$5:$G$304,MATCH(A35,'例-交易记录'!$A$5:$A$304,0)),1),1))</f>
        <v/>
      </c>
      <c r="J35" s="41" t="str">
        <f>IF(ISNUMBER(H35),ROUND('参数'!$C$11+H35*I35*'参数'!$C$12+F35*'参数'!$C$13,2),"")</f>
        <v/>
      </c>
      <c r="K35" s="22" t="n"/>
      <c r="L35" s="20" t="str">
        <f>IF(ISNUMBER(K35),K35,IF(ISNUMBER(H35),J35,""))</f>
        <v/>
      </c>
      <c r="M35" s="46" t="str">
        <f>IF(AND(ISNUMBER(E35),ISNUMBER(G35),ISNUMBER(F35)),(E35-G35)*IF(D35="卖",-1,1)*F35*I35,"")</f>
        <v/>
      </c>
      <c r="N35" s="38" t="str">
        <f>IF(A35="","",IFERROR(T(INDEX('例-交易记录'!$C$5:$C$304,MATCH(A35,'例-交易记录'!$A$5:$A$304,0))),"编号没找到"))</f>
        <v/>
      </c>
      <c r="O35" s="31" t="n"/>
    </row>
    <row r="36">
      <c r="A36" s="29" t="n"/>
      <c r="B36" s="30" t="n"/>
      <c r="C36" s="27" t="n"/>
      <c r="D36" s="32" t="n"/>
      <c r="E36" s="33" t="n"/>
      <c r="F36" s="36" t="n"/>
      <c r="G36" s="33" t="n"/>
      <c r="H36" s="20" t="str">
        <f>IF(AND(ISNUMBER(E36),ISNUMBER(F36)),E36*F36,"")</f>
        <v/>
      </c>
      <c r="I36" s="38" t="str">
        <f>IF(A36="","",IFERROR(IF(N(INDEX('例-交易记录'!$G$5:$G$304,MATCH(A36,'例-交易记录'!$A$5:$A$304,0)))&gt;0,INDEX('例-交易记录'!$G$5:$G$304,MATCH(A36,'例-交易记录'!$A$5:$A$304,0)),1),1))</f>
        <v/>
      </c>
      <c r="J36" s="41" t="str">
        <f>IF(ISNUMBER(H36),ROUND('参数'!$C$11+H36*I36*'参数'!$C$12+F36*'参数'!$C$13,2),"")</f>
        <v/>
      </c>
      <c r="K36" s="22" t="n"/>
      <c r="L36" s="20" t="str">
        <f>IF(ISNUMBER(K36),K36,IF(ISNUMBER(H36),J36,""))</f>
        <v/>
      </c>
      <c r="M36" s="46" t="str">
        <f>IF(AND(ISNUMBER(E36),ISNUMBER(G36),ISNUMBER(F36)),(E36-G36)*IF(D36="卖",-1,1)*F36*I36,"")</f>
        <v/>
      </c>
      <c r="N36" s="38" t="str">
        <f>IF(A36="","",IFERROR(T(INDEX('例-交易记录'!$C$5:$C$304,MATCH(A36,'例-交易记录'!$A$5:$A$304,0))),"编号没找到"))</f>
        <v/>
      </c>
      <c r="O36" s="31" t="n"/>
    </row>
  </sheetData>
  <mergeCells count="6">
    <mergeCell ref="N3:O3"/>
    <mergeCell ref="A2:O2"/>
    <mergeCell ref="A3:G3"/>
    <mergeCell ref="A1:L1"/>
    <mergeCell ref="M1:O1"/>
    <mergeCell ref="H3:M3"/>
  </mergeCells>
  <conditionalFormatting sqref="N5:N36">
    <cfRule type="cellIs" priority="1" operator="equal" dxfId="3">
      <formula>"编号没找到"</formula>
    </cfRule>
  </conditionalFormatting>
  <dataValidations count="3">
    <dataValidation sqref="A5:A36" showDropDown="0" showInputMessage="0" showErrorMessage="1" allowBlank="1" errorTitle="格式不对" error="编号请用数字，和交易记录里的编号一致。" type="whole" errorStyle="stop" operator="greaterThanOrEqual">
      <formula1>1</formula1>
    </dataValidation>
    <dataValidation sqref="B5:B36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D5:D36" showDropDown="0" showInputMessage="0" showErrorMessage="1" allowBlank="1" errorTitle="不在选项里" error="请从下拉里选；要加新选项，先去参数页的下拉选项里加。" type="list" errorStyle="stop">
      <formula1>'参数'!$H$22:$H$33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</worksheet>
</file>

<file path=xl/worksheets/sheet9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K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0" customWidth="1" min="3" max="3"/>
    <col width="7" customWidth="1" min="4" max="4"/>
    <col width="7" customWidth="1" min="5" max="5"/>
    <col width="24" customWidth="1" min="6" max="6"/>
    <col width="6" customWidth="1" min="7" max="7"/>
    <col width="8" customWidth="1" min="8" max="8"/>
    <col width="9" customWidth="1" min="9" max="9"/>
    <col width="30" customWidth="1" min="10" max="10"/>
    <col width="16" customWidth="1" min="11" max="11"/>
  </cols>
  <sheetData>
    <row r="1" ht="30" customHeight="1">
      <c r="A1" s="13" t="inlineStr">
        <is>
          <t>示例 · 每日记录：没交易的日子也写一行</t>
        </is>
      </c>
      <c r="I1" s="14" t="inlineStr">
        <is>
          <t>TradeLearn · XtradingTime 交易内训</t>
        </is>
      </c>
    </row>
    <row r="2" ht="20" customHeight="1">
      <c r="A2" s="58" t="inlineStr">
        <is>
          <t>虚构示例，仅演示填法：日期和数字全部虚构。</t>
        </is>
      </c>
    </row>
    <row r="3" ht="18" customHeight="1">
      <c r="A3" s="28" t="inlineStr">
        <is>
          <t>日期</t>
        </is>
      </c>
      <c r="B3" s="28" t="n"/>
      <c r="C3" s="28" t="inlineStr">
        <is>
          <t>今天</t>
        </is>
      </c>
      <c r="D3" s="28" t="n"/>
      <c r="E3" s="28" t="n"/>
      <c r="F3" s="28" t="n"/>
      <c r="G3" s="28" t="n"/>
      <c r="H3" s="28" t="n"/>
      <c r="I3" s="28" t="n"/>
      <c r="J3" s="28" t="inlineStr">
        <is>
          <t>明天</t>
        </is>
      </c>
      <c r="K3" s="28" t="n"/>
    </row>
    <row r="4" ht="41.8" customHeight="1">
      <c r="A4" s="25" t="inlineStr">
        <is>
          <t>日期</t>
        </is>
      </c>
      <c r="B4" s="25" t="inlineStr">
        <is>
          <t>星期</t>
        </is>
      </c>
      <c r="C4" s="25" t="inlineStr">
        <is>
          <t>今天做了什么</t>
        </is>
      </c>
      <c r="D4" s="25" t="inlineStr">
        <is>
          <t>看到几次机会</t>
        </is>
      </c>
      <c r="E4" s="25" t="inlineStr">
        <is>
          <t>下了几笔（自动）</t>
        </is>
      </c>
      <c r="F4" s="25" t="inlineStr">
        <is>
          <t>没做的原因（一句话）</t>
        </is>
      </c>
      <c r="G4" s="25" t="inlineStr">
        <is>
          <t>状态 1～5</t>
        </is>
      </c>
      <c r="H4" s="25" t="inlineStr">
        <is>
          <t>当日平仓净R</t>
        </is>
      </c>
      <c r="I4" s="25" t="inlineStr">
        <is>
          <t>停手线</t>
        </is>
      </c>
      <c r="J4" s="25" t="inlineStr">
        <is>
          <t>明天的条件（写成能检查的话）</t>
        </is>
      </c>
      <c r="K4" s="25" t="inlineStr">
        <is>
          <t>备注</t>
        </is>
      </c>
    </row>
    <row r="5" ht="18" customHeight="1">
      <c r="A5" s="30" t="n">
        <v>47581</v>
      </c>
      <c r="B5" s="40" t="str">
        <f>IF(ISNUMBER(A5),"周"&amp;CHOOSE(WEEKDAY(A5,2),"一","二","三","四","五","六","日"),"")</f>
        <v>周一</v>
      </c>
      <c r="C5" s="32" t="inlineStr">
        <is>
          <t>有成交</t>
        </is>
      </c>
      <c r="D5" s="29" t="n">
        <v>3</v>
      </c>
      <c r="E5" s="47">
        <f>IF(ISNUMBER(A5),COUNTIFS('例-交易记录'!$B$5:$B$304,A5,'例-交易记录'!$Q$5:$Q$304,"已执行"),"")</f>
        <v>1</v>
      </c>
      <c r="F5" s="31" t="inlineStr">
        <is>
          <t>品种乙回踩没到价</t>
        </is>
      </c>
      <c r="G5" s="29" t="n">
        <v>4</v>
      </c>
      <c r="H5" s="48" t="str">
        <f>IF(NOT(ISNUMBER(A5)),"",IF(COUNTIFS('例-交易记录'!$S$5:$S$304,A5,'例-交易记录'!$Y$5:$Y$304,"已平仓")=0,"",SUMIFS('例-交易记录'!$AC$5:$AC$304,'例-交易记录'!$S$5:$S$304,A5,'例-交易记录'!$Y$5:$Y$304,"已平仓")))</f>
        <v/>
      </c>
      <c r="I5" s="40" t="str">
        <f>IF(NOT(ISNUMBER(H5)),"",IF(H5&lt;=-'参数'!$C$8,"触及停手线",""))</f>
        <v/>
      </c>
      <c r="J5" s="31" t="inlineStr">
        <is>
          <t>品种甲站稳 3500 上方才看多</t>
        </is>
      </c>
      <c r="K5" s="31" t="n"/>
    </row>
    <row r="6" ht="18" customHeight="1">
      <c r="A6" s="30" t="n">
        <v>47582</v>
      </c>
      <c r="B6" s="40" t="str">
        <f>IF(ISNUMBER(A6),"周"&amp;CHOOSE(WEEKDAY(A6,2),"一","二","三","四","五","六","日"),"")</f>
        <v>周二</v>
      </c>
      <c r="C6" s="32" t="inlineStr">
        <is>
          <t>有成交</t>
        </is>
      </c>
      <c r="D6" s="29" t="n">
        <v>2</v>
      </c>
      <c r="E6" s="47">
        <f>IF(ISNUMBER(A6),COUNTIFS('例-交易记录'!$B$5:$B$304,A6,'例-交易记录'!$Q$5:$Q$304,"已执行"),"")</f>
        <v>1</v>
      </c>
      <c r="F6" s="31" t="inlineStr"/>
      <c r="G6" s="29" t="n">
        <v>3</v>
      </c>
      <c r="H6" s="48">
        <f>IF(NOT(ISNUMBER(A6)),"",IF(COUNTIFS('例-交易记录'!$S$5:$S$304,A6,'例-交易记录'!$Y$5:$Y$304,"已平仓")=0,"",SUMIFS('例-交易记录'!$AC$5:$AC$304,'例-交易记录'!$S$5:$S$304,A6,'例-交易记录'!$Y$5:$Y$304,"已平仓")))</f>
        <v>-1.20572</v>
      </c>
      <c r="I6" s="40" t="str">
        <f>IF(NOT(ISNUMBER(H6)),"",IF(H6&lt;=-'参数'!$C$8,"触及停手线",""))</f>
        <v/>
      </c>
      <c r="J6" s="31" t="inlineStr">
        <is>
          <t>区间上沿只做空，不追多</t>
        </is>
      </c>
      <c r="K6" s="31" t="n"/>
    </row>
    <row r="7" ht="18" customHeight="1">
      <c r="A7" s="30" t="n">
        <v>47583</v>
      </c>
      <c r="B7" s="40" t="str">
        <f>IF(ISNUMBER(A7),"周"&amp;CHOOSE(WEEKDAY(A7,2),"一","二","三","四","五","六","日"),"")</f>
        <v>周三</v>
      </c>
      <c r="C7" s="32" t="inlineStr">
        <is>
          <t>有成交</t>
        </is>
      </c>
      <c r="D7" s="29" t="n">
        <v>2</v>
      </c>
      <c r="E7" s="47">
        <f>IF(ISNUMBER(A7),COUNTIFS('例-交易记录'!$B$5:$B$304,A7,'例-交易记录'!$Q$5:$Q$304,"已执行"),"")</f>
        <v>1</v>
      </c>
      <c r="F7" s="31" t="inlineStr"/>
      <c r="G7" s="29" t="n">
        <v>4</v>
      </c>
      <c r="H7" s="48">
        <f>IF(NOT(ISNUMBER(A7)),"",IF(COUNTIFS('例-交易记录'!$S$5:$S$304,A7,'例-交易记录'!$Y$5:$Y$304,"已平仓")=0,"",SUMIFS('例-交易记录'!$AC$5:$AC$304,'例-交易记录'!$S$5:$S$304,A7,'例-交易记录'!$Y$5:$Y$304,"已平仓")))</f>
        <v>2.79576666666667</v>
      </c>
      <c r="I7" s="40" t="str">
        <f>IF(NOT(ISNUMBER(H7)),"",IF(H7&lt;=-'参数'!$C$8,"触及停手线",""))</f>
        <v/>
      </c>
      <c r="J7" s="31" t="inlineStr">
        <is>
          <t>品种乙放量过 25.80 才买</t>
        </is>
      </c>
      <c r="K7" s="31" t="n"/>
    </row>
    <row r="8" ht="18" customHeight="1">
      <c r="A8" s="30" t="n">
        <v>47584</v>
      </c>
      <c r="B8" s="40" t="str">
        <f>IF(ISNUMBER(A8),"周"&amp;CHOOSE(WEEKDAY(A8,2),"一","二","三","四","五","六","日"),"")</f>
        <v>周四</v>
      </c>
      <c r="C8" s="32" t="inlineStr">
        <is>
          <t>有成交</t>
        </is>
      </c>
      <c r="D8" s="29" t="n">
        <v>3</v>
      </c>
      <c r="E8" s="47">
        <f>IF(ISNUMBER(A8),COUNTIFS('例-交易记录'!$B$5:$B$304,A8,'例-交易记录'!$Q$5:$Q$304,"已执行"),"")</f>
        <v>1</v>
      </c>
      <c r="F8" s="31" t="inlineStr">
        <is>
          <t>追了一笔，超过上限</t>
        </is>
      </c>
      <c r="G8" s="29" t="n">
        <v>3</v>
      </c>
      <c r="H8" s="48" t="str">
        <f>IF(NOT(ISNUMBER(A8)),"",IF(COUNTIFS('例-交易记录'!$S$5:$S$304,A8,'例-交易记录'!$Y$5:$Y$304,"已平仓")=0,"",SUMIFS('例-交易记录'!$AC$5:$AC$304,'例-交易记录'!$S$5:$S$304,A8,'例-交易记录'!$Y$5:$Y$304,"已平仓")))</f>
        <v/>
      </c>
      <c r="I8" s="40" t="str">
        <f>IF(NOT(ISNUMBER(H8)),"",IF(H8&lt;=-'参数'!$C$8,"触及停手线",""))</f>
        <v/>
      </c>
      <c r="J8" s="31" t="inlineStr">
        <is>
          <t>限价单写死，超过就撤</t>
        </is>
      </c>
      <c r="K8" s="31" t="n"/>
    </row>
    <row r="9" ht="18" customHeight="1">
      <c r="A9" s="30" t="n">
        <v>47585</v>
      </c>
      <c r="B9" s="40" t="str">
        <f>IF(ISNUMBER(A9),"周"&amp;CHOOSE(WEEKDAY(A9,2),"一","二","三","四","五","六","日"),"")</f>
        <v>周五</v>
      </c>
      <c r="C9" s="32" t="inlineStr">
        <is>
          <t>挂单没成交</t>
        </is>
      </c>
      <c r="D9" s="29" t="n">
        <v>2</v>
      </c>
      <c r="E9" s="47">
        <f>IF(ISNUMBER(A9),COUNTIFS('例-交易记录'!$B$5:$B$304,A9,'例-交易记录'!$Q$5:$Q$304,"已执行"),"")</f>
        <v>0</v>
      </c>
      <c r="F9" s="31" t="inlineStr">
        <is>
          <t>开会漏了一笔</t>
        </is>
      </c>
      <c r="G9" s="29" t="n">
        <v>3</v>
      </c>
      <c r="H9" s="48">
        <f>IF(NOT(ISNUMBER(A9)),"",IF(COUNTIFS('例-交易记录'!$S$5:$S$304,A9,'例-交易记录'!$Y$5:$Y$304,"已平仓")=0,"",SUMIFS('例-交易记录'!$AC$5:$AC$304,'例-交易记录'!$S$5:$S$304,A9,'例-交易记录'!$Y$5:$Y$304,"已平仓")))</f>
        <v>3.93648631578947</v>
      </c>
      <c r="I9" s="40" t="str">
        <f>IF(NOT(ISNUMBER(H9)),"",IF(H9&lt;=-'参数'!$C$8,"触及停手线",""))</f>
        <v/>
      </c>
      <c r="J9" s="31" t="inlineStr">
        <is>
          <t>会议日提前挂条件单</t>
        </is>
      </c>
      <c r="K9" s="31" t="n"/>
    </row>
    <row r="10" ht="18" customHeight="1">
      <c r="A10" s="30" t="n">
        <v>47588</v>
      </c>
      <c r="B10" s="40" t="str">
        <f>IF(ISNUMBER(A10),"周"&amp;CHOOSE(WEEKDAY(A10,2),"一","二","三","四","五","六","日"),"")</f>
        <v>周一</v>
      </c>
      <c r="C10" s="32" t="inlineStr">
        <is>
          <t>有成交</t>
        </is>
      </c>
      <c r="D10" s="29" t="n">
        <v>2</v>
      </c>
      <c r="E10" s="47">
        <f>IF(ISNUMBER(A10),COUNTIFS('例-交易记录'!$B$5:$B$304,A10,'例-交易记录'!$Q$5:$Q$304,"已执行"),"")</f>
        <v>1</v>
      </c>
      <c r="F10" s="31" t="inlineStr"/>
      <c r="G10" s="29" t="n">
        <v>4</v>
      </c>
      <c r="H10" s="48" t="str">
        <f>IF(NOT(ISNUMBER(A10)),"",IF(COUNTIFS('例-交易记录'!$S$5:$S$304,A10,'例-交易记录'!$Y$5:$Y$304,"已平仓")=0,"",SUMIFS('例-交易记录'!$AC$5:$AC$304,'例-交易记录'!$S$5:$S$304,A10,'例-交易记录'!$Y$5:$Y$304,"已平仓")))</f>
        <v/>
      </c>
      <c r="I10" s="40" t="str">
        <f>IF(NOT(ISNUMBER(H10)),"",IF(H10&lt;=-'参数'!$C$8,"触及停手线",""))</f>
        <v/>
      </c>
      <c r="J10" s="31" t="inlineStr">
        <is>
          <t>夜盘只做回踩，止损挂系统</t>
        </is>
      </c>
      <c r="K10" s="31" t="n"/>
    </row>
    <row r="11" ht="18" customHeight="1">
      <c r="A11" s="30" t="n">
        <v>47589</v>
      </c>
      <c r="B11" s="40" t="str">
        <f>IF(ISNUMBER(A11),"周"&amp;CHOOSE(WEEKDAY(A11,2),"一","二","三","四","五","六","日"),"")</f>
        <v>周二</v>
      </c>
      <c r="C11" s="32" t="inlineStr">
        <is>
          <t>有成交</t>
        </is>
      </c>
      <c r="D11" s="29" t="n">
        <v>1</v>
      </c>
      <c r="E11" s="47">
        <f>IF(ISNUMBER(A11),COUNTIFS('例-交易记录'!$B$5:$B$304,A11,'例-交易记录'!$Q$5:$Q$304,"已执行"),"")</f>
        <v>0</v>
      </c>
      <c r="F11" s="31" t="inlineStr">
        <is>
          <t>品种乙条件不满足，放弃</t>
        </is>
      </c>
      <c r="G11" s="29" t="n">
        <v>2</v>
      </c>
      <c r="H11" s="48">
        <f>IF(NOT(ISNUMBER(A11)),"",IF(COUNTIFS('例-交易记录'!$S$5:$S$304,A11,'例-交易记录'!$Y$5:$Y$304,"已平仓")=0,"",SUMIFS('例-交易记录'!$AC$5:$AC$304,'例-交易记录'!$S$5:$S$304,A11,'例-交易记录'!$Y$5:$Y$304,"已平仓")))</f>
        <v>-1.72713333333333</v>
      </c>
      <c r="I11" s="40" t="str">
        <f>IF(NOT(ISNUMBER(H11)),"",IF(H11&lt;=-'参数'!$C$8,"触及停手线",""))</f>
        <v/>
      </c>
      <c r="J11" s="31" t="inlineStr">
        <is>
          <t>昨天扛单，今天只看不做也行</t>
        </is>
      </c>
      <c r="K11" s="31" t="n"/>
    </row>
    <row r="12" ht="18" customHeight="1">
      <c r="A12" s="30" t="n">
        <v>47590</v>
      </c>
      <c r="B12" s="40" t="str">
        <f>IF(ISNUMBER(A12),"周"&amp;CHOOSE(WEEKDAY(A12,2),"一","二","三","四","五","六","日"),"")</f>
        <v>周三</v>
      </c>
      <c r="C12" s="32" t="inlineStr">
        <is>
          <t>有成交</t>
        </is>
      </c>
      <c r="D12" s="29" t="n">
        <v>2</v>
      </c>
      <c r="E12" s="47">
        <f>IF(ISNUMBER(A12),COUNTIFS('例-交易记录'!$B$5:$B$304,A12,'例-交易记录'!$Q$5:$Q$304,"已执行"),"")</f>
        <v>1</v>
      </c>
      <c r="F12" s="31" t="inlineStr"/>
      <c r="G12" s="29" t="n">
        <v>4</v>
      </c>
      <c r="H12" s="48" t="str">
        <f>IF(NOT(ISNUMBER(A12)),"",IF(COUNTIFS('例-交易记录'!$S$5:$S$304,A12,'例-交易记录'!$Y$5:$Y$304,"已平仓")=0,"",SUMIFS('例-交易记录'!$AC$5:$AC$304,'例-交易记录'!$S$5:$S$304,A12,'例-交易记录'!$Y$5:$Y$304,"已平仓")))</f>
        <v/>
      </c>
      <c r="I12" s="40" t="str">
        <f>IF(NOT(ISNUMBER(H12)),"",IF(H12&lt;=-'参数'!$C$8,"触及停手线",""))</f>
        <v/>
      </c>
      <c r="J12" s="31" t="inlineStr">
        <is>
          <t>空单到目标附近就走</t>
        </is>
      </c>
      <c r="K12" s="31" t="n"/>
    </row>
    <row r="13" ht="18" customHeight="1">
      <c r="A13" s="30" t="n">
        <v>47591</v>
      </c>
      <c r="B13" s="40" t="str">
        <f>IF(ISNUMBER(A13),"周"&amp;CHOOSE(WEEKDAY(A13,2),"一","二","三","四","五","六","日"),"")</f>
        <v>周四</v>
      </c>
      <c r="C13" s="32" t="inlineStr">
        <is>
          <t>有成交</t>
        </is>
      </c>
      <c r="D13" s="29" t="n">
        <v>2</v>
      </c>
      <c r="E13" s="47">
        <f>IF(ISNUMBER(A13),COUNTIFS('例-交易记录'!$B$5:$B$304,A13,'例-交易记录'!$Q$5:$Q$304,"已执行"),"")</f>
        <v>1</v>
      </c>
      <c r="F13" s="31" t="inlineStr"/>
      <c r="G13" s="29" t="n">
        <v>4</v>
      </c>
      <c r="H13" s="48">
        <f>IF(NOT(ISNUMBER(A13)),"",IF(COUNTIFS('例-交易记录'!$S$5:$S$304,A13,'例-交易记录'!$Y$5:$Y$304,"已平仓")=0,"",SUMIFS('例-交易记录'!$AC$5:$AC$304,'例-交易记录'!$S$5:$S$304,A13,'例-交易记录'!$Y$5:$Y$304,"已平仓")))</f>
        <v>2.20768</v>
      </c>
      <c r="I13" s="40" t="str">
        <f>IF(NOT(ISNUMBER(H13)),"",IF(H13&lt;=-'参数'!$C$8,"触及停手线",""))</f>
        <v/>
      </c>
      <c r="J13" s="31" t="inlineStr">
        <is>
          <t>周五不开新仓</t>
        </is>
      </c>
      <c r="K13" s="31" t="n"/>
    </row>
    <row r="14" ht="18" customHeight="1">
      <c r="A14" s="30" t="n">
        <v>47592</v>
      </c>
      <c r="B14" s="40" t="str">
        <f>IF(ISNUMBER(A14),"周"&amp;CHOOSE(WEEKDAY(A14,2),"一","二","三","四","五","六","日"),"")</f>
        <v>周五</v>
      </c>
      <c r="C14" s="32" t="inlineStr">
        <is>
          <t>按计划空仓</t>
        </is>
      </c>
      <c r="D14" s="29" t="n">
        <v>0</v>
      </c>
      <c r="E14" s="47">
        <f>IF(ISNUMBER(A14),COUNTIFS('例-交易记录'!$B$5:$B$304,A14,'例-交易记录'!$Q$5:$Q$304,"已执行"),"")</f>
        <v>0</v>
      </c>
      <c r="F14" s="31" t="inlineStr">
        <is>
          <t>周五不开新仓，只管持仓</t>
        </is>
      </c>
      <c r="G14" s="29" t="n">
        <v>4</v>
      </c>
      <c r="H14" s="48" t="str">
        <f>IF(NOT(ISNUMBER(A14)),"",IF(COUNTIFS('例-交易记录'!$S$5:$S$304,A14,'例-交易记录'!$Y$5:$Y$304,"已平仓")=0,"",SUMIFS('例-交易记录'!$AC$5:$AC$304,'例-交易记录'!$S$5:$S$304,A14,'例-交易记录'!$Y$5:$Y$304,"已平仓")))</f>
        <v/>
      </c>
      <c r="I14" s="40" t="str">
        <f>IF(NOT(ISNUMBER(H14)),"",IF(H14&lt;=-'参数'!$C$8,"触及停手线",""))</f>
        <v/>
      </c>
      <c r="J14" s="31" t="inlineStr">
        <is>
          <t>周末复盘，只改一处</t>
        </is>
      </c>
      <c r="K14" s="31" t="n"/>
    </row>
    <row r="15">
      <c r="A15" s="30" t="n"/>
      <c r="B15" s="40" t="str">
        <f>IF(ISNUMBER(A15),"周"&amp;CHOOSE(WEEKDAY(A15,2),"一","二","三","四","五","六","日"),"")</f>
        <v/>
      </c>
      <c r="C15" s="32" t="n"/>
      <c r="D15" s="29" t="n"/>
      <c r="E15" s="47" t="str">
        <f>IF(ISNUMBER(A15),COUNTIFS('例-交易记录'!$B$5:$B$304,A15,'例-交易记录'!$Q$5:$Q$304,"已执行"),"")</f>
        <v/>
      </c>
      <c r="F15" s="31" t="n"/>
      <c r="G15" s="29" t="n"/>
      <c r="H15" s="48" t="str">
        <f>IF(NOT(ISNUMBER(A15)),"",IF(COUNTIFS('例-交易记录'!$S$5:$S$304,A15,'例-交易记录'!$Y$5:$Y$304,"已平仓")=0,"",SUMIFS('例-交易记录'!$AC$5:$AC$304,'例-交易记录'!$S$5:$S$304,A15,'例-交易记录'!$Y$5:$Y$304,"已平仓")))</f>
        <v/>
      </c>
      <c r="I15" s="40" t="str">
        <f>IF(NOT(ISNUMBER(H15)),"",IF(H15&lt;=-'参数'!$C$8,"触及停手线",""))</f>
        <v/>
      </c>
      <c r="J15" s="31" t="n"/>
      <c r="K15" s="31" t="n"/>
    </row>
    <row r="16">
      <c r="A16" s="30" t="n"/>
      <c r="B16" s="40" t="str">
        <f>IF(ISNUMBER(A16),"周"&amp;CHOOSE(WEEKDAY(A16,2),"一","二","三","四","五","六","日"),"")</f>
        <v/>
      </c>
      <c r="C16" s="32" t="n"/>
      <c r="D16" s="29" t="n"/>
      <c r="E16" s="47" t="str">
        <f>IF(ISNUMBER(A16),COUNTIFS('例-交易记录'!$B$5:$B$304,A16,'例-交易记录'!$Q$5:$Q$304,"已执行"),"")</f>
        <v/>
      </c>
      <c r="F16" s="31" t="n"/>
      <c r="G16" s="29" t="n"/>
      <c r="H16" s="48" t="str">
        <f>IF(NOT(ISNUMBER(A16)),"",IF(COUNTIFS('例-交易记录'!$S$5:$S$304,A16,'例-交易记录'!$Y$5:$Y$304,"已平仓")=0,"",SUMIFS('例-交易记录'!$AC$5:$AC$304,'例-交易记录'!$S$5:$S$304,A16,'例-交易记录'!$Y$5:$Y$304,"已平仓")))</f>
        <v/>
      </c>
      <c r="I16" s="40" t="str">
        <f>IF(NOT(ISNUMBER(H16)),"",IF(H16&lt;=-'参数'!$C$8,"触及停手线",""))</f>
        <v/>
      </c>
      <c r="J16" s="31" t="n"/>
      <c r="K16" s="31" t="n"/>
    </row>
    <row r="17">
      <c r="A17" s="30" t="n"/>
      <c r="B17" s="40" t="str">
        <f>IF(ISNUMBER(A17),"周"&amp;CHOOSE(WEEKDAY(A17,2),"一","二","三","四","五","六","日"),"")</f>
        <v/>
      </c>
      <c r="C17" s="32" t="n"/>
      <c r="D17" s="29" t="n"/>
      <c r="E17" s="47" t="str">
        <f>IF(ISNUMBER(A17),COUNTIFS('例-交易记录'!$B$5:$B$304,A17,'例-交易记录'!$Q$5:$Q$304,"已执行"),"")</f>
        <v/>
      </c>
      <c r="F17" s="31" t="n"/>
      <c r="G17" s="29" t="n"/>
      <c r="H17" s="48" t="str">
        <f>IF(NOT(ISNUMBER(A17)),"",IF(COUNTIFS('例-交易记录'!$S$5:$S$304,A17,'例-交易记录'!$Y$5:$Y$304,"已平仓")=0,"",SUMIFS('例-交易记录'!$AC$5:$AC$304,'例-交易记录'!$S$5:$S$304,A17,'例-交易记录'!$Y$5:$Y$304,"已平仓")))</f>
        <v/>
      </c>
      <c r="I17" s="40" t="str">
        <f>IF(NOT(ISNUMBER(H17)),"",IF(H17&lt;=-'参数'!$C$8,"触及停手线",""))</f>
        <v/>
      </c>
      <c r="J17" s="31" t="n"/>
      <c r="K17" s="31" t="n"/>
    </row>
    <row r="18">
      <c r="A18" s="30" t="n"/>
      <c r="B18" s="40" t="str">
        <f>IF(ISNUMBER(A18),"周"&amp;CHOOSE(WEEKDAY(A18,2),"一","二","三","四","五","六","日"),"")</f>
        <v/>
      </c>
      <c r="C18" s="32" t="n"/>
      <c r="D18" s="29" t="n"/>
      <c r="E18" s="47" t="str">
        <f>IF(ISNUMBER(A18),COUNTIFS('例-交易记录'!$B$5:$B$304,A18,'例-交易记录'!$Q$5:$Q$304,"已执行"),"")</f>
        <v/>
      </c>
      <c r="F18" s="31" t="n"/>
      <c r="G18" s="29" t="n"/>
      <c r="H18" s="48" t="str">
        <f>IF(NOT(ISNUMBER(A18)),"",IF(COUNTIFS('例-交易记录'!$S$5:$S$304,A18,'例-交易记录'!$Y$5:$Y$304,"已平仓")=0,"",SUMIFS('例-交易记录'!$AC$5:$AC$304,'例-交易记录'!$S$5:$S$304,A18,'例-交易记录'!$Y$5:$Y$304,"已平仓")))</f>
        <v/>
      </c>
      <c r="I18" s="40" t="str">
        <f>IF(NOT(ISNUMBER(H18)),"",IF(H18&lt;=-'参数'!$C$8,"触及停手线",""))</f>
        <v/>
      </c>
      <c r="J18" s="31" t="n"/>
      <c r="K18" s="31" t="n"/>
    </row>
    <row r="19">
      <c r="A19" s="30" t="n"/>
      <c r="B19" s="40" t="str">
        <f>IF(ISNUMBER(A19),"周"&amp;CHOOSE(WEEKDAY(A19,2),"一","二","三","四","五","六","日"),"")</f>
        <v/>
      </c>
      <c r="C19" s="32" t="n"/>
      <c r="D19" s="29" t="n"/>
      <c r="E19" s="47" t="str">
        <f>IF(ISNUMBER(A19),COUNTIFS('例-交易记录'!$B$5:$B$304,A19,'例-交易记录'!$Q$5:$Q$304,"已执行"),"")</f>
        <v/>
      </c>
      <c r="F19" s="31" t="n"/>
      <c r="G19" s="29" t="n"/>
      <c r="H19" s="48" t="str">
        <f>IF(NOT(ISNUMBER(A19)),"",IF(COUNTIFS('例-交易记录'!$S$5:$S$304,A19,'例-交易记录'!$Y$5:$Y$304,"已平仓")=0,"",SUMIFS('例-交易记录'!$AC$5:$AC$304,'例-交易记录'!$S$5:$S$304,A19,'例-交易记录'!$Y$5:$Y$304,"已平仓")))</f>
        <v/>
      </c>
      <c r="I19" s="40" t="str">
        <f>IF(NOT(ISNUMBER(H19)),"",IF(H19&lt;=-'参数'!$C$8,"触及停手线",""))</f>
        <v/>
      </c>
      <c r="J19" s="31" t="n"/>
      <c r="K19" s="31" t="n"/>
    </row>
    <row r="20">
      <c r="A20" s="30" t="n"/>
      <c r="B20" s="40" t="str">
        <f>IF(ISNUMBER(A20),"周"&amp;CHOOSE(WEEKDAY(A20,2),"一","二","三","四","五","六","日"),"")</f>
        <v/>
      </c>
      <c r="C20" s="32" t="n"/>
      <c r="D20" s="29" t="n"/>
      <c r="E20" s="47" t="str">
        <f>IF(ISNUMBER(A20),COUNTIFS('例-交易记录'!$B$5:$B$304,A20,'例-交易记录'!$Q$5:$Q$304,"已执行"),"")</f>
        <v/>
      </c>
      <c r="F20" s="31" t="n"/>
      <c r="G20" s="29" t="n"/>
      <c r="H20" s="48" t="str">
        <f>IF(NOT(ISNUMBER(A20)),"",IF(COUNTIFS('例-交易记录'!$S$5:$S$304,A20,'例-交易记录'!$Y$5:$Y$304,"已平仓")=0,"",SUMIFS('例-交易记录'!$AC$5:$AC$304,'例-交易记录'!$S$5:$S$304,A20,'例-交易记录'!$Y$5:$Y$304,"已平仓")))</f>
        <v/>
      </c>
      <c r="I20" s="40" t="str">
        <f>IF(NOT(ISNUMBER(H20)),"",IF(H20&lt;=-'参数'!$C$8,"触及停手线",""))</f>
        <v/>
      </c>
      <c r="J20" s="31" t="n"/>
      <c r="K20" s="31" t="n"/>
    </row>
    <row r="21">
      <c r="A21" s="30" t="n"/>
      <c r="B21" s="40" t="str">
        <f>IF(ISNUMBER(A21),"周"&amp;CHOOSE(WEEKDAY(A21,2),"一","二","三","四","五","六","日"),"")</f>
        <v/>
      </c>
      <c r="C21" s="32" t="n"/>
      <c r="D21" s="29" t="n"/>
      <c r="E21" s="47" t="str">
        <f>IF(ISNUMBER(A21),COUNTIFS('例-交易记录'!$B$5:$B$304,A21,'例-交易记录'!$Q$5:$Q$304,"已执行"),"")</f>
        <v/>
      </c>
      <c r="F21" s="31" t="n"/>
      <c r="G21" s="29" t="n"/>
      <c r="H21" s="48" t="str">
        <f>IF(NOT(ISNUMBER(A21)),"",IF(COUNTIFS('例-交易记录'!$S$5:$S$304,A21,'例-交易记录'!$Y$5:$Y$304,"已平仓")=0,"",SUMIFS('例-交易记录'!$AC$5:$AC$304,'例-交易记录'!$S$5:$S$304,A21,'例-交易记录'!$Y$5:$Y$304,"已平仓")))</f>
        <v/>
      </c>
      <c r="I21" s="40" t="str">
        <f>IF(NOT(ISNUMBER(H21)),"",IF(H21&lt;=-'参数'!$C$8,"触及停手线",""))</f>
        <v/>
      </c>
      <c r="J21" s="31" t="n"/>
      <c r="K21" s="31" t="n"/>
    </row>
    <row r="22">
      <c r="A22" s="30" t="n"/>
      <c r="B22" s="40" t="str">
        <f>IF(ISNUMBER(A22),"周"&amp;CHOOSE(WEEKDAY(A22,2),"一","二","三","四","五","六","日"),"")</f>
        <v/>
      </c>
      <c r="C22" s="32" t="n"/>
      <c r="D22" s="29" t="n"/>
      <c r="E22" s="47" t="str">
        <f>IF(ISNUMBER(A22),COUNTIFS('例-交易记录'!$B$5:$B$304,A22,'例-交易记录'!$Q$5:$Q$304,"已执行"),"")</f>
        <v/>
      </c>
      <c r="F22" s="31" t="n"/>
      <c r="G22" s="29" t="n"/>
      <c r="H22" s="48" t="str">
        <f>IF(NOT(ISNUMBER(A22)),"",IF(COUNTIFS('例-交易记录'!$S$5:$S$304,A22,'例-交易记录'!$Y$5:$Y$304,"已平仓")=0,"",SUMIFS('例-交易记录'!$AC$5:$AC$304,'例-交易记录'!$S$5:$S$304,A22,'例-交易记录'!$Y$5:$Y$304,"已平仓")))</f>
        <v/>
      </c>
      <c r="I22" s="40" t="str">
        <f>IF(NOT(ISNUMBER(H22)),"",IF(H22&lt;=-'参数'!$C$8,"触及停手线",""))</f>
        <v/>
      </c>
      <c r="J22" s="31" t="n"/>
      <c r="K22" s="31" t="n"/>
    </row>
    <row r="23">
      <c r="A23" s="30" t="n"/>
      <c r="B23" s="40" t="str">
        <f>IF(ISNUMBER(A23),"周"&amp;CHOOSE(WEEKDAY(A23,2),"一","二","三","四","五","六","日"),"")</f>
        <v/>
      </c>
      <c r="C23" s="32" t="n"/>
      <c r="D23" s="29" t="n"/>
      <c r="E23" s="47" t="str">
        <f>IF(ISNUMBER(A23),COUNTIFS('例-交易记录'!$B$5:$B$304,A23,'例-交易记录'!$Q$5:$Q$304,"已执行"),"")</f>
        <v/>
      </c>
      <c r="F23" s="31" t="n"/>
      <c r="G23" s="29" t="n"/>
      <c r="H23" s="48" t="str">
        <f>IF(NOT(ISNUMBER(A23)),"",IF(COUNTIFS('例-交易记录'!$S$5:$S$304,A23,'例-交易记录'!$Y$5:$Y$304,"已平仓")=0,"",SUMIFS('例-交易记录'!$AC$5:$AC$304,'例-交易记录'!$S$5:$S$304,A23,'例-交易记录'!$Y$5:$Y$304,"已平仓")))</f>
        <v/>
      </c>
      <c r="I23" s="40" t="str">
        <f>IF(NOT(ISNUMBER(H23)),"",IF(H23&lt;=-'参数'!$C$8,"触及停手线",""))</f>
        <v/>
      </c>
      <c r="J23" s="31" t="n"/>
      <c r="K23" s="31" t="n"/>
    </row>
    <row r="24">
      <c r="A24" s="30" t="n"/>
      <c r="B24" s="40" t="str">
        <f>IF(ISNUMBER(A24),"周"&amp;CHOOSE(WEEKDAY(A24,2),"一","二","三","四","五","六","日"),"")</f>
        <v/>
      </c>
      <c r="C24" s="32" t="n"/>
      <c r="D24" s="29" t="n"/>
      <c r="E24" s="47" t="str">
        <f>IF(ISNUMBER(A24),COUNTIFS('例-交易记录'!$B$5:$B$304,A24,'例-交易记录'!$Q$5:$Q$304,"已执行"),"")</f>
        <v/>
      </c>
      <c r="F24" s="31" t="n"/>
      <c r="G24" s="29" t="n"/>
      <c r="H24" s="48" t="str">
        <f>IF(NOT(ISNUMBER(A24)),"",IF(COUNTIFS('例-交易记录'!$S$5:$S$304,A24,'例-交易记录'!$Y$5:$Y$304,"已平仓")=0,"",SUMIFS('例-交易记录'!$AC$5:$AC$304,'例-交易记录'!$S$5:$S$304,A24,'例-交易记录'!$Y$5:$Y$304,"已平仓")))</f>
        <v/>
      </c>
      <c r="I24" s="40" t="str">
        <f>IF(NOT(ISNUMBER(H24)),"",IF(H24&lt;=-'参数'!$C$8,"触及停手线",""))</f>
        <v/>
      </c>
      <c r="J24" s="31" t="n"/>
      <c r="K24" s="31" t="n"/>
    </row>
  </sheetData>
  <mergeCells count="6">
    <mergeCell ref="J3:K3"/>
    <mergeCell ref="C3:I3"/>
    <mergeCell ref="I1:K1"/>
    <mergeCell ref="A2:K2"/>
    <mergeCell ref="A1:H1"/>
    <mergeCell ref="A3:B3"/>
  </mergeCells>
  <conditionalFormatting sqref="H5:H2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I5:I24">
    <cfRule type="cellIs" priority="3" operator="equal" dxfId="6">
      <formula>"触及停手线"</formula>
    </cfRule>
  </conditionalFormatting>
  <dataValidations count="3">
    <dataValidation sqref="A5:A2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24" showDropDown="0" showInputMessage="0" showErrorMessage="1" allowBlank="1" errorTitle="不在选项里" error="请从下拉里选；要加新选项，先去参数页的下拉选项里加。" type="list" errorStyle="warning">
      <formula1>'参数'!$G$22:$G$33</formula1>
    </dataValidation>
    <dataValidation sqref="G5:G24" showDropDown="0" showInputMessage="0" showErrorMessage="1" allowBlank="1" errorTitle="格式不对" error="状态打分填 1 到 5：1 很差，5 很好。" type="custom" errorStyle="stop">
      <formula1>AND(G5&gt;=1,G5&lt;=5)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</worksheet>
</file>

<file path=xl/worksheets/sheet10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L8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6" customWidth="1" min="10" max="10"/>
    <col hidden="1" width="6" customWidth="1" min="12" max="12"/>
  </cols>
  <sheetData>
    <row r="1" ht="30" customHeight="1">
      <c r="A1" s="13" t="inlineStr">
        <is>
          <t>示例 · 周复盘：先看过程，再看成绩</t>
        </is>
      </c>
      <c r="H1" s="14" t="inlineStr">
        <is>
          <t>TradeLearn · XtradingTime 交易内训</t>
        </is>
      </c>
    </row>
    <row r="2" ht="20" customHeight="1">
      <c r="A2" s="58" t="inlineStr">
        <is>
          <t>虚构示例，仅演示填法：统计来自示例页的虚构交易。</t>
        </is>
      </c>
    </row>
    <row r="4">
      <c r="B4" s="49" t="inlineStr">
        <is>
          <t>统计区间：开始日期</t>
        </is>
      </c>
      <c r="C4" s="30" t="n">
        <v>47581</v>
      </c>
      <c r="D4" s="50" t="inlineStr">
        <is>
          <t>结束日期</t>
        </is>
      </c>
      <c r="E4" s="30" t="n">
        <v>47587</v>
      </c>
      <c r="F4" s="19" t="inlineStr">
        <is>
          <t>一周就填周一和周日；月复盘就填月初和月底。</t>
        </is>
      </c>
      <c r="G4" s="19" t="n"/>
      <c r="H4" s="19" t="n"/>
      <c r="I4" s="19" t="n"/>
      <c r="J4" s="19" t="n"/>
    </row>
    <row r="6">
      <c r="B6" s="15" t="inlineStr">
        <is>
          <t>1. 这几天的每日记录（区间里的前 7 天）</t>
        </is>
      </c>
    </row>
    <row r="7">
      <c r="B7" s="25" t="inlineStr">
        <is>
          <t>日期</t>
        </is>
      </c>
      <c r="C7" s="25" t="inlineStr">
        <is>
          <t>星期</t>
        </is>
      </c>
      <c r="D7" s="25" t="inlineStr">
        <is>
          <t>今天做了什么</t>
        </is>
      </c>
      <c r="E7" s="25" t="inlineStr">
        <is>
          <t>看到几次机会</t>
        </is>
      </c>
      <c r="F7" s="25" t="inlineStr">
        <is>
          <t>下了几笔</t>
        </is>
      </c>
      <c r="G7" s="25" t="inlineStr">
        <is>
          <t>状态</t>
        </is>
      </c>
      <c r="H7" s="25" t="inlineStr">
        <is>
          <t>当日平仓净R</t>
        </is>
      </c>
      <c r="I7" s="25" t="inlineStr">
        <is>
          <t>明天的条件</t>
        </is>
      </c>
      <c r="J7" s="25" t="n"/>
    </row>
    <row r="8">
      <c r="B8" s="51">
        <f>IF(ISNUMBER($C$4),IF($C$4+0&lt;=$E$4,$C$4+0,""),"")</f>
        <v>47581.0</v>
      </c>
      <c r="C8" s="40" t="str">
        <f>IF(ISNUMBER(B8),"周"&amp;CHOOSE(WEEKDAY(B8,2),"一","二","三","四","五","六","日"),"")</f>
        <v>周一</v>
      </c>
      <c r="D8" s="38" t="str">
        <f>IF(ISNUMBER($B8),IFERROR(T(VLOOKUP($B8,'例-每日记录'!$A$5:$K$264,3,FALSE)),"未记"),"")</f>
        <v>有成交</v>
      </c>
      <c r="E8" s="47">
        <f>IF(ISNUMBER($B8),IFERROR(IF(ISNUMBER(VLOOKUP($B8,'例-每日记录'!$A$5:$K$264,4,FALSE)),VLOOKUP($B8,'例-每日记录'!$A$5:$K$264,4,FALSE),""),""),"")</f>
        <v>3</v>
      </c>
      <c r="F8" s="47">
        <f>IF(ISNUMBER($B8),IFERROR(VLOOKUP($B8,'例-每日记录'!$A$5:$K$264,5,FALSE),""),"")</f>
        <v>1</v>
      </c>
      <c r="G8" s="47">
        <f>IF(ISNUMBER($B8),IFERROR(IF(ISNUMBER(VLOOKUP($B8,'例-每日记录'!$A$5:$K$264,7,FALSE)),VLOOKUP($B8,'例-每日记录'!$A$5:$K$264,7,FALSE),""),""),"")</f>
        <v>4</v>
      </c>
      <c r="H8" s="48" t="str">
        <f>IF(ISNUMBER($B8),IFERROR(VLOOKUP($B8,'例-每日记录'!$A$5:$K$264,8,FALSE),""),"")</f>
        <v/>
      </c>
      <c r="I8" s="52" t="str">
        <f>IF(ISNUMBER($B8),IFERROR(T(VLOOKUP($B8,'例-每日记录'!$A$5:$K$264,10,FALSE)),""),"")</f>
        <v>品种甲站稳 3500 上方才看多</v>
      </c>
      <c r="J8" s="52" t="n"/>
    </row>
    <row r="9">
      <c r="B9" s="51">
        <f>IF(ISNUMBER($C$4),IF($C$4+1&lt;=$E$4,$C$4+1,""),"")</f>
        <v>47582.0</v>
      </c>
      <c r="C9" s="40" t="str">
        <f>IF(ISNUMBER(B9),"周"&amp;CHOOSE(WEEKDAY(B9,2),"一","二","三","四","五","六","日"),"")</f>
        <v>周二</v>
      </c>
      <c r="D9" s="38" t="str">
        <f>IF(ISNUMBER($B9),IFERROR(T(VLOOKUP($B9,'例-每日记录'!$A$5:$K$264,3,FALSE)),"未记"),"")</f>
        <v>有成交</v>
      </c>
      <c r="E9" s="47">
        <f>IF(ISNUMBER($B9),IFERROR(IF(ISNUMBER(VLOOKUP($B9,'例-每日记录'!$A$5:$K$264,4,FALSE)),VLOOKUP($B9,'例-每日记录'!$A$5:$K$264,4,FALSE),""),""),"")</f>
        <v>2</v>
      </c>
      <c r="F9" s="47">
        <f>IF(ISNUMBER($B9),IFERROR(VLOOKUP($B9,'例-每日记录'!$A$5:$K$264,5,FALSE),""),"")</f>
        <v>1</v>
      </c>
      <c r="G9" s="47">
        <f>IF(ISNUMBER($B9),IFERROR(IF(ISNUMBER(VLOOKUP($B9,'例-每日记录'!$A$5:$K$264,7,FALSE)),VLOOKUP($B9,'例-每日记录'!$A$5:$K$264,7,FALSE),""),""),"")</f>
        <v>3</v>
      </c>
      <c r="H9" s="48">
        <f>IF(ISNUMBER($B9),IFERROR(VLOOKUP($B9,'例-每日记录'!$A$5:$K$264,8,FALSE),""),"")</f>
        <v>-1.20572</v>
      </c>
      <c r="I9" s="52" t="str">
        <f>IF(ISNUMBER($B9),IFERROR(T(VLOOKUP($B9,'例-每日记录'!$A$5:$K$264,10,FALSE)),""),"")</f>
        <v>区间上沿只做空，不追多</v>
      </c>
      <c r="J9" s="52" t="n"/>
    </row>
    <row r="10">
      <c r="B10" s="51">
        <f>IF(ISNUMBER($C$4),IF($C$4+2&lt;=$E$4,$C$4+2,""),"")</f>
        <v>47583.0</v>
      </c>
      <c r="C10" s="40" t="str">
        <f>IF(ISNUMBER(B10),"周"&amp;CHOOSE(WEEKDAY(B10,2),"一","二","三","四","五","六","日"),"")</f>
        <v>周三</v>
      </c>
      <c r="D10" s="38" t="str">
        <f>IF(ISNUMBER($B10),IFERROR(T(VLOOKUP($B10,'例-每日记录'!$A$5:$K$264,3,FALSE)),"未记"),"")</f>
        <v>有成交</v>
      </c>
      <c r="E10" s="47">
        <f>IF(ISNUMBER($B10),IFERROR(IF(ISNUMBER(VLOOKUP($B10,'例-每日记录'!$A$5:$K$264,4,FALSE)),VLOOKUP($B10,'例-每日记录'!$A$5:$K$264,4,FALSE),""),""),"")</f>
        <v>2</v>
      </c>
      <c r="F10" s="47">
        <f>IF(ISNUMBER($B10),IFERROR(VLOOKUP($B10,'例-每日记录'!$A$5:$K$264,5,FALSE),""),"")</f>
        <v>1</v>
      </c>
      <c r="G10" s="47">
        <f>IF(ISNUMBER($B10),IFERROR(IF(ISNUMBER(VLOOKUP($B10,'例-每日记录'!$A$5:$K$264,7,FALSE)),VLOOKUP($B10,'例-每日记录'!$A$5:$K$264,7,FALSE),""),""),"")</f>
        <v>4</v>
      </c>
      <c r="H10" s="48">
        <f>IF(ISNUMBER($B10),IFERROR(VLOOKUP($B10,'例-每日记录'!$A$5:$K$264,8,FALSE),""),"")</f>
        <v>2.79576666666667</v>
      </c>
      <c r="I10" s="52" t="str">
        <f>IF(ISNUMBER($B10),IFERROR(T(VLOOKUP($B10,'例-每日记录'!$A$5:$K$264,10,FALSE)),""),"")</f>
        <v>品种乙放量过 25.80 才买</v>
      </c>
      <c r="J10" s="52" t="n"/>
    </row>
    <row r="11">
      <c r="B11" s="51">
        <f>IF(ISNUMBER($C$4),IF($C$4+3&lt;=$E$4,$C$4+3,""),"")</f>
        <v>47584.0</v>
      </c>
      <c r="C11" s="40" t="str">
        <f>IF(ISNUMBER(B11),"周"&amp;CHOOSE(WEEKDAY(B11,2),"一","二","三","四","五","六","日"),"")</f>
        <v>周四</v>
      </c>
      <c r="D11" s="38" t="str">
        <f>IF(ISNUMBER($B11),IFERROR(T(VLOOKUP($B11,'例-每日记录'!$A$5:$K$264,3,FALSE)),"未记"),"")</f>
        <v>有成交</v>
      </c>
      <c r="E11" s="47">
        <f>IF(ISNUMBER($B11),IFERROR(IF(ISNUMBER(VLOOKUP($B11,'例-每日记录'!$A$5:$K$264,4,FALSE)),VLOOKUP($B11,'例-每日记录'!$A$5:$K$264,4,FALSE),""),""),"")</f>
        <v>3</v>
      </c>
      <c r="F11" s="47">
        <f>IF(ISNUMBER($B11),IFERROR(VLOOKUP($B11,'例-每日记录'!$A$5:$K$264,5,FALSE),""),"")</f>
        <v>1</v>
      </c>
      <c r="G11" s="47">
        <f>IF(ISNUMBER($B11),IFERROR(IF(ISNUMBER(VLOOKUP($B11,'例-每日记录'!$A$5:$K$264,7,FALSE)),VLOOKUP($B11,'例-每日记录'!$A$5:$K$264,7,FALSE),""),""),"")</f>
        <v>3</v>
      </c>
      <c r="H11" s="48" t="str">
        <f>IF(ISNUMBER($B11),IFERROR(VLOOKUP($B11,'例-每日记录'!$A$5:$K$264,8,FALSE),""),"")</f>
        <v/>
      </c>
      <c r="I11" s="52" t="str">
        <f>IF(ISNUMBER($B11),IFERROR(T(VLOOKUP($B11,'例-每日记录'!$A$5:$K$264,10,FALSE)),""),"")</f>
        <v>限价单写死，超过就撤</v>
      </c>
      <c r="J11" s="52" t="n"/>
    </row>
    <row r="12">
      <c r="B12" s="51">
        <f>IF(ISNUMBER($C$4),IF($C$4+4&lt;=$E$4,$C$4+4,""),"")</f>
        <v>47585.0</v>
      </c>
      <c r="C12" s="40" t="str">
        <f>IF(ISNUMBER(B12),"周"&amp;CHOOSE(WEEKDAY(B12,2),"一","二","三","四","五","六","日"),"")</f>
        <v>周五</v>
      </c>
      <c r="D12" s="38" t="str">
        <f>IF(ISNUMBER($B12),IFERROR(T(VLOOKUP($B12,'例-每日记录'!$A$5:$K$264,3,FALSE)),"未记"),"")</f>
        <v>挂单没成交</v>
      </c>
      <c r="E12" s="47">
        <f>IF(ISNUMBER($B12),IFERROR(IF(ISNUMBER(VLOOKUP($B12,'例-每日记录'!$A$5:$K$264,4,FALSE)),VLOOKUP($B12,'例-每日记录'!$A$5:$K$264,4,FALSE),""),""),"")</f>
        <v>2</v>
      </c>
      <c r="F12" s="47">
        <f>IF(ISNUMBER($B12),IFERROR(VLOOKUP($B12,'例-每日记录'!$A$5:$K$264,5,FALSE),""),"")</f>
        <v>0</v>
      </c>
      <c r="G12" s="47">
        <f>IF(ISNUMBER($B12),IFERROR(IF(ISNUMBER(VLOOKUP($B12,'例-每日记录'!$A$5:$K$264,7,FALSE)),VLOOKUP($B12,'例-每日记录'!$A$5:$K$264,7,FALSE),""),""),"")</f>
        <v>3</v>
      </c>
      <c r="H12" s="48">
        <f>IF(ISNUMBER($B12),IFERROR(VLOOKUP($B12,'例-每日记录'!$A$5:$K$264,8,FALSE),""),"")</f>
        <v>3.93648631578947</v>
      </c>
      <c r="I12" s="52" t="str">
        <f>IF(ISNUMBER($B12),IFERROR(T(VLOOKUP($B12,'例-每日记录'!$A$5:$K$264,10,FALSE)),""),"")</f>
        <v>会议日提前挂条件单</v>
      </c>
      <c r="J12" s="52" t="n"/>
    </row>
    <row r="13">
      <c r="B13" s="51">
        <f>IF(ISNUMBER($C$4),IF($C$4+5&lt;=$E$4,$C$4+5,""),"")</f>
        <v>47586.0</v>
      </c>
      <c r="C13" s="40" t="str">
        <f>IF(ISNUMBER(B13),"周"&amp;CHOOSE(WEEKDAY(B13,2),"一","二","三","四","五","六","日"),"")</f>
        <v>周六</v>
      </c>
      <c r="D13" s="38" t="str">
        <f>IF(ISNUMBER($B13),IFERROR(T(VLOOKUP($B13,'例-每日记录'!$A$5:$K$264,3,FALSE)),"未记"),"")</f>
        <v>未记</v>
      </c>
      <c r="E13" s="47" t="str">
        <f>IF(ISNUMBER($B13),IFERROR(IF(ISNUMBER(VLOOKUP($B13,'例-每日记录'!$A$5:$K$264,4,FALSE)),VLOOKUP($B13,'例-每日记录'!$A$5:$K$264,4,FALSE),""),""),"")</f>
        <v/>
      </c>
      <c r="F13" s="47" t="str">
        <f>IF(ISNUMBER($B13),IFERROR(VLOOKUP($B13,'例-每日记录'!$A$5:$K$264,5,FALSE),""),"")</f>
        <v/>
      </c>
      <c r="G13" s="47" t="str">
        <f>IF(ISNUMBER($B13),IFERROR(IF(ISNUMBER(VLOOKUP($B13,'例-每日记录'!$A$5:$K$264,7,FALSE)),VLOOKUP($B13,'例-每日记录'!$A$5:$K$264,7,FALSE),""),""),"")</f>
        <v/>
      </c>
      <c r="H13" s="48" t="str">
        <f>IF(ISNUMBER($B13),IFERROR(VLOOKUP($B13,'例-每日记录'!$A$5:$K$264,8,FALSE),""),"")</f>
        <v/>
      </c>
      <c r="I13" s="52" t="str">
        <f>IF(ISNUMBER($B13),IFERROR(T(VLOOKUP($B13,'例-每日记录'!$A$5:$K$264,10,FALSE)),""),"")</f>
        <v/>
      </c>
      <c r="J13" s="52" t="n"/>
    </row>
    <row r="14">
      <c r="B14" s="51">
        <f>IF(ISNUMBER($C$4),IF($C$4+6&lt;=$E$4,$C$4+6,""),"")</f>
        <v>47587.0</v>
      </c>
      <c r="C14" s="40" t="str">
        <f>IF(ISNUMBER(B14),"周"&amp;CHOOSE(WEEKDAY(B14,2),"一","二","三","四","五","六","日"),"")</f>
        <v>周日</v>
      </c>
      <c r="D14" s="38" t="str">
        <f>IF(ISNUMBER($B14),IFERROR(T(VLOOKUP($B14,'例-每日记录'!$A$5:$K$264,3,FALSE)),"未记"),"")</f>
        <v>未记</v>
      </c>
      <c r="E14" s="47" t="str">
        <f>IF(ISNUMBER($B14),IFERROR(IF(ISNUMBER(VLOOKUP($B14,'例-每日记录'!$A$5:$K$264,4,FALSE)),VLOOKUP($B14,'例-每日记录'!$A$5:$K$264,4,FALSE),""),""),"")</f>
        <v/>
      </c>
      <c r="F14" s="47" t="str">
        <f>IF(ISNUMBER($B14),IFERROR(VLOOKUP($B14,'例-每日记录'!$A$5:$K$264,5,FALSE),""),"")</f>
        <v/>
      </c>
      <c r="G14" s="47" t="str">
        <f>IF(ISNUMBER($B14),IFERROR(IF(ISNUMBER(VLOOKUP($B14,'例-每日记录'!$A$5:$K$264,7,FALSE)),VLOOKUP($B14,'例-每日记录'!$A$5:$K$264,7,FALSE),""),""),"")</f>
        <v/>
      </c>
      <c r="H14" s="48" t="str">
        <f>IF(ISNUMBER($B14),IFERROR(VLOOKUP($B14,'例-每日记录'!$A$5:$K$264,8,FALSE),""),"")</f>
        <v/>
      </c>
      <c r="I14" s="52" t="str">
        <f>IF(ISNUMBER($B14),IFERROR(T(VLOOKUP($B14,'例-每日记录'!$A$5:$K$264,10,FALSE)),""),"")</f>
        <v/>
      </c>
      <c r="J14" s="52" t="n"/>
    </row>
    <row r="16">
      <c r="B16" s="15" t="inlineStr">
        <is>
          <t>2. 成绩与执行</t>
        </is>
      </c>
    </row>
    <row r="17">
      <c r="B17" s="25" t="inlineStr">
        <is>
          <t>指标</t>
        </is>
      </c>
      <c r="C17" s="25" t="inlineStr">
        <is>
          <t>本区间</t>
        </is>
      </c>
      <c r="D17" s="25" t="inlineStr">
        <is>
          <t>全部记录</t>
        </is>
      </c>
      <c r="E17" s="25" t="inlineStr">
        <is>
          <t>怎么看</t>
        </is>
      </c>
      <c r="F17" s="25" t="n"/>
      <c r="G17" s="25" t="n"/>
      <c r="H17" s="25" t="n"/>
      <c r="I17" s="25" t="n"/>
      <c r="J17" s="25" t="n"/>
    </row>
    <row r="18">
      <c r="B18" s="16" t="inlineStr">
        <is>
          <t>写了计划的笔数</t>
        </is>
      </c>
      <c r="C18" s="53">
        <f>IF(AND(ISNUMBER($C$4),ISNUMBER($E$4)),COUNTIFS('例-交易记录'!$B$5:$B$304,"&gt;="&amp;$C$4,'例-交易记录'!$B$5:$B$304,"&lt;="&amp;$E$4),"")</f>
        <v>6</v>
      </c>
      <c r="D18" s="53">
        <f>COUNT('例-交易记录'!$B$5:$B$304)</f>
        <v>10</v>
      </c>
      <c r="E18" s="19" t="inlineStr">
        <is>
          <t>按计划日期算。计划少不一定是坏事，没机会就不做。</t>
        </is>
      </c>
      <c r="F18" s="19" t="n"/>
      <c r="G18" s="19" t="n"/>
      <c r="H18" s="19" t="n"/>
      <c r="I18" s="19" t="n"/>
      <c r="J18" s="19" t="n"/>
    </row>
    <row r="19">
      <c r="B19" s="16" t="inlineStr">
        <is>
          <t>其中已执行</t>
        </is>
      </c>
      <c r="C19" s="53">
        <f>IF(AND(ISNUMBER($C$4),ISNUMBER($E$4)),COUNTIFS('例-交易记录'!$B$5:$B$304,"&gt;="&amp;$C$4,'例-交易记录'!$B$5:$B$304,"&lt;="&amp;$E$4,'例-交易记录'!$Q$5:$Q$304,"已执行"),"")</f>
        <v>4</v>
      </c>
      <c r="D19" s="53">
        <f>COUNTIF('例-交易记录'!$Q$5:$Q$304,"已执行")</f>
        <v>7</v>
      </c>
      <c r="E19" s="19" t="inlineStr"/>
      <c r="F19" s="19" t="n"/>
      <c r="G19" s="19" t="n"/>
      <c r="H19" s="19" t="n"/>
      <c r="I19" s="19" t="n"/>
      <c r="J19" s="19" t="n"/>
    </row>
    <row r="20">
      <c r="B20" s="16" t="inlineStr">
        <is>
          <t>未成交</t>
        </is>
      </c>
      <c r="C20" s="53">
        <f>IF(AND(ISNUMBER($C$4),ISNUMBER($E$4)),COUNTIFS('例-交易记录'!$B$5:$B$304,"&gt;="&amp;$C$4,'例-交易记录'!$B$5:$B$304,"&lt;="&amp;$E$4,'例-交易记录'!$Q$5:$Q$304,"未成交"),"")</f>
        <v>1</v>
      </c>
      <c r="D20" s="53">
        <f>COUNTIF('例-交易记录'!$Q$5:$Q$304,"未成交")</f>
        <v>1</v>
      </c>
      <c r="E20" s="19" t="inlineStr">
        <is>
          <t>挂了没成交，不算胜率，也不算错。</t>
        </is>
      </c>
      <c r="F20" s="19" t="n"/>
      <c r="G20" s="19" t="n"/>
      <c r="H20" s="19" t="n"/>
      <c r="I20" s="19" t="n"/>
      <c r="J20" s="19" t="n"/>
    </row>
    <row r="21">
      <c r="B21" s="16" t="inlineStr">
        <is>
          <t>主动放弃</t>
        </is>
      </c>
      <c r="C21" s="53">
        <f>IF(AND(ISNUMBER($C$4),ISNUMBER($E$4)),COUNTIFS('例-交易记录'!$B$5:$B$304,"&gt;="&amp;$C$4,'例-交易记录'!$B$5:$B$304,"&lt;="&amp;$E$4,'例-交易记录'!$Q$5:$Q$304,"主动放弃"),"")</f>
        <v>0</v>
      </c>
      <c r="D21" s="53">
        <f>COUNTIF('例-交易记录'!$Q$5:$Q$304,"主动放弃")</f>
        <v>1</v>
      </c>
      <c r="E21" s="19" t="inlineStr">
        <is>
          <t>按规则不做，也是执行。</t>
        </is>
      </c>
      <c r="F21" s="19" t="n"/>
      <c r="G21" s="19" t="n"/>
      <c r="H21" s="19" t="n"/>
      <c r="I21" s="19" t="n"/>
      <c r="J21" s="19" t="n"/>
    </row>
    <row r="22">
      <c r="B22" s="16" t="inlineStr">
        <is>
          <t>漏单</t>
        </is>
      </c>
      <c r="C22" s="53">
        <f>IF(AND(ISNUMBER($C$4),ISNUMBER($E$4)),COUNTIFS('例-交易记录'!$B$5:$B$304,"&gt;="&amp;$C$4,'例-交易记录'!$B$5:$B$304,"&lt;="&amp;$E$4,'例-交易记录'!$Q$5:$Q$304,"漏单"),"")</f>
        <v>1</v>
      </c>
      <c r="D22" s="53">
        <f>COUNTIF('例-交易记录'!$Q$5:$Q$304,"漏单")</f>
        <v>1</v>
      </c>
      <c r="E22" s="19" t="inlineStr">
        <is>
          <t>该做没做。多了先修提醒和流程，别先改信号。</t>
        </is>
      </c>
      <c r="F22" s="19" t="n"/>
      <c r="G22" s="19" t="n"/>
      <c r="H22" s="19" t="n"/>
      <c r="I22" s="19" t="n"/>
      <c r="J22" s="19" t="n"/>
    </row>
    <row r="23">
      <c r="B23" s="16" t="inlineStr">
        <is>
          <t>已平仓笔数</t>
        </is>
      </c>
      <c r="C23" s="53">
        <f>IF(AND(ISNUMBER($C$4),ISNUMBER($E$4)),COUNTIFS('例-交易记录'!$S$5:$S$304,"&gt;="&amp;$C$4,'例-交易记录'!$S$5:$S$304,"&lt;="&amp;$E$4,'例-交易记录'!$Y$5:$Y$304,"已平仓"),"")</f>
        <v>4</v>
      </c>
      <c r="D23" s="53">
        <f>COUNTIF('例-交易记录'!$Y$5:$Y$304,"已平仓")</f>
        <v>6</v>
      </c>
      <c r="E23" s="19" t="inlineStr">
        <is>
          <t>下面的成绩只算这些。持仓中的不算。</t>
        </is>
      </c>
      <c r="F23" s="19" t="n"/>
      <c r="G23" s="19" t="n"/>
      <c r="H23" s="19" t="n"/>
      <c r="I23" s="19" t="n"/>
      <c r="J23" s="19" t="n"/>
    </row>
    <row r="24">
      <c r="B24" s="16" t="inlineStr">
        <is>
          <t>盈利笔数</t>
        </is>
      </c>
      <c r="C24" s="53">
        <f>IF(AND(ISNUMBER($C$4),ISNUMBER($E$4)),COUNTIFS('例-交易记录'!$S$5:$S$304,"&gt;="&amp;$C$4,'例-交易记录'!$S$5:$S$304,"&lt;="&amp;$E$4,'例-交易记录'!$Y$5:$Y$304,"已平仓",'例-交易记录'!$AC$5:$AC$304,"&gt;0"),"")</f>
        <v>3</v>
      </c>
      <c r="D24" s="53">
        <f>COUNTIFS('例-交易记录'!$Y$5:$Y$304,"已平仓",'例-交易记录'!$AC$5:$AC$304,"&gt;0")</f>
        <v>4</v>
      </c>
      <c r="E24" s="19" t="inlineStr">
        <is>
          <t>按净R算，扣完费用还赚才算盈利。</t>
        </is>
      </c>
      <c r="F24" s="19" t="n"/>
      <c r="G24" s="19" t="n"/>
      <c r="H24" s="19" t="n"/>
      <c r="I24" s="19" t="n"/>
      <c r="J24" s="19" t="n"/>
    </row>
    <row r="25">
      <c r="B25" s="16" t="inlineStr">
        <is>
          <t>亏损笔数</t>
        </is>
      </c>
      <c r="C25" s="53">
        <f>IF(AND(ISNUMBER($C$4),ISNUMBER($E$4)),COUNTIFS('例-交易记录'!$S$5:$S$304,"&gt;="&amp;$C$4,'例-交易记录'!$S$5:$S$304,"&lt;="&amp;$E$4,'例-交易记录'!$Y$5:$Y$304,"已平仓",'例-交易记录'!$AC$5:$AC$304,"&lt;0"),"")</f>
        <v>1</v>
      </c>
      <c r="D25" s="53">
        <f>COUNTIFS('例-交易记录'!$Y$5:$Y$304,"已平仓",'例-交易记录'!$AC$5:$AC$304,"&lt;0")</f>
        <v>2</v>
      </c>
      <c r="E25" s="19" t="inlineStr"/>
      <c r="F25" s="19" t="n"/>
      <c r="G25" s="19" t="n"/>
      <c r="H25" s="19" t="n"/>
      <c r="I25" s="19" t="n"/>
      <c r="J25" s="19" t="n"/>
    </row>
    <row r="26">
      <c r="B26" s="16" t="inlineStr">
        <is>
          <t>胜率</t>
        </is>
      </c>
      <c r="C26" s="54">
        <f>IF(AND(ISNUMBER($C$4),ISNUMBER($E$4)),IF(N(C23)&gt;0,C24/C23,""),"")</f>
        <v>0.75</v>
      </c>
      <c r="D26" s="54">
        <f>IF(N(D23)&gt;0,D24/D23,"")</f>
        <v>0.666666666666667</v>
      </c>
      <c r="E26" s="19" t="inlineStr">
        <is>
          <t>只看胜率会被骗，要和下面两行一起看。</t>
        </is>
      </c>
      <c r="F26" s="19" t="n"/>
      <c r="G26" s="19" t="n"/>
      <c r="H26" s="19" t="n"/>
      <c r="I26" s="19" t="n"/>
      <c r="J26" s="19" t="n"/>
    </row>
    <row r="27">
      <c r="B27" s="16" t="inlineStr">
        <is>
          <t>平均盈利（R）</t>
        </is>
      </c>
      <c r="C27" s="48">
        <f>IF(AND(ISNUMBER($C$4),ISNUMBER($E$4)),IF(N(C24)&gt;0,SUMIFS('例-交易记录'!$AC$5:$AC$304,'例-交易记录'!$S$5:$S$304,"&gt;="&amp;$C$4,'例-交易记录'!$S$5:$S$304,"&lt;="&amp;$E$4,'例-交易记录'!$Y$5:$Y$304,"已平仓",'例-交易记录'!$AC$5:$AC$304,"&gt;0")/C24,""),"")</f>
        <v>2.24408432748538</v>
      </c>
      <c r="D27" s="48">
        <f>IF(N(D24)&gt;0,SUMIFS('例-交易记录'!$AC$5:$AC$304,'例-交易记录'!$Y$5:$Y$304,"已平仓",'例-交易记录'!$AC$5:$AC$304,"&gt;0")/D24,"")</f>
        <v>2.23498324561404</v>
      </c>
      <c r="E27" s="19" t="inlineStr"/>
      <c r="F27" s="19" t="n"/>
      <c r="G27" s="19" t="n"/>
      <c r="H27" s="19" t="n"/>
      <c r="I27" s="19" t="n"/>
      <c r="J27" s="19" t="n"/>
    </row>
    <row r="28">
      <c r="B28" s="16" t="inlineStr">
        <is>
          <t>平均亏损（R）</t>
        </is>
      </c>
      <c r="C28" s="48">
        <f>IF(AND(ISNUMBER($C$4),ISNUMBER($E$4)),IF(N(C25)&gt;0,SUMIFS('例-交易记录'!$AC$5:$AC$304,'例-交易记录'!$S$5:$S$304,"&gt;="&amp;$C$4,'例-交易记录'!$S$5:$S$304,"&lt;="&amp;$E$4,'例-交易记录'!$Y$5:$Y$304,"已平仓",'例-交易记录'!$AC$5:$AC$304,"&lt;0")/C25,""),"")</f>
        <v>-1.20572</v>
      </c>
      <c r="D28" s="48">
        <f>IF(N(D25)&gt;0,SUMIFS('例-交易记录'!$AC$5:$AC$304,'例-交易记录'!$Y$5:$Y$304,"已平仓",'例-交易记录'!$AC$5:$AC$304,"&lt;0")/D25,"")</f>
        <v>-1.46642666666667</v>
      </c>
      <c r="E28" s="19" t="inlineStr">
        <is>
          <t>平均亏损超过 1R，说明止损常被跳空或扛单打穿。</t>
        </is>
      </c>
      <c r="F28" s="19" t="n"/>
      <c r="G28" s="19" t="n"/>
      <c r="H28" s="19" t="n"/>
      <c r="I28" s="19" t="n"/>
      <c r="J28" s="19" t="n"/>
    </row>
    <row r="29">
      <c r="B29" s="16" t="inlineStr">
        <is>
          <t>每笔平均净R（期望）</t>
        </is>
      </c>
      <c r="C29" s="48">
        <f>IF(AND(ISNUMBER($C$4),ISNUMBER($E$4)),IF(N(C23)&gt;0,SUMIFS('例-交易记录'!$AC$5:$AC$304,'例-交易记录'!$S$5:$S$304,"&gt;="&amp;$C$4,'例-交易记录'!$S$5:$S$304,"&lt;="&amp;$E$4,'例-交易记录'!$Y$5:$Y$304,"已平仓")/C23,""),"")</f>
        <v>1.38163324561404</v>
      </c>
      <c r="D29" s="48">
        <f>IF(N(D23)&gt;0,SUMIFS('例-交易记录'!$AC$5:$AC$304,'例-交易记录'!$Y$5:$Y$304,"已平仓")/D23,"")</f>
        <v>1.00117994152047</v>
      </c>
      <c r="E29" s="19" t="inlineStr">
        <is>
          <t>最重要的一个数。笔数少时只当参考。</t>
        </is>
      </c>
      <c r="F29" s="19" t="n"/>
      <c r="G29" s="19" t="n"/>
      <c r="H29" s="19" t="n"/>
      <c r="I29" s="19" t="n"/>
      <c r="J29" s="19" t="n"/>
    </row>
    <row r="30">
      <c r="B30" s="16" t="inlineStr">
        <is>
          <t>合计毛R（不扣费用）</t>
        </is>
      </c>
      <c r="C30" s="48">
        <f>IF(AND(ISNUMBER($C$4),ISNUMBER($E$4)),IF(N(C23)&gt;0,SUMIFS('例-交易记录'!$AB$5:$AB$304,'例-交易记录'!$S$5:$S$304,"&gt;="&amp;$C$4,'例-交易记录'!$S$5:$S$304,"&lt;="&amp;$E$4,'例-交易记录'!$Y$5:$Y$304,"已平仓"),""),"")</f>
        <v>5.80245614035088</v>
      </c>
      <c r="D30" s="48">
        <f>IF(N(D23)&gt;0,SUMIFS('例-交易记录'!$AB$5:$AB$304,'例-交易记录'!$Y$5:$Y$304,"已平仓"),"")</f>
        <v>6.45578947368421</v>
      </c>
      <c r="E30" s="19" t="inlineStr"/>
      <c r="F30" s="19" t="n"/>
      <c r="G30" s="19" t="n"/>
      <c r="H30" s="19" t="n"/>
      <c r="I30" s="19" t="n"/>
      <c r="J30" s="19" t="n"/>
    </row>
    <row r="31">
      <c r="B31" s="16" t="inlineStr">
        <is>
          <t>合计净R（扣完费用）</t>
        </is>
      </c>
      <c r="C31" s="48">
        <f>IF(AND(ISNUMBER($C$4),ISNUMBER($E$4)),IF(N(C23)&gt;0,SUMIFS('例-交易记录'!$AC$5:$AC$304,'例-交易记录'!$S$5:$S$304,"&gt;="&amp;$C$4,'例-交易记录'!$S$5:$S$304,"&lt;="&amp;$E$4,'例-交易记录'!$Y$5:$Y$304,"已平仓"),""),"")</f>
        <v>5.52653298245614</v>
      </c>
      <c r="D31" s="48">
        <f>IF(N(D23)&gt;0,SUMIFS('例-交易记录'!$AC$5:$AC$304,'例-交易记录'!$Y$5:$Y$304,"已平仓"),"")</f>
        <v>6.00707964912281</v>
      </c>
      <c r="E31" s="19" t="inlineStr"/>
      <c r="F31" s="19" t="n"/>
      <c r="G31" s="19" t="n"/>
      <c r="H31" s="19" t="n"/>
      <c r="I31" s="19" t="n"/>
      <c r="J31" s="19" t="n"/>
    </row>
    <row r="32">
      <c r="B32" s="16" t="inlineStr">
        <is>
          <t>费用吃掉的R</t>
        </is>
      </c>
      <c r="C32" s="55">
        <f>IF(AND(ISNUMBER($C$4),ISNUMBER($E$4)),IF(N(C23)&gt;0,C30-C31,""),"")</f>
        <v>0.275923157894736</v>
      </c>
      <c r="D32" s="55">
        <f>IF(N(D23)&gt;0,D30-D31,"")</f>
        <v>0.448709824561403</v>
      </c>
      <c r="E32" s="19" t="inlineStr">
        <is>
          <t>做得越勤，这一行越大。</t>
        </is>
      </c>
      <c r="F32" s="19" t="n"/>
      <c r="G32" s="19" t="n"/>
      <c r="H32" s="19" t="n"/>
      <c r="I32" s="19" t="n"/>
      <c r="J32" s="19" t="n"/>
    </row>
    <row r="33">
      <c r="B33" s="16" t="inlineStr">
        <is>
          <t>合计净盈亏（元）</t>
        </is>
      </c>
      <c r="C33" s="42">
        <f>IF(AND(ISNUMBER($C$4),ISNUMBER($E$4)),IF(N(C23)&gt;0,SUMIFS('例-交易记录'!$AA$5:$AA$304,'例-交易记录'!$S$5:$S$304,"&gt;="&amp;$C$4,'例-交易记录'!$S$5:$S$304,"&lt;="&amp;$E$4,'例-交易记录'!$Y$5:$Y$304,"已平仓"),""),"")</f>
        <v>4993.09</v>
      </c>
      <c r="D33" s="42">
        <f>IF(N(D23)&gt;0,SUMIFS('例-交易记录'!$AA$5:$AA$304,'例-交易记录'!$Y$5:$Y$304,"已平仓"),"")</f>
        <v>5353.5</v>
      </c>
      <c r="E33" s="19" t="inlineStr"/>
      <c r="F33" s="19" t="n"/>
      <c r="G33" s="19" t="n"/>
      <c r="H33" s="19" t="n"/>
      <c r="I33" s="19" t="n"/>
      <c r="J33" s="19" t="n"/>
    </row>
    <row r="34">
      <c r="B34" s="16" t="inlineStr">
        <is>
          <t>合计费用（元）</t>
        </is>
      </c>
      <c r="C34" s="41">
        <f>IF(AND(ISNUMBER($C$4),ISNUMBER($E$4)),IF(N(C23)&gt;0,SUMIFS('例-交易记录'!$Z$5:$Z$304,'例-交易记录'!$S$5:$S$304,"&gt;="&amp;$C$4,'例-交易记录'!$S$5:$S$304,"&lt;="&amp;$E$4,'例-交易记录'!$Y$5:$Y$304,"已平仓"),""),"")</f>
        <v>223.91</v>
      </c>
      <c r="D34" s="41">
        <f>IF(N(D23)&gt;0,SUMIFS('例-交易记录'!$Z$5:$Z$304,'例-交易记录'!$Y$5:$Y$304,"已平仓"),"")</f>
        <v>353.5</v>
      </c>
      <c r="E34" s="19" t="inlineStr"/>
      <c r="F34" s="19" t="n"/>
      <c r="G34" s="19" t="n"/>
      <c r="H34" s="19" t="n"/>
      <c r="I34" s="19" t="n"/>
      <c r="J34" s="19" t="n"/>
    </row>
    <row r="35">
      <c r="B35" s="16" t="inlineStr">
        <is>
          <t>过程 A（完全照计划）</t>
        </is>
      </c>
      <c r="C35" s="53">
        <f>IF(AND(ISNUMBER($C$4),ISNUMBER($E$4)),COUNTIFS('例-交易记录'!$S$5:$S$304,"&gt;="&amp;$C$4,'例-交易记录'!$S$5:$S$304,"&lt;="&amp;$E$4,'例-交易记录'!$Y$5:$Y$304,"已平仓",'例-交易记录'!$AF$5:$AF$304,"A"),"")</f>
        <v>3</v>
      </c>
      <c r="D35" s="53">
        <f>COUNTIFS('例-交易记录'!$Y$5:$Y$304,"已平仓",'例-交易记录'!$AF$5:$AF$304,"A")</f>
        <v>4</v>
      </c>
      <c r="E35" s="19" t="inlineStr"/>
      <c r="F35" s="19" t="n"/>
      <c r="G35" s="19" t="n"/>
      <c r="H35" s="19" t="n"/>
      <c r="I35" s="19" t="n"/>
      <c r="J35" s="19" t="n"/>
    </row>
    <row r="36">
      <c r="B36" s="16" t="inlineStr">
        <is>
          <t>过程 B（小偏差）</t>
        </is>
      </c>
      <c r="C36" s="53">
        <f>IF(AND(ISNUMBER($C$4),ISNUMBER($E$4)),COUNTIFS('例-交易记录'!$S$5:$S$304,"&gt;="&amp;$C$4,'例-交易记录'!$S$5:$S$304,"&lt;="&amp;$E$4,'例-交易记录'!$Y$5:$Y$304,"已平仓",'例-交易记录'!$AF$5:$AF$304,"B"),"")</f>
        <v>0</v>
      </c>
      <c r="D36" s="53">
        <f>COUNTIFS('例-交易记录'!$Y$5:$Y$304,"已平仓",'例-交易记录'!$AF$5:$AF$304,"B")</f>
        <v>0</v>
      </c>
      <c r="E36" s="19" t="inlineStr"/>
      <c r="F36" s="19" t="n"/>
      <c r="G36" s="19" t="n"/>
      <c r="H36" s="19" t="n"/>
      <c r="I36" s="19" t="n"/>
      <c r="J36" s="19" t="n"/>
    </row>
    <row r="37">
      <c r="B37" s="16" t="inlineStr">
        <is>
          <t>过程 C（违反一条规则）</t>
        </is>
      </c>
      <c r="C37" s="53">
        <f>IF(AND(ISNUMBER($C$4),ISNUMBER($E$4)),COUNTIFS('例-交易记录'!$S$5:$S$304,"&gt;="&amp;$C$4,'例-交易记录'!$S$5:$S$304,"&lt;="&amp;$E$4,'例-交易记录'!$Y$5:$Y$304,"已平仓",'例-交易记录'!$AF$5:$AF$304,"C"),"")</f>
        <v>1</v>
      </c>
      <c r="D37" s="53">
        <f>COUNTIFS('例-交易记录'!$Y$5:$Y$304,"已平仓",'例-交易记录'!$AF$5:$AF$304,"C")</f>
        <v>2</v>
      </c>
      <c r="E37" s="19" t="inlineStr"/>
      <c r="F37" s="19" t="n"/>
      <c r="G37" s="19" t="n"/>
      <c r="H37" s="19" t="n"/>
      <c r="I37" s="19" t="n"/>
      <c r="J37" s="19" t="n"/>
    </row>
    <row r="38">
      <c r="B38" s="16" t="inlineStr">
        <is>
          <t>过程 D（没计划就下单）</t>
        </is>
      </c>
      <c r="C38" s="53">
        <f>IF(AND(ISNUMBER($C$4),ISNUMBER($E$4)),COUNTIFS('例-交易记录'!$S$5:$S$304,"&gt;="&amp;$C$4,'例-交易记录'!$S$5:$S$304,"&lt;="&amp;$E$4,'例-交易记录'!$Y$5:$Y$304,"已平仓",'例-交易记录'!$AF$5:$AF$304,"D"),"")</f>
        <v>0</v>
      </c>
      <c r="D38" s="53">
        <f>COUNTIFS('例-交易记录'!$Y$5:$Y$304,"已平仓",'例-交易记录'!$AF$5:$AF$304,"D")</f>
        <v>0</v>
      </c>
      <c r="E38" s="19" t="inlineStr"/>
      <c r="F38" s="19" t="n"/>
      <c r="G38" s="19" t="n"/>
      <c r="H38" s="19" t="n"/>
      <c r="I38" s="19" t="n"/>
      <c r="J38" s="19" t="n"/>
    </row>
    <row r="39">
      <c r="B39" s="16" t="inlineStr">
        <is>
          <t>A 档占比</t>
        </is>
      </c>
      <c r="C39" s="54">
        <f>IF(AND(ISNUMBER($C$4),ISNUMBER($E$4)),IF(N(C23)&gt;0,C35/C23,""),"")</f>
        <v>0.75</v>
      </c>
      <c r="D39" s="54">
        <f>IF(N(D23)&gt;0,D35/D23,"")</f>
        <v>0.666666666666667</v>
      </c>
      <c r="E39" s="19" t="inlineStr">
        <is>
          <t>这个比例在涨，说明执行在变好，哪怕这周亏了钱。</t>
        </is>
      </c>
      <c r="F39" s="19" t="n"/>
      <c r="G39" s="19" t="n"/>
      <c r="H39" s="19" t="n"/>
      <c r="I39" s="19" t="n"/>
      <c r="J39" s="19" t="n"/>
    </row>
    <row r="40">
      <c r="B40" s="16" t="inlineStr">
        <is>
          <t>赚了钱的坏交易（C/D 档却赚了）</t>
        </is>
      </c>
      <c r="C40" s="53">
        <f>IF(AND(ISNUMBER($C$4),ISNUMBER($E$4)),COUNTIFS('例-交易记录'!$S$5:$S$304,"&gt;="&amp;$C$4,'例-交易记录'!$S$5:$S$304,"&lt;="&amp;$E$4,'例-交易记录'!$Y$5:$Y$304,"已平仓",'例-交易记录'!$AF$5:$AF$304,"C",'例-交易记录'!$AC$5:$AC$304,"&gt;0")+COUNTIFS('例-交易记录'!$S$5:$S$304,"&gt;="&amp;$C$4,'例-交易记录'!$S$5:$S$304,"&lt;="&amp;$E$4,'例-交易记录'!$Y$5:$Y$304,"已平仓",'例-交易记录'!$AF$5:$AF$304,"D",'例-交易记录'!$AC$5:$AC$304,"&gt;0"),"")</f>
        <v>1</v>
      </c>
      <c r="D40" s="53">
        <f>COUNTIFS('例-交易记录'!$Y$5:$Y$304,"已平仓",'例-交易记录'!$AF$5:$AF$304,"C",'例-交易记录'!$AC$5:$AC$304,"&gt;0")+COUNTIFS('例-交易记录'!$Y$5:$Y$304,"已平仓",'例-交易记录'!$AF$5:$AF$304,"D",'例-交易记录'!$AC$5:$AC$304,"&gt;0")</f>
        <v>1</v>
      </c>
      <c r="E40" s="19" t="inlineStr">
        <is>
          <t>最需要复盘的一类：它会让你下次继续违规。</t>
        </is>
      </c>
      <c r="F40" s="19" t="n"/>
      <c r="G40" s="19" t="n"/>
      <c r="H40" s="19" t="n"/>
      <c r="I40" s="19" t="n"/>
      <c r="J40" s="19" t="n"/>
    </row>
    <row r="41">
      <c r="B41" s="16" t="inlineStr">
        <is>
          <t>照计划做的（A/B）每笔平均净R</t>
        </is>
      </c>
      <c r="C41" s="48">
        <f>IF(AND(ISNUMBER($C$4),ISNUMBER($E$4)),IF(N(C35)+N(C36)&gt;0,(SUMIFS('例-交易记录'!$AC$5:$AC$304,'例-交易记录'!$S$5:$S$304,"&gt;="&amp;$C$4,'例-交易记录'!$S$5:$S$304,"&lt;="&amp;$E$4,'例-交易记录'!$Y$5:$Y$304,"已平仓",'例-交易记录'!$AF$5:$AF$304,"A")+SUMIFS('例-交易记录'!$AC$5:$AC$304,'例-交易记录'!$S$5:$S$304,"&gt;="&amp;$C$4,'例-交易记录'!$S$5:$S$304,"&lt;="&amp;$E$4,'例-交易记录'!$Y$5:$Y$304,"已平仓",'例-交易记录'!$AF$5:$AF$304,"B"))/(C35+C36),""),"")</f>
        <v>1.24472432748538</v>
      </c>
      <c r="D41" s="48">
        <f>IF(N(D35)+N(D36)&gt;0,(SUMIFS('例-交易记录'!$AC$5:$AC$304,'例-交易记录'!$Y$5:$Y$304,"已平仓",'例-交易记录'!$AF$5:$AF$304,"A")+SUMIFS('例-交易记录'!$AC$5:$AC$304,'例-交易记录'!$Y$5:$Y$304,"已平仓",'例-交易记录'!$AF$5:$AF$304,"B"))/(D35+D36),"")</f>
        <v>1.48546324561404</v>
      </c>
      <c r="E41" s="19" t="inlineStr">
        <is>
          <t>和下一行比：规则本身赚不赚钱，先看照做的这些。</t>
        </is>
      </c>
      <c r="F41" s="19" t="n"/>
      <c r="G41" s="19" t="n"/>
      <c r="H41" s="19" t="n"/>
      <c r="I41" s="19" t="n"/>
      <c r="J41" s="19" t="n"/>
    </row>
    <row r="42">
      <c r="B42" s="16" t="inlineStr">
        <is>
          <t>违规的（C/D）每笔平均净R</t>
        </is>
      </c>
      <c r="C42" s="48">
        <f>IF(AND(ISNUMBER($C$4),ISNUMBER($E$4)),IF(N(C37)+N(C38)&gt;0,(SUMIFS('例-交易记录'!$AC$5:$AC$304,'例-交易记录'!$S$5:$S$304,"&gt;="&amp;$C$4,'例-交易记录'!$S$5:$S$304,"&lt;="&amp;$E$4,'例-交易记录'!$Y$5:$Y$304,"已平仓",'例-交易记录'!$AF$5:$AF$304,"C")+SUMIFS('例-交易记录'!$AC$5:$AC$304,'例-交易记录'!$S$5:$S$304,"&gt;="&amp;$C$4,'例-交易记录'!$S$5:$S$304,"&lt;="&amp;$E$4,'例-交易记录'!$Y$5:$Y$304,"已平仓",'例-交易记录'!$AF$5:$AF$304,"D"))/(C37+C38),""),"")</f>
        <v>1.79236</v>
      </c>
      <c r="D42" s="48">
        <f>IF(N(D37)+N(D38)&gt;0,(SUMIFS('例-交易记录'!$AC$5:$AC$304,'例-交易记录'!$Y$5:$Y$304,"已平仓",'例-交易记录'!$AF$5:$AF$304,"C")+SUMIFS('例-交易记录'!$AC$5:$AC$304,'例-交易记录'!$Y$5:$Y$304,"已平仓",'例-交易记录'!$AF$5:$AF$304,"D"))/(D37+D38),"")</f>
        <v>0.0326133333333334</v>
      </c>
      <c r="E42" s="19" t="inlineStr"/>
      <c r="F42" s="19" t="n"/>
      <c r="G42" s="19" t="n"/>
      <c r="H42" s="19" t="n"/>
      <c r="I42" s="19" t="n"/>
      <c r="J42" s="19" t="n"/>
    </row>
    <row r="43">
      <c r="B43" s="16" t="inlineStr">
        <is>
          <t>持仓中（现在）</t>
        </is>
      </c>
      <c r="C43" s="53">
        <f>IF(AND(ISNUMBER($C$4),ISNUMBER($E$4)),COUNTIF('例-交易记录'!$Y$5:$Y$304,"持仓中"),"")</f>
        <v>1</v>
      </c>
      <c r="D43" s="53">
        <f>COUNTIF('例-交易记录'!$Y$5:$Y$304,"持仓中")</f>
        <v>1</v>
      </c>
      <c r="E43" s="19" t="inlineStr">
        <is>
          <t>没平仓的不进成绩。</t>
        </is>
      </c>
      <c r="F43" s="19" t="n"/>
      <c r="G43" s="19" t="n"/>
      <c r="H43" s="19" t="n"/>
      <c r="I43" s="19" t="n"/>
      <c r="J43" s="19" t="n"/>
    </row>
    <row r="44">
      <c r="B44" s="16" t="inlineStr">
        <is>
          <t>最大回撤（R，全部记录）</t>
        </is>
      </c>
      <c r="C44" s="55" t="str">
        <f>""</f>
        <v/>
      </c>
      <c r="D44" s="55">
        <f>IF(COUNT('例-交易记录'!$AJ$5:$AJ$304)=0,"",MAX('例-交易记录'!$AJ$5:$AJ$304))</f>
        <v>1.72713333333333</v>
      </c>
      <c r="E44" s="19" t="inlineStr">
        <is>
          <t>按交易记录的先后顺序累计净R，从最高点往下最多回了几 R。</t>
        </is>
      </c>
      <c r="F44" s="19" t="n"/>
      <c r="G44" s="19" t="n"/>
      <c r="H44" s="19" t="n"/>
      <c r="I44" s="19" t="n"/>
      <c r="J44" s="19" t="n"/>
    </row>
    <row r="45">
      <c r="B45" s="16" t="inlineStr">
        <is>
          <t>最大单笔亏损（R，全部记录）</t>
        </is>
      </c>
      <c r="C45" s="48" t="str">
        <f>""</f>
        <v/>
      </c>
      <c r="D45" s="48">
        <f>IF(COUNT('例-交易记录'!$AC$5:$AC$304)=0,"",MIN('例-交易记录'!$AC$5:$AC$304))</f>
        <v>-1.72713333333333</v>
      </c>
      <c r="E45" s="19" t="inlineStr">
        <is>
          <t>超过 -2R 的单，逐笔回去看是跳空、滑点还是扛单。</t>
        </is>
      </c>
      <c r="F45" s="19" t="n"/>
      <c r="G45" s="19" t="n"/>
      <c r="H45" s="19" t="n"/>
      <c r="I45" s="19" t="n"/>
      <c r="J45" s="19" t="n"/>
    </row>
    <row r="47">
      <c r="B47" s="15" t="inlineStr">
        <is>
          <t>3. 偏差标签：最常犯的是哪一个</t>
        </is>
      </c>
    </row>
    <row r="48">
      <c r="B48" s="25" t="inlineStr">
        <is>
          <t>标签</t>
        </is>
      </c>
      <c r="C48" s="25" t="inlineStr">
        <is>
          <t>本区间笔数</t>
        </is>
      </c>
      <c r="D48" s="25" t="inlineStr">
        <is>
          <t>全部笔数</t>
        </is>
      </c>
      <c r="E48" s="25" t="inlineStr">
        <is>
          <t>全部合计净R</t>
        </is>
      </c>
      <c r="F48" s="25" t="inlineStr">
        <is>
          <t>提示</t>
        </is>
      </c>
    </row>
    <row r="49">
      <c r="B49" s="56" t="str">
        <f>T('参数'!$F$22)</f>
        <v>无</v>
      </c>
      <c r="C49" s="53">
        <f>IF(OR(B49="",NOT(AND(ISNUMBER($C$4),ISNUMBER($E$4)))),"",COUNTIFS('例-交易记录'!$S$5:$S$304,"&gt;="&amp;$C$4,'例-交易记录'!$S$5:$S$304,"&lt;="&amp;$E$4,'例-交易记录'!$Y$5:$Y$304,"已平仓",'例-交易记录'!$AG$5:$AG$304,B49))</f>
        <v>3</v>
      </c>
      <c r="D49" s="53">
        <f>IF(B49="","",COUNTIFS('例-交易记录'!$Y$5:$Y$304,"已平仓",'例-交易记录'!$AG$5:$AG$304,B49))</f>
        <v>4</v>
      </c>
      <c r="E49" s="48">
        <f>IF(B49="","",SUMIFS('例-交易记录'!$AC$5:$AC$304,'例-交易记录'!$Y$5:$Y$304,"已平仓",'例-交易记录'!$AG$5:$AG$304,B49))</f>
        <v>5.94185298245614</v>
      </c>
      <c r="F49" s="40" t="str">
        <f>IF(AND(B49&lt;&gt;"",B49&lt;&gt;"无",N(C49)&gt;0,N(C49)=MAX($L$49:$L$58)),"本区间最多","")</f>
        <v/>
      </c>
      <c r="L49" s="57">
        <f>IF(OR(B49="",B49="无"),0,N(C49))</f>
        <v>0</v>
      </c>
    </row>
    <row r="50">
      <c r="B50" s="56" t="str">
        <f>T('参数'!$F$23)</f>
        <v>追单</v>
      </c>
      <c r="C50" s="53">
        <f>IF(OR(B50="",NOT(AND(ISNUMBER($C$4),ISNUMBER($E$4)))),"",COUNTIFS('例-交易记录'!$S$5:$S$304,"&gt;="&amp;$C$4,'例-交易记录'!$S$5:$S$304,"&lt;="&amp;$E$4,'例-交易记录'!$Y$5:$Y$304,"已平仓",'例-交易记录'!$AG$5:$AG$304,B50))</f>
        <v>1</v>
      </c>
      <c r="D50" s="53">
        <f>IF(B50="","",COUNTIFS('例-交易记录'!$Y$5:$Y$304,"已平仓",'例-交易记录'!$AG$5:$AG$304,B50))</f>
        <v>1</v>
      </c>
      <c r="E50" s="48">
        <f>IF(B50="","",SUMIFS('例-交易记录'!$AC$5:$AC$304,'例-交易记录'!$Y$5:$Y$304,"已平仓",'例-交易记录'!$AG$5:$AG$304,B50))</f>
        <v>1.79236</v>
      </c>
      <c r="F50" s="40" t="str">
        <f>IF(AND(B50&lt;&gt;"",B50&lt;&gt;"无",N(C50)&gt;0,N(C50)=MAX($L$49:$L$58)),"本区间最多","")</f>
        <v>本区间最多</v>
      </c>
      <c r="L50" s="57">
        <f>IF(OR(B50="",B50="无"),0,N(C50))</f>
        <v>1</v>
      </c>
    </row>
    <row r="51">
      <c r="B51" s="56" t="str">
        <f>T('参数'!$F$24)</f>
        <v>扛单</v>
      </c>
      <c r="C51" s="53">
        <f>IF(OR(B51="",NOT(AND(ISNUMBER($C$4),ISNUMBER($E$4)))),"",COUNTIFS('例-交易记录'!$S$5:$S$304,"&gt;="&amp;$C$4,'例-交易记录'!$S$5:$S$304,"&lt;="&amp;$E$4,'例-交易记录'!$Y$5:$Y$304,"已平仓",'例-交易记录'!$AG$5:$AG$304,B51))</f>
        <v>0</v>
      </c>
      <c r="D51" s="53">
        <f>IF(B51="","",COUNTIFS('例-交易记录'!$Y$5:$Y$304,"已平仓",'例-交易记录'!$AG$5:$AG$304,B51))</f>
        <v>0</v>
      </c>
      <c r="E51" s="48">
        <f>IF(B51="","",SUMIFS('例-交易记录'!$AC$5:$AC$304,'例-交易记录'!$Y$5:$Y$304,"已平仓",'例-交易记录'!$AG$5:$AG$304,B51))</f>
        <v>0</v>
      </c>
      <c r="F51" s="40" t="str">
        <f>IF(AND(B51&lt;&gt;"",B51&lt;&gt;"无",N(C51)&gt;0,N(C51)=MAX($L$49:$L$58)),"本区间最多","")</f>
        <v/>
      </c>
      <c r="L51" s="57">
        <f>IF(OR(B51="",B51="无"),0,N(C51))</f>
        <v>0</v>
      </c>
    </row>
    <row r="52">
      <c r="B52" s="56" t="str">
        <f>T('参数'!$F$25)</f>
        <v>提前跑</v>
      </c>
      <c r="C52" s="53">
        <f>IF(OR(B52="",NOT(AND(ISNUMBER($C$4),ISNUMBER($E$4)))),"",COUNTIFS('例-交易记录'!$S$5:$S$304,"&gt;="&amp;$C$4,'例-交易记录'!$S$5:$S$304,"&lt;="&amp;$E$4,'例-交易记录'!$Y$5:$Y$304,"已平仓",'例-交易记录'!$AG$5:$AG$304,B52))</f>
        <v>0</v>
      </c>
      <c r="D52" s="53">
        <f>IF(B52="","",COUNTIFS('例-交易记录'!$Y$5:$Y$304,"已平仓",'例-交易记录'!$AG$5:$AG$304,B52))</f>
        <v>0</v>
      </c>
      <c r="E52" s="48">
        <f>IF(B52="","",SUMIFS('例-交易记录'!$AC$5:$AC$304,'例-交易记录'!$Y$5:$Y$304,"已平仓",'例-交易记录'!$AG$5:$AG$304,B52))</f>
        <v>0</v>
      </c>
      <c r="F52" s="40" t="str">
        <f>IF(AND(B52&lt;&gt;"",B52&lt;&gt;"无",N(C52)&gt;0,N(C52)=MAX($L$49:$L$58)),"本区间最多","")</f>
        <v/>
      </c>
      <c r="L52" s="57">
        <f>IF(OR(B52="",B52="无"),0,N(C52))</f>
        <v>0</v>
      </c>
    </row>
    <row r="53">
      <c r="B53" s="56" t="str">
        <f>T('参数'!$F$26)</f>
        <v>加仓回本</v>
      </c>
      <c r="C53" s="53">
        <f>IF(OR(B53="",NOT(AND(ISNUMBER($C$4),ISNUMBER($E$4)))),"",COUNTIFS('例-交易记录'!$S$5:$S$304,"&gt;="&amp;$C$4,'例-交易记录'!$S$5:$S$304,"&lt;="&amp;$E$4,'例-交易记录'!$Y$5:$Y$304,"已平仓",'例-交易记录'!$AG$5:$AG$304,B53))</f>
        <v>0</v>
      </c>
      <c r="D53" s="53">
        <f>IF(B53="","",COUNTIFS('例-交易记录'!$Y$5:$Y$304,"已平仓",'例-交易记录'!$AG$5:$AG$304,B53))</f>
        <v>0</v>
      </c>
      <c r="E53" s="48">
        <f>IF(B53="","",SUMIFS('例-交易记录'!$AC$5:$AC$304,'例-交易记录'!$Y$5:$Y$304,"已平仓",'例-交易记录'!$AG$5:$AG$304,B53))</f>
        <v>0</v>
      </c>
      <c r="F53" s="40" t="str">
        <f>IF(AND(B53&lt;&gt;"",B53&lt;&gt;"无",N(C53)&gt;0,N(C53)=MAX($L$49:$L$58)),"本区间最多","")</f>
        <v/>
      </c>
      <c r="L53" s="57">
        <f>IF(OR(B53="",B53="无"),0,N(C53))</f>
        <v>0</v>
      </c>
    </row>
    <row r="54">
      <c r="B54" s="56" t="str">
        <f>T('参数'!$F$27)</f>
        <v>没计划</v>
      </c>
      <c r="C54" s="53">
        <f>IF(OR(B54="",NOT(AND(ISNUMBER($C$4),ISNUMBER($E$4)))),"",COUNTIFS('例-交易记录'!$S$5:$S$304,"&gt;="&amp;$C$4,'例-交易记录'!$S$5:$S$304,"&lt;="&amp;$E$4,'例-交易记录'!$Y$5:$Y$304,"已平仓",'例-交易记录'!$AG$5:$AG$304,B54))</f>
        <v>0</v>
      </c>
      <c r="D54" s="53">
        <f>IF(B54="","",COUNTIFS('例-交易记录'!$Y$5:$Y$304,"已平仓",'例-交易记录'!$AG$5:$AG$304,B54))</f>
        <v>0</v>
      </c>
      <c r="E54" s="48">
        <f>IF(B54="","",SUMIFS('例-交易记录'!$AC$5:$AC$304,'例-交易记录'!$Y$5:$Y$304,"已平仓",'例-交易记录'!$AG$5:$AG$304,B54))</f>
        <v>0</v>
      </c>
      <c r="F54" s="40" t="str">
        <f>IF(AND(B54&lt;&gt;"",B54&lt;&gt;"无",N(C54)&gt;0,N(C54)=MAX($L$49:$L$58)),"本区间最多","")</f>
        <v/>
      </c>
      <c r="L54" s="57">
        <f>IF(OR(B54="",B54="无"),0,N(C54))</f>
        <v>0</v>
      </c>
    </row>
    <row r="55">
      <c r="B55" s="56" t="str">
        <f>T('参数'!$F$28)</f>
        <v>超仓位</v>
      </c>
      <c r="C55" s="53">
        <f>IF(OR(B55="",NOT(AND(ISNUMBER($C$4),ISNUMBER($E$4)))),"",COUNTIFS('例-交易记录'!$S$5:$S$304,"&gt;="&amp;$C$4,'例-交易记录'!$S$5:$S$304,"&lt;="&amp;$E$4,'例-交易记录'!$Y$5:$Y$304,"已平仓",'例-交易记录'!$AG$5:$AG$304,B55))</f>
        <v>0</v>
      </c>
      <c r="D55" s="53">
        <f>IF(B55="","",COUNTIFS('例-交易记录'!$Y$5:$Y$304,"已平仓",'例-交易记录'!$AG$5:$AG$304,B55))</f>
        <v>0</v>
      </c>
      <c r="E55" s="48">
        <f>IF(B55="","",SUMIFS('例-交易记录'!$AC$5:$AC$304,'例-交易记录'!$Y$5:$Y$304,"已平仓",'例-交易记录'!$AG$5:$AG$304,B55))</f>
        <v>0</v>
      </c>
      <c r="F55" s="40" t="str">
        <f>IF(AND(B55&lt;&gt;"",B55&lt;&gt;"无",N(C55)&gt;0,N(C55)=MAX($L$49:$L$58)),"本区间最多","")</f>
        <v/>
      </c>
      <c r="L55" s="57">
        <f>IF(OR(B55="",B55="无"),0,N(C55))</f>
        <v>0</v>
      </c>
    </row>
    <row r="56">
      <c r="B56" s="56" t="str">
        <f>T('参数'!$F$29)</f>
        <v>止损挪远</v>
      </c>
      <c r="C56" s="53">
        <f>IF(OR(B56="",NOT(AND(ISNUMBER($C$4),ISNUMBER($E$4)))),"",COUNTIFS('例-交易记录'!$S$5:$S$304,"&gt;="&amp;$C$4,'例-交易记录'!$S$5:$S$304,"&lt;="&amp;$E$4,'例-交易记录'!$Y$5:$Y$304,"已平仓",'例-交易记录'!$AG$5:$AG$304,B56))</f>
        <v>0</v>
      </c>
      <c r="D56" s="53">
        <f>IF(B56="","",COUNTIFS('例-交易记录'!$Y$5:$Y$304,"已平仓",'例-交易记录'!$AG$5:$AG$304,B56))</f>
        <v>1</v>
      </c>
      <c r="E56" s="48">
        <f>IF(B56="","",SUMIFS('例-交易记录'!$AC$5:$AC$304,'例-交易记录'!$Y$5:$Y$304,"已平仓",'例-交易记录'!$AG$5:$AG$304,B56))</f>
        <v>-1.72713333333333</v>
      </c>
      <c r="F56" s="40" t="str">
        <f>IF(AND(B56&lt;&gt;"",B56&lt;&gt;"无",N(C56)&gt;0,N(C56)=MAX($L$49:$L$58)),"本区间最多","")</f>
        <v/>
      </c>
      <c r="L56" s="57">
        <f>IF(OR(B56="",B56="无"),0,N(C56))</f>
        <v>0</v>
      </c>
    </row>
    <row r="57">
      <c r="B57" s="56" t="str">
        <f>T('参数'!$F$30)</f>
        <v>盘中改计划</v>
      </c>
      <c r="C57" s="53">
        <f>IF(OR(B57="",NOT(AND(ISNUMBER($C$4),ISNUMBER($E$4)))),"",COUNTIFS('例-交易记录'!$S$5:$S$304,"&gt;="&amp;$C$4,'例-交易记录'!$S$5:$S$304,"&lt;="&amp;$E$4,'例-交易记录'!$Y$5:$Y$304,"已平仓",'例-交易记录'!$AG$5:$AG$304,B57))</f>
        <v>0</v>
      </c>
      <c r="D57" s="53">
        <f>IF(B57="","",COUNTIFS('例-交易记录'!$Y$5:$Y$304,"已平仓",'例-交易记录'!$AG$5:$AG$304,B57))</f>
        <v>0</v>
      </c>
      <c r="E57" s="48">
        <f>IF(B57="","",SUMIFS('例-交易记录'!$AC$5:$AC$304,'例-交易记录'!$Y$5:$Y$304,"已平仓",'例-交易记录'!$AG$5:$AG$304,B57))</f>
        <v>0</v>
      </c>
      <c r="F57" s="40" t="str">
        <f>IF(AND(B57&lt;&gt;"",B57&lt;&gt;"无",N(C57)&gt;0,N(C57)=MAX($L$49:$L$58)),"本区间最多","")</f>
        <v/>
      </c>
      <c r="L57" s="57">
        <f>IF(OR(B57="",B57="无"),0,N(C57))</f>
        <v>0</v>
      </c>
    </row>
    <row r="58">
      <c r="B58" s="56" t="str">
        <f>T('参数'!$F$31)</f>
        <v>其他</v>
      </c>
      <c r="C58" s="53">
        <f>IF(OR(B58="",NOT(AND(ISNUMBER($C$4),ISNUMBER($E$4)))),"",COUNTIFS('例-交易记录'!$S$5:$S$304,"&gt;="&amp;$C$4,'例-交易记录'!$S$5:$S$304,"&lt;="&amp;$E$4,'例-交易记录'!$Y$5:$Y$304,"已平仓",'例-交易记录'!$AG$5:$AG$304,B58))</f>
        <v>0</v>
      </c>
      <c r="D58" s="53">
        <f>IF(B58="","",COUNTIFS('例-交易记录'!$Y$5:$Y$304,"已平仓",'例-交易记录'!$AG$5:$AG$304,B58))</f>
        <v>0</v>
      </c>
      <c r="E58" s="48">
        <f>IF(B58="","",SUMIFS('例-交易记录'!$AC$5:$AC$304,'例-交易记录'!$Y$5:$Y$304,"已平仓",'例-交易记录'!$AG$5:$AG$304,B58))</f>
        <v>0</v>
      </c>
      <c r="F58" s="40" t="str">
        <f>IF(AND(B58&lt;&gt;"",B58&lt;&gt;"无",N(C58)&gt;0,N(C58)=MAX($L$49:$L$58)),"本区间最多","")</f>
        <v/>
      </c>
      <c r="L58" s="57">
        <f>IF(OR(B58="",B58="无"),0,N(C58))</f>
        <v>0</v>
      </c>
    </row>
    <row r="60">
      <c r="B60" s="15" t="inlineStr">
        <is>
          <t>4. 分组看（全部已平仓记录；少于 10 笔只看不下结论）</t>
        </is>
      </c>
    </row>
    <row r="61">
      <c r="B61" s="25" t="inlineStr">
        <is>
          <t>策略</t>
        </is>
      </c>
      <c r="C61" s="25" t="inlineStr">
        <is>
          <t>笔数</t>
        </is>
      </c>
      <c r="D61" s="25" t="inlineStr">
        <is>
          <t>胜率</t>
        </is>
      </c>
      <c r="E61" s="25" t="inlineStr">
        <is>
          <t>每笔平均净R</t>
        </is>
      </c>
      <c r="F61" s="25" t="inlineStr">
        <is>
          <t>合计净R</t>
        </is>
      </c>
      <c r="G61" s="25" t="inlineStr">
        <is>
          <t>样本</t>
        </is>
      </c>
    </row>
    <row r="62">
      <c r="B62" s="56" t="str">
        <f>T('参数'!$B$22)</f>
        <v>突破</v>
      </c>
      <c r="C62" s="53">
        <f>IF(B62="","",COUNTIFS('例-交易记录'!$Y$5:$Y$304,"已平仓",'例-交易记录'!$E$5:$E$304,B62))</f>
        <v>4</v>
      </c>
      <c r="D62" s="54">
        <f>IF(N(C62)&gt;0,COUNTIFS('例-交易记录'!$Y$5:$Y$304,"已平仓",'例-交易记录'!$E$5:$E$304,B62,'例-交易记录'!$AC$5:$AC$304,"&gt;0")/C62,"")</f>
        <v>1</v>
      </c>
      <c r="E62" s="48">
        <f>IF(N(C62)&gt;0,SUMIFS('例-交易记录'!$AC$5:$AC$304,'例-交易记录'!$Y$5:$Y$304,"已平仓",'例-交易记录'!$E$5:$E$304,B62)/C62,"")</f>
        <v>2.23498324561404</v>
      </c>
      <c r="F62" s="48">
        <f>IF(N(C62)&gt;0,SUMIFS('例-交易记录'!$AC$5:$AC$304,'例-交易记录'!$Y$5:$Y$304,"已平仓",'例-交易记录'!$E$5:$E$304,B62),"")</f>
        <v>8.93993298245614</v>
      </c>
      <c r="G62" s="40" t="str">
        <f>IF(N(C62)=0,"",IF(C62&lt;10,"样本太少",""))</f>
        <v>样本太少</v>
      </c>
    </row>
    <row r="63">
      <c r="B63" s="56" t="str">
        <f>T('参数'!$B$23)</f>
        <v>回踩</v>
      </c>
      <c r="C63" s="53">
        <f>IF(B63="","",COUNTIFS('例-交易记录'!$Y$5:$Y$304,"已平仓",'例-交易记录'!$E$5:$E$304,B63))</f>
        <v>1</v>
      </c>
      <c r="D63" s="54">
        <f>IF(N(C63)&gt;0,COUNTIFS('例-交易记录'!$Y$5:$Y$304,"已平仓",'例-交易记录'!$E$5:$E$304,B63,'例-交易记录'!$AC$5:$AC$304,"&gt;0")/C63,"")</f>
        <v>0</v>
      </c>
      <c r="E63" s="48">
        <f>IF(N(C63)&gt;0,SUMIFS('例-交易记录'!$AC$5:$AC$304,'例-交易记录'!$Y$5:$Y$304,"已平仓",'例-交易记录'!$E$5:$E$304,B63)/C63,"")</f>
        <v>-1.72713333333333</v>
      </c>
      <c r="F63" s="48">
        <f>IF(N(C63)&gt;0,SUMIFS('例-交易记录'!$AC$5:$AC$304,'例-交易记录'!$Y$5:$Y$304,"已平仓",'例-交易记录'!$E$5:$E$304,B63),"")</f>
        <v>-1.72713333333333</v>
      </c>
      <c r="G63" s="40" t="str">
        <f>IF(N(C63)=0,"",IF(C63&lt;10,"样本太少",""))</f>
        <v>样本太少</v>
      </c>
    </row>
    <row r="64">
      <c r="B64" s="56" t="str">
        <f>T('参数'!$B$24)</f>
        <v>区间反转</v>
      </c>
      <c r="C64" s="53">
        <f>IF(B64="","",COUNTIFS('例-交易记录'!$Y$5:$Y$304,"已平仓",'例-交易记录'!$E$5:$E$304,B64))</f>
        <v>1</v>
      </c>
      <c r="D64" s="54">
        <f>IF(N(C64)&gt;0,COUNTIFS('例-交易记录'!$Y$5:$Y$304,"已平仓",'例-交易记录'!$E$5:$E$304,B64,'例-交易记录'!$AC$5:$AC$304,"&gt;0")/C64,"")</f>
        <v>0</v>
      </c>
      <c r="E64" s="48">
        <f>IF(N(C64)&gt;0,SUMIFS('例-交易记录'!$AC$5:$AC$304,'例-交易记录'!$Y$5:$Y$304,"已平仓",'例-交易记录'!$E$5:$E$304,B64)/C64,"")</f>
        <v>-1.20572</v>
      </c>
      <c r="F64" s="48">
        <f>IF(N(C64)&gt;0,SUMIFS('例-交易记录'!$AC$5:$AC$304,'例-交易记录'!$Y$5:$Y$304,"已平仓",'例-交易记录'!$E$5:$E$304,B64),"")</f>
        <v>-1.20572</v>
      </c>
      <c r="G64" s="40" t="str">
        <f>IF(N(C64)=0,"",IF(C64&lt;10,"样本太少",""))</f>
        <v>样本太少</v>
      </c>
    </row>
    <row r="65">
      <c r="B65" s="56" t="str">
        <f>T('参数'!$B$25)</f>
        <v>趋势跟随</v>
      </c>
      <c r="C65" s="53">
        <f>IF(B65="","",COUNTIFS('例-交易记录'!$Y$5:$Y$304,"已平仓",'例-交易记录'!$E$5:$E$304,B65))</f>
        <v>0</v>
      </c>
      <c r="D65" s="54" t="str">
        <f>IF(N(C65)&gt;0,COUNTIFS('例-交易记录'!$Y$5:$Y$304,"已平仓",'例-交易记录'!$E$5:$E$304,B65,'例-交易记录'!$AC$5:$AC$304,"&gt;0")/C65,"")</f>
        <v/>
      </c>
      <c r="E65" s="48" t="str">
        <f>IF(N(C65)&gt;0,SUMIFS('例-交易记录'!$AC$5:$AC$304,'例-交易记录'!$Y$5:$Y$304,"已平仓",'例-交易记录'!$E$5:$E$304,B65)/C65,"")</f>
        <v/>
      </c>
      <c r="F65" s="48" t="str">
        <f>IF(N(C65)&gt;0,SUMIFS('例-交易记录'!$AC$5:$AC$304,'例-交易记录'!$Y$5:$Y$304,"已平仓",'例-交易记录'!$E$5:$E$304,B65),"")</f>
        <v/>
      </c>
      <c r="G65" s="40" t="str">
        <f>IF(N(C65)=0,"",IF(C65&lt;10,"样本太少",""))</f>
        <v/>
      </c>
    </row>
    <row r="66">
      <c r="B66" s="56" t="str">
        <f>T('参数'!$B$26)</f>
        <v>其他</v>
      </c>
      <c r="C66" s="53">
        <f>IF(B66="","",COUNTIFS('例-交易记录'!$Y$5:$Y$304,"已平仓",'例-交易记录'!$E$5:$E$304,B66))</f>
        <v>0</v>
      </c>
      <c r="D66" s="54" t="str">
        <f>IF(N(C66)&gt;0,COUNTIFS('例-交易记录'!$Y$5:$Y$304,"已平仓",'例-交易记录'!$E$5:$E$304,B66,'例-交易记录'!$AC$5:$AC$304,"&gt;0")/C66,"")</f>
        <v/>
      </c>
      <c r="E66" s="48" t="str">
        <f>IF(N(C66)&gt;0,SUMIFS('例-交易记录'!$AC$5:$AC$304,'例-交易记录'!$Y$5:$Y$304,"已平仓",'例-交易记录'!$E$5:$E$304,B66)/C66,"")</f>
        <v/>
      </c>
      <c r="F66" s="48" t="str">
        <f>IF(N(C66)&gt;0,SUMIFS('例-交易记录'!$AC$5:$AC$304,'例-交易记录'!$Y$5:$Y$304,"已平仓",'例-交易记录'!$E$5:$E$304,B66),"")</f>
        <v/>
      </c>
      <c r="G66" s="40" t="str">
        <f>IF(N(C66)=0,"",IF(C66&lt;10,"样本太少",""))</f>
        <v/>
      </c>
    </row>
    <row r="67">
      <c r="B67" s="56" t="str">
        <f>T('参数'!$B$27)</f>
        <v/>
      </c>
      <c r="C67" s="53" t="str">
        <f>IF(B67="","",COUNTIFS('例-交易记录'!$Y$5:$Y$304,"已平仓",'例-交易记录'!$E$5:$E$304,B67))</f>
        <v/>
      </c>
      <c r="D67" s="54" t="str">
        <f>IF(N(C67)&gt;0,COUNTIFS('例-交易记录'!$Y$5:$Y$304,"已平仓",'例-交易记录'!$E$5:$E$304,B67,'例-交易记录'!$AC$5:$AC$304,"&gt;0")/C67,"")</f>
        <v/>
      </c>
      <c r="E67" s="48" t="str">
        <f>IF(N(C67)&gt;0,SUMIFS('例-交易记录'!$AC$5:$AC$304,'例-交易记录'!$Y$5:$Y$304,"已平仓",'例-交易记录'!$E$5:$E$304,B67)/C67,"")</f>
        <v/>
      </c>
      <c r="F67" s="48" t="str">
        <f>IF(N(C67)&gt;0,SUMIFS('例-交易记录'!$AC$5:$AC$304,'例-交易记录'!$Y$5:$Y$304,"已平仓",'例-交易记录'!$E$5:$E$304,B67),"")</f>
        <v/>
      </c>
      <c r="G67" s="40" t="str">
        <f>IF(N(C67)=0,"",IF(C67&lt;10,"样本太少",""))</f>
        <v/>
      </c>
    </row>
    <row r="68">
      <c r="B68" s="56" t="str">
        <f>T('参数'!$B$28)</f>
        <v/>
      </c>
      <c r="C68" s="53" t="str">
        <f>IF(B68="","",COUNTIFS('例-交易记录'!$Y$5:$Y$304,"已平仓",'例-交易记录'!$E$5:$E$304,B68))</f>
        <v/>
      </c>
      <c r="D68" s="54" t="str">
        <f>IF(N(C68)&gt;0,COUNTIFS('例-交易记录'!$Y$5:$Y$304,"已平仓",'例-交易记录'!$E$5:$E$304,B68,'例-交易记录'!$AC$5:$AC$304,"&gt;0")/C68,"")</f>
        <v/>
      </c>
      <c r="E68" s="48" t="str">
        <f>IF(N(C68)&gt;0,SUMIFS('例-交易记录'!$AC$5:$AC$304,'例-交易记录'!$Y$5:$Y$304,"已平仓",'例-交易记录'!$E$5:$E$304,B68)/C68,"")</f>
        <v/>
      </c>
      <c r="F68" s="48" t="str">
        <f>IF(N(C68)&gt;0,SUMIFS('例-交易记录'!$AC$5:$AC$304,'例-交易记录'!$Y$5:$Y$304,"已平仓",'例-交易记录'!$E$5:$E$304,B68),"")</f>
        <v/>
      </c>
      <c r="G68" s="40" t="str">
        <f>IF(N(C68)=0,"",IF(C68&lt;10,"样本太少",""))</f>
        <v/>
      </c>
    </row>
    <row r="69">
      <c r="B69" s="56" t="str">
        <f>T('参数'!$B$29)</f>
        <v/>
      </c>
      <c r="C69" s="53" t="str">
        <f>IF(B69="","",COUNTIFS('例-交易记录'!$Y$5:$Y$304,"已平仓",'例-交易记录'!$E$5:$E$304,B69))</f>
        <v/>
      </c>
      <c r="D69" s="54" t="str">
        <f>IF(N(C69)&gt;0,COUNTIFS('例-交易记录'!$Y$5:$Y$304,"已平仓",'例-交易记录'!$E$5:$E$304,B69,'例-交易记录'!$AC$5:$AC$304,"&gt;0")/C69,"")</f>
        <v/>
      </c>
      <c r="E69" s="48" t="str">
        <f>IF(N(C69)&gt;0,SUMIFS('例-交易记录'!$AC$5:$AC$304,'例-交易记录'!$Y$5:$Y$304,"已平仓",'例-交易记录'!$E$5:$E$304,B69)/C69,"")</f>
        <v/>
      </c>
      <c r="F69" s="48" t="str">
        <f>IF(N(C69)&gt;0,SUMIFS('例-交易记录'!$AC$5:$AC$304,'例-交易记录'!$Y$5:$Y$304,"已平仓",'例-交易记录'!$E$5:$E$304,B69),"")</f>
        <v/>
      </c>
      <c r="G69" s="40" t="str">
        <f>IF(N(C69)=0,"",IF(C69&lt;10,"样本太少",""))</f>
        <v/>
      </c>
    </row>
    <row r="71">
      <c r="B71" s="25" t="inlineStr">
        <is>
          <t>开仓时段</t>
        </is>
      </c>
      <c r="C71" s="25" t="inlineStr">
        <is>
          <t>笔数</t>
        </is>
      </c>
      <c r="D71" s="25" t="inlineStr">
        <is>
          <t>胜率</t>
        </is>
      </c>
      <c r="E71" s="25" t="inlineStr">
        <is>
          <t>每笔平均净R</t>
        </is>
      </c>
      <c r="F71" s="25" t="inlineStr">
        <is>
          <t>合计净R</t>
        </is>
      </c>
      <c r="G71" s="25" t="inlineStr">
        <is>
          <t>样本</t>
        </is>
      </c>
    </row>
    <row r="72">
      <c r="B72" s="56" t="str">
        <f>T('参数'!$C$39)</f>
        <v>夜盘与隔夜</v>
      </c>
      <c r="C72" s="53">
        <f>IF(B72="","",COUNTIFS('例-交易记录'!$Y$5:$Y$304,"已平仓",'例-交易记录'!$T$5:$T$304,B72))</f>
        <v>0</v>
      </c>
      <c r="D72" s="54" t="str">
        <f>IF(N(C72)&gt;0,COUNTIFS('例-交易记录'!$Y$5:$Y$304,"已平仓",'例-交易记录'!$T$5:$T$304,B72,'例-交易记录'!$AC$5:$AC$304,"&gt;0")/C72,"")</f>
        <v/>
      </c>
      <c r="E72" s="48" t="str">
        <f>IF(N(C72)&gt;0,SUMIFS('例-交易记录'!$AC$5:$AC$304,'例-交易记录'!$Y$5:$Y$304,"已平仓",'例-交易记录'!$T$5:$T$304,B72)/C72,"")</f>
        <v/>
      </c>
      <c r="F72" s="48" t="str">
        <f>IF(N(C72)&gt;0,SUMIFS('例-交易记录'!$AC$5:$AC$304,'例-交易记录'!$Y$5:$Y$304,"已平仓",'例-交易记录'!$T$5:$T$304,B72),"")</f>
        <v/>
      </c>
      <c r="G72" s="40" t="str">
        <f>IF(N(C72)=0,"",IF(C72&lt;10,"样本太少",""))</f>
        <v/>
      </c>
    </row>
    <row r="73">
      <c r="B73" s="56" t="str">
        <f>T('参数'!$C$40)</f>
        <v>开盘 30 分钟</v>
      </c>
      <c r="C73" s="53">
        <f>IF(B73="","",COUNTIFS('例-交易记录'!$Y$5:$Y$304,"已平仓",'例-交易记录'!$T$5:$T$304,B73))</f>
        <v>4</v>
      </c>
      <c r="D73" s="54">
        <f>IF(N(C73)&gt;0,COUNTIFS('例-交易记录'!$Y$5:$Y$304,"已平仓",'例-交易记录'!$T$5:$T$304,B73,'例-交易记录'!$AC$5:$AC$304,"&gt;0")/C73,"")</f>
        <v>1</v>
      </c>
      <c r="E73" s="48">
        <f>IF(N(C73)&gt;0,SUMIFS('例-交易记录'!$AC$5:$AC$304,'例-交易记录'!$Y$5:$Y$304,"已平仓",'例-交易记录'!$T$5:$T$304,B73)/C73,"")</f>
        <v>2.23498324561404</v>
      </c>
      <c r="F73" s="48">
        <f>IF(N(C73)&gt;0,SUMIFS('例-交易记录'!$AC$5:$AC$304,'例-交易记录'!$Y$5:$Y$304,"已平仓",'例-交易记录'!$T$5:$T$304,B73),"")</f>
        <v>8.93993298245614</v>
      </c>
      <c r="G73" s="40" t="str">
        <f>IF(N(C73)=0,"",IF(C73&lt;10,"样本太少",""))</f>
        <v>样本太少</v>
      </c>
    </row>
    <row r="74">
      <c r="B74" s="56" t="str">
        <f>T('参数'!$C$41)</f>
        <v>上午</v>
      </c>
      <c r="C74" s="53">
        <f>IF(B74="","",COUNTIFS('例-交易记录'!$Y$5:$Y$304,"已平仓",'例-交易记录'!$T$5:$T$304,B74))</f>
        <v>1</v>
      </c>
      <c r="D74" s="54">
        <f>IF(N(C74)&gt;0,COUNTIFS('例-交易记录'!$Y$5:$Y$304,"已平仓",'例-交易记录'!$T$5:$T$304,B74,'例-交易记录'!$AC$5:$AC$304,"&gt;0")/C74,"")</f>
        <v>0</v>
      </c>
      <c r="E74" s="48">
        <f>IF(N(C74)&gt;0,SUMIFS('例-交易记录'!$AC$5:$AC$304,'例-交易记录'!$Y$5:$Y$304,"已平仓",'例-交易记录'!$T$5:$T$304,B74)/C74,"")</f>
        <v>-1.20572</v>
      </c>
      <c r="F74" s="48">
        <f>IF(N(C74)&gt;0,SUMIFS('例-交易记录'!$AC$5:$AC$304,'例-交易记录'!$Y$5:$Y$304,"已平仓",'例-交易记录'!$T$5:$T$304,B74),"")</f>
        <v>-1.20572</v>
      </c>
      <c r="G74" s="40" t="str">
        <f>IF(N(C74)=0,"",IF(C74&lt;10,"样本太少",""))</f>
        <v>样本太少</v>
      </c>
    </row>
    <row r="75">
      <c r="B75" s="56" t="str">
        <f>T('参数'!$C$42)</f>
        <v>午间</v>
      </c>
      <c r="C75" s="53">
        <f>IF(B75="","",COUNTIFS('例-交易记录'!$Y$5:$Y$304,"已平仓",'例-交易记录'!$T$5:$T$304,B75))</f>
        <v>0</v>
      </c>
      <c r="D75" s="54" t="str">
        <f>IF(N(C75)&gt;0,COUNTIFS('例-交易记录'!$Y$5:$Y$304,"已平仓",'例-交易记录'!$T$5:$T$304,B75,'例-交易记录'!$AC$5:$AC$304,"&gt;0")/C75,"")</f>
        <v/>
      </c>
      <c r="E75" s="48" t="str">
        <f>IF(N(C75)&gt;0,SUMIFS('例-交易记录'!$AC$5:$AC$304,'例-交易记录'!$Y$5:$Y$304,"已平仓",'例-交易记录'!$T$5:$T$304,B75)/C75,"")</f>
        <v/>
      </c>
      <c r="F75" s="48" t="str">
        <f>IF(N(C75)&gt;0,SUMIFS('例-交易记录'!$AC$5:$AC$304,'例-交易记录'!$Y$5:$Y$304,"已平仓",'例-交易记录'!$T$5:$T$304,B75),"")</f>
        <v/>
      </c>
      <c r="G75" s="40" t="str">
        <f>IF(N(C75)=0,"",IF(C75&lt;10,"样本太少",""))</f>
        <v/>
      </c>
    </row>
    <row r="76">
      <c r="B76" s="56" t="str">
        <f>T('参数'!$C$43)</f>
        <v>午后</v>
      </c>
      <c r="C76" s="53">
        <f>IF(B76="","",COUNTIFS('例-交易记录'!$Y$5:$Y$304,"已平仓",'例-交易记录'!$T$5:$T$304,B76))</f>
        <v>0</v>
      </c>
      <c r="D76" s="54" t="str">
        <f>IF(N(C76)&gt;0,COUNTIFS('例-交易记录'!$Y$5:$Y$304,"已平仓",'例-交易记录'!$T$5:$T$304,B76,'例-交易记录'!$AC$5:$AC$304,"&gt;0")/C76,"")</f>
        <v/>
      </c>
      <c r="E76" s="48" t="str">
        <f>IF(N(C76)&gt;0,SUMIFS('例-交易记录'!$AC$5:$AC$304,'例-交易记录'!$Y$5:$Y$304,"已平仓",'例-交易记录'!$T$5:$T$304,B76)/C76,"")</f>
        <v/>
      </c>
      <c r="F76" s="48" t="str">
        <f>IF(N(C76)&gt;0,SUMIFS('例-交易记录'!$AC$5:$AC$304,'例-交易记录'!$Y$5:$Y$304,"已平仓",'例-交易记录'!$T$5:$T$304,B76),"")</f>
        <v/>
      </c>
      <c r="G76" s="40" t="str">
        <f>IF(N(C76)=0,"",IF(C76&lt;10,"样本太少",""))</f>
        <v/>
      </c>
    </row>
    <row r="77">
      <c r="B77" s="56" t="str">
        <f>T('参数'!$C$44)</f>
        <v>尾盘</v>
      </c>
      <c r="C77" s="53">
        <f>IF(B77="","",COUNTIFS('例-交易记录'!$Y$5:$Y$304,"已平仓",'例-交易记录'!$T$5:$T$304,B77))</f>
        <v>0</v>
      </c>
      <c r="D77" s="54" t="str">
        <f>IF(N(C77)&gt;0,COUNTIFS('例-交易记录'!$Y$5:$Y$304,"已平仓",'例-交易记录'!$T$5:$T$304,B77,'例-交易记录'!$AC$5:$AC$304,"&gt;0")/C77,"")</f>
        <v/>
      </c>
      <c r="E77" s="48" t="str">
        <f>IF(N(C77)&gt;0,SUMIFS('例-交易记录'!$AC$5:$AC$304,'例-交易记录'!$Y$5:$Y$304,"已平仓",'例-交易记录'!$T$5:$T$304,B77)/C77,"")</f>
        <v/>
      </c>
      <c r="F77" s="48" t="str">
        <f>IF(N(C77)&gt;0,SUMIFS('例-交易记录'!$AC$5:$AC$304,'例-交易记录'!$Y$5:$Y$304,"已平仓",'例-交易记录'!$T$5:$T$304,B77),"")</f>
        <v/>
      </c>
      <c r="G77" s="40" t="str">
        <f>IF(N(C77)=0,"",IF(C77&lt;10,"样本太少",""))</f>
        <v/>
      </c>
    </row>
    <row r="78">
      <c r="B78" s="56" t="str">
        <f>T('参数'!$C$45)</f>
        <v>收盘后</v>
      </c>
      <c r="C78" s="53">
        <f>IF(B78="","",COUNTIFS('例-交易记录'!$Y$5:$Y$304,"已平仓",'例-交易记录'!$T$5:$T$304,B78))</f>
        <v>0</v>
      </c>
      <c r="D78" s="54" t="str">
        <f>IF(N(C78)&gt;0,COUNTIFS('例-交易记录'!$Y$5:$Y$304,"已平仓",'例-交易记录'!$T$5:$T$304,B78,'例-交易记录'!$AC$5:$AC$304,"&gt;0")/C78,"")</f>
        <v/>
      </c>
      <c r="E78" s="48" t="str">
        <f>IF(N(C78)&gt;0,SUMIFS('例-交易记录'!$AC$5:$AC$304,'例-交易记录'!$Y$5:$Y$304,"已平仓",'例-交易记录'!$T$5:$T$304,B78)/C78,"")</f>
        <v/>
      </c>
      <c r="F78" s="48" t="str">
        <f>IF(N(C78)&gt;0,SUMIFS('例-交易记录'!$AC$5:$AC$304,'例-交易记录'!$Y$5:$Y$304,"已平仓",'例-交易记录'!$T$5:$T$304,B78),"")</f>
        <v/>
      </c>
      <c r="G78" s="40" t="str">
        <f>IF(N(C78)=0,"",IF(C78&lt;10,"样本太少",""))</f>
        <v/>
      </c>
    </row>
    <row r="79">
      <c r="B79" s="56" t="str">
        <f>T('参数'!$C$46)</f>
        <v>夜盘</v>
      </c>
      <c r="C79" s="53">
        <f>IF(B79="","",COUNTIFS('例-交易记录'!$Y$5:$Y$304,"已平仓",'例-交易记录'!$T$5:$T$304,B79))</f>
        <v>1</v>
      </c>
      <c r="D79" s="54">
        <f>IF(N(C79)&gt;0,COUNTIFS('例-交易记录'!$Y$5:$Y$304,"已平仓",'例-交易记录'!$T$5:$T$304,B79,'例-交易记录'!$AC$5:$AC$304,"&gt;0")/C79,"")</f>
        <v>0</v>
      </c>
      <c r="E79" s="48">
        <f>IF(N(C79)&gt;0,SUMIFS('例-交易记录'!$AC$5:$AC$304,'例-交易记录'!$Y$5:$Y$304,"已平仓",'例-交易记录'!$T$5:$T$304,B79)/C79,"")</f>
        <v>-1.72713333333333</v>
      </c>
      <c r="F79" s="48">
        <f>IF(N(C79)&gt;0,SUMIFS('例-交易记录'!$AC$5:$AC$304,'例-交易记录'!$Y$5:$Y$304,"已平仓",'例-交易记录'!$T$5:$T$304,B79),"")</f>
        <v>-1.72713333333333</v>
      </c>
      <c r="G79" s="40" t="str">
        <f>IF(N(C79)=0,"",IF(C79&lt;10,"样本太少",""))</f>
        <v>样本太少</v>
      </c>
    </row>
    <row r="80">
      <c r="B80" s="56" t="str">
        <f>T('参数'!$C$47)</f>
        <v/>
      </c>
      <c r="C80" s="53" t="str">
        <f>IF(B80="","",COUNTIFS('例-交易记录'!$Y$5:$Y$304,"已平仓",'例-交易记录'!$T$5:$T$304,B80))</f>
        <v/>
      </c>
      <c r="D80" s="54" t="str">
        <f>IF(N(C80)&gt;0,COUNTIFS('例-交易记录'!$Y$5:$Y$304,"已平仓",'例-交易记录'!$T$5:$T$304,B80,'例-交易记录'!$AC$5:$AC$304,"&gt;0")/C80,"")</f>
        <v/>
      </c>
      <c r="E80" s="48" t="str">
        <f>IF(N(C80)&gt;0,SUMIFS('例-交易记录'!$AC$5:$AC$304,'例-交易记录'!$Y$5:$Y$304,"已平仓",'例-交易记录'!$T$5:$T$304,B80)/C80,"")</f>
        <v/>
      </c>
      <c r="F80" s="48" t="str">
        <f>IF(N(C80)&gt;0,SUMIFS('例-交易记录'!$AC$5:$AC$304,'例-交易记录'!$Y$5:$Y$304,"已平仓",'例-交易记录'!$T$5:$T$304,B80),"")</f>
        <v/>
      </c>
      <c r="G80" s="40" t="str">
        <f>IF(N(C80)=0,"",IF(C80&lt;10,"样本太少",""))</f>
        <v/>
      </c>
    </row>
    <row r="81">
      <c r="B81" s="56" t="str">
        <f>T('参数'!$C$48)</f>
        <v/>
      </c>
      <c r="C81" s="53" t="str">
        <f>IF(B81="","",COUNTIFS('例-交易记录'!$Y$5:$Y$304,"已平仓",'例-交易记录'!$T$5:$T$304,B81))</f>
        <v/>
      </c>
      <c r="D81" s="54" t="str">
        <f>IF(N(C81)&gt;0,COUNTIFS('例-交易记录'!$Y$5:$Y$304,"已平仓",'例-交易记录'!$T$5:$T$304,B81,'例-交易记录'!$AC$5:$AC$304,"&gt;0")/C81,"")</f>
        <v/>
      </c>
      <c r="E81" s="48" t="str">
        <f>IF(N(C81)&gt;0,SUMIFS('例-交易记录'!$AC$5:$AC$304,'例-交易记录'!$Y$5:$Y$304,"已平仓",'例-交易记录'!$T$5:$T$304,B81)/C81,"")</f>
        <v/>
      </c>
      <c r="F81" s="48" t="str">
        <f>IF(N(C81)&gt;0,SUMIFS('例-交易记录'!$AC$5:$AC$304,'例-交易记录'!$Y$5:$Y$304,"已平仓",'例-交易记录'!$T$5:$T$304,B81),"")</f>
        <v/>
      </c>
      <c r="G81" s="40" t="str">
        <f>IF(N(C81)=0,"",IF(C81&lt;10,"样本太少",""))</f>
        <v/>
      </c>
    </row>
    <row r="83">
      <c r="B83" s="15" t="inlineStr">
        <is>
          <t>5. 下周只改一处</t>
        </is>
      </c>
    </row>
    <row r="84" ht="34" customHeight="1">
      <c r="B84" s="49" t="inlineStr">
        <is>
          <t>本区间最多的偏差是什么，发生在什么情况下</t>
        </is>
      </c>
      <c r="C84" s="31" t="inlineStr">
        <is>
          <t>一笔 C 档：11 日追单，超过追价上限 3615 还在 3628 买了，赚了 1.6R 多，这是本周最该复盘的一笔。</t>
        </is>
      </c>
      <c r="D84" s="31" t="n"/>
      <c r="E84" s="31" t="n"/>
      <c r="F84" s="31" t="n"/>
      <c r="G84" s="31" t="n"/>
      <c r="H84" s="31" t="n"/>
      <c r="I84" s="31" t="n"/>
      <c r="J84" s="31" t="n"/>
    </row>
    <row r="85" ht="34" customHeight="1">
      <c r="B85" s="49" t="inlineStr">
        <is>
          <t>下周只练的一个动作（写成能检查的规则）</t>
        </is>
      </c>
      <c r="C85" s="31" t="inlineStr">
        <is>
          <t>限价单的价格写死在下单前七行里，盘中超过就撤单，不改价。</t>
        </is>
      </c>
      <c r="D85" s="31" t="n"/>
      <c r="E85" s="31" t="n"/>
      <c r="F85" s="31" t="n"/>
      <c r="G85" s="31" t="n"/>
      <c r="H85" s="31" t="n"/>
      <c r="I85" s="31" t="n"/>
      <c r="J85" s="31" t="n"/>
    </row>
    <row r="86" ht="34" customHeight="1">
      <c r="B86" s="49" t="inlineStr">
        <is>
          <t>下周不做的情况</t>
        </is>
      </c>
      <c r="C86" s="31" t="inlineStr">
        <is>
          <t>会议日不盯盘，提前挂条件单；挂不了就不做。</t>
        </is>
      </c>
      <c r="D86" s="31" t="n"/>
      <c r="E86" s="31" t="n"/>
      <c r="F86" s="31" t="n"/>
      <c r="G86" s="31" t="n"/>
      <c r="H86" s="31" t="n"/>
      <c r="I86" s="31" t="n"/>
      <c r="J86" s="31" t="n"/>
    </row>
    <row r="87" ht="34" customHeight="1">
      <c r="B87" s="49" t="inlineStr">
        <is>
          <t>上一次定的那一处，这次做到了吗</t>
        </is>
      </c>
      <c r="C87" s="31" t="inlineStr">
        <is>
          <t>上周定的是「每天写明天的条件」：这周 5 天都写了，做到了；但 12 日漏了一单，下周加上提醒。</t>
        </is>
      </c>
      <c r="D87" s="31" t="n"/>
      <c r="E87" s="31" t="n"/>
      <c r="F87" s="31" t="n"/>
      <c r="G87" s="31" t="n"/>
      <c r="H87" s="31" t="n"/>
      <c r="I87" s="31" t="n"/>
      <c r="J87" s="31" t="n"/>
    </row>
  </sheetData>
  <mergeCells count="45">
    <mergeCell ref="E19:J19"/>
    <mergeCell ref="C86:J86"/>
    <mergeCell ref="E28:J28"/>
    <mergeCell ref="E40:J40"/>
    <mergeCell ref="I11:J11"/>
    <mergeCell ref="E31:J31"/>
    <mergeCell ref="E34:J34"/>
    <mergeCell ref="E30:J30"/>
    <mergeCell ref="E36:J36"/>
    <mergeCell ref="I7:J7"/>
    <mergeCell ref="E27:J27"/>
    <mergeCell ref="E45:J45"/>
    <mergeCell ref="C85:J85"/>
    <mergeCell ref="C84:J84"/>
    <mergeCell ref="E26:J26"/>
    <mergeCell ref="E44:J44"/>
    <mergeCell ref="E25:J25"/>
    <mergeCell ref="E29:J29"/>
    <mergeCell ref="I12:J12"/>
    <mergeCell ref="E35:J35"/>
    <mergeCell ref="A1:G1"/>
    <mergeCell ref="E32:J32"/>
    <mergeCell ref="E41:J41"/>
    <mergeCell ref="E22:J22"/>
    <mergeCell ref="E37:J37"/>
    <mergeCell ref="E18:J18"/>
    <mergeCell ref="E43:J43"/>
    <mergeCell ref="I14:J14"/>
    <mergeCell ref="I8:J8"/>
    <mergeCell ref="E21:J21"/>
    <mergeCell ref="H1:J1"/>
    <mergeCell ref="E33:J33"/>
    <mergeCell ref="E24:J24"/>
    <mergeCell ref="E42:J42"/>
    <mergeCell ref="I10:J10"/>
    <mergeCell ref="E17:J17"/>
    <mergeCell ref="E23:J23"/>
    <mergeCell ref="E39:J39"/>
    <mergeCell ref="I13:J13"/>
    <mergeCell ref="A2:J2"/>
    <mergeCell ref="E20:J20"/>
    <mergeCell ref="E38:J38"/>
    <mergeCell ref="I9:J9"/>
    <mergeCell ref="F4:J4"/>
    <mergeCell ref="C87:J87"/>
  </mergeCells>
  <conditionalFormatting sqref="H8:H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27:D27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8:D28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9:D29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C30:D30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C31:D31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C33:D33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C41:D41">
    <cfRule type="cellIs" priority="15" operator="greaterThan" dxfId="0">
      <formula>0</formula>
    </cfRule>
    <cfRule type="cellIs" priority="16" operator="lessThan" dxfId="1">
      <formula>0</formula>
    </cfRule>
  </conditionalFormatting>
  <conditionalFormatting sqref="C42:D42">
    <cfRule type="cellIs" priority="17" operator="greaterThan" dxfId="0">
      <formula>0</formula>
    </cfRule>
    <cfRule type="cellIs" priority="18" operator="lessThan" dxfId="1">
      <formula>0</formula>
    </cfRule>
  </conditionalFormatting>
  <conditionalFormatting sqref="C45:D45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C40:D40">
    <cfRule type="cellIs" priority="21" operator="greaterThan" dxfId="5">
      <formula>0</formula>
    </cfRule>
  </conditionalFormatting>
  <conditionalFormatting sqref="F49:F58">
    <cfRule type="cellIs" priority="22" operator="equal" dxfId="5">
      <formula>"本区间最多"</formula>
    </cfRule>
  </conditionalFormatting>
  <conditionalFormatting sqref="E49:E58">
    <cfRule type="cellIs" priority="23" operator="greaterThan" dxfId="0">
      <formula>0</formula>
    </cfRule>
    <cfRule type="cellIs" priority="24" operator="lessThan" dxfId="1">
      <formula>0</formula>
    </cfRule>
  </conditionalFormatting>
  <conditionalFormatting sqref="E62:F69">
    <cfRule type="cellIs" priority="25" operator="greaterThan" dxfId="0">
      <formula>0</formula>
    </cfRule>
    <cfRule type="cellIs" priority="26" operator="lessThan" dxfId="1">
      <formula>0</formula>
    </cfRule>
  </conditionalFormatting>
  <conditionalFormatting sqref="E72:F81">
    <cfRule type="cellIs" priority="27" operator="greaterThan" dxfId="0">
      <formula>0</formula>
    </cfRule>
    <cfRule type="cellIs" priority="28" operator="lessThan" dxfId="1">
      <formula>0</formula>
    </cfRule>
  </conditionalFormatting>
  <dataValidations count="2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trade1469.com/templates/trading-journal/?src=tpl-journal&amp;R&amp;"Microsoft YaHei"&amp;8 第 &amp;P 页，共 &amp;N 页</oddFooter>
    <evenHeader/>
    <evenFooter>&amp;L&amp;"Microsoft YaHei"&amp;8 TradeLearn · XtradingTime 交易内训&amp;C&amp;"Microsoft YaHei"&amp;8 trade1469.com/templates/trading-journal/?src=tpl-journal&amp;R&amp;"Microsoft YaHei"&amp;8 第 &amp;P 页，共 &amp;N 页</evenFooter>
    <firstHeader/>
    <firstFooter/>
  </headerFooter>
  <rowBreaks count="1" manualBreakCount="1">
    <brk id="59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TradeLearn · XtradingTime 交易内训</dc:creator>
  <dc:title xmlns:dc="http://purl.org/dc/elements/1.1/">交易日志模板</dc:title>
  <dc:subject xmlns:dc="http://purl.org/dc/elements/1.1/">按 R 记账的交易日志：计划、成交明细、费用、每日记录与周复盘</dc:subject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2026-10-13T09:10:59Z</dcterms:modified>
  <cp:keywords>交易日志模板, 交易记录表, 复盘模板, 净R, 费后R</cp:keywords>
</cp:coreProperties>
</file>