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备忘录" sheetId="2" state="visible" r:id="rId2"/>
    <sheet xmlns:r="http://schemas.openxmlformats.org/officeDocument/2006/relationships" name="生意" sheetId="3" state="visible" r:id="rId3"/>
    <sheet xmlns:r="http://schemas.openxmlformats.org/officeDocument/2006/relationships" name="财务" sheetId="4" state="visible" r:id="rId4"/>
    <sheet xmlns:r="http://schemas.openxmlformats.org/officeDocument/2006/relationships" name="估值" sheetId="5" state="visible" r:id="rId5"/>
    <sheet xmlns:r="http://schemas.openxmlformats.org/officeDocument/2006/relationships" name="风险与跟踪" sheetId="6" state="visible" r:id="rId6"/>
    <sheet xmlns:r="http://schemas.openxmlformats.org/officeDocument/2006/relationships" name="研究池" sheetId="7" state="visible" r:id="rId7"/>
    <sheet xmlns:r="http://schemas.openxmlformats.org/officeDocument/2006/relationships" name="例-备忘录" sheetId="8" state="visible" r:id="rId8"/>
    <sheet xmlns:r="http://schemas.openxmlformats.org/officeDocument/2006/relationships" name="例-生意" sheetId="9" state="visible" r:id="rId9"/>
    <sheet xmlns:r="http://schemas.openxmlformats.org/officeDocument/2006/relationships" name="例-财务" sheetId="10" state="visible" r:id="rId10"/>
    <sheet xmlns:r="http://schemas.openxmlformats.org/officeDocument/2006/relationships" name="例-估值" sheetId="11" state="visible" r:id="rId11"/>
    <sheet xmlns:r="http://schemas.openxmlformats.org/officeDocument/2006/relationships" name="例-风险与跟踪" sheetId="12" state="visible" r:id="rId12"/>
    <sheet xmlns:r="http://schemas.openxmlformats.org/officeDocument/2006/relationships" name="例-研究池" sheetId="13" state="visible" r:id="rId13"/>
  </sheets>
  <definedNames>
    <definedName name="_xlnm.Print_Area" localSheetId="0">'使用说明'!$A$1:$D$60</definedName>
    <definedName name="_xlnm.Print_Area" localSheetId="1">'备忘录'!$A$1:$I$42</definedName>
    <definedName name="_xlnm.Print_Area" localSheetId="2">'生意'!$A$1:$I$67</definedName>
    <definedName name="_xlnm.Print_Titles" localSheetId="3">'财务'!$4:$4</definedName>
    <definedName name="_xlnm.Print_Area" localSheetId="3">'财务'!$A$1:$I$85</definedName>
    <definedName name="_xlnm.Print_Area" localSheetId="4">'估值'!$A$1:$M$68</definedName>
    <definedName name="_xlnm.Print_Area" localSheetId="5">'风险与跟踪'!$A$1:$K$47</definedName>
    <definedName name="_xlnm.Print_Area" localSheetId="6">'研究池'!$A$1:$Q$27</definedName>
    <definedName name="_xlnm.Print_Area" localSheetId="7">'例-备忘录'!$A$1:$I$42</definedName>
    <definedName name="_xlnm.Print_Area" localSheetId="8">'例-生意'!$A$1:$I$67</definedName>
    <definedName name="_xlnm.Print_Titles" localSheetId="9">'例-财务'!$4:$4</definedName>
    <definedName name="_xlnm.Print_Area" localSheetId="9">'例-财务'!$A$1:$I$85</definedName>
    <definedName name="_xlnm.Print_Area" localSheetId="10">'例-估值'!$A$1:$M$68</definedName>
    <definedName name="_xlnm.Print_Area" localSheetId="11">'例-风险与跟踪'!$A$1:$K$47</definedName>
    <definedName name="_xlnm.Print_Area" localSheetId="12">'例-研究池'!$A$1:$Q$27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0.0%"/>
    <numFmt numFmtId="166" formatCode="0.0"/>
    <numFmt numFmtId="167" formatCode="&quot;第&quot;0&quot;年&quot;"/>
    <numFmt numFmtId="168" formatCode="+0.00%;-0.00%;0.00%"/>
    <numFmt numFmtId="169" formatCode="0.000"/>
  </numFmts>
  <fonts count="20">
    <font>
      <name val="Calibri"/>
      <family val="2"/>
      <color theme="1"/>
      <sz val="11"/>
      <scheme val="minor"/>
    </font>
    <font>
      <name val="Microsoft YaHei"/>
      <b val="1"/>
      <color rgb="009D4616"/>
      <sz val="18"/>
    </font>
    <font>
      <name val="Microsoft YaHei"/>
      <color rgb="005E574D"/>
      <sz val="9"/>
    </font>
    <font>
      <name val="Microsoft YaHei"/>
      <b val="1"/>
      <color rgb="009D4616"/>
      <sz val="12"/>
    </font>
    <font>
      <name val="Microsoft YaHei"/>
      <color rgb="001F1B16"/>
      <sz val="10"/>
    </font>
    <font>
      <name val="Microsoft YaHei"/>
      <b val="1"/>
      <color rgb="00FFFFFF"/>
      <sz val="9"/>
    </font>
    <font>
      <name val="Microsoft YaHei"/>
      <b val="1"/>
      <color rgb="001F1B16"/>
      <sz val="10"/>
    </font>
    <font>
      <name val="Microsoft YaHei"/>
      <color rgb="005E574D"/>
      <sz val="10"/>
    </font>
    <font>
      <name val="Microsoft YaHei"/>
      <color rgb="000000FF"/>
      <sz val="10"/>
      <u val="single"/>
    </font>
    <font>
      <name val="Microsoft YaHei"/>
      <b val="1"/>
      <color rgb="009D4616"/>
      <sz val="15"/>
    </font>
    <font>
      <name val="Microsoft YaHei"/>
      <color rgb="005E574D"/>
      <sz val="8"/>
    </font>
    <font>
      <name val="Microsoft YaHei"/>
      <color rgb="000000FF"/>
      <sz val="10"/>
    </font>
    <font>
      <name val="Microsoft YaHei"/>
      <color rgb="00008000"/>
      <sz val="10"/>
    </font>
    <font>
      <name val="Microsoft YaHei"/>
      <b val="1"/>
      <color rgb="000000FF"/>
      <sz val="10"/>
    </font>
    <font>
      <name val="Microsoft YaHei"/>
      <b val="1"/>
      <color rgb="009D4616"/>
      <sz val="11"/>
    </font>
    <font>
      <name val="Microsoft YaHei"/>
      <b val="1"/>
      <color rgb="00008000"/>
      <sz val="10"/>
    </font>
    <font>
      <name val="Microsoft YaHei"/>
      <b val="1"/>
      <color rgb="007C350E"/>
      <sz val="9"/>
    </font>
    <font>
      <name val="Microsoft YaHei"/>
      <b val="1"/>
      <color rgb="005E574D"/>
      <sz val="9"/>
    </font>
    <font>
      <name val="Microsoft YaHei"/>
      <b val="1"/>
      <color rgb="001F1B16"/>
      <sz val="12"/>
    </font>
    <font>
      <name val="Microsoft YaHei"/>
      <b val="1"/>
      <color rgb="007C350E"/>
      <sz val="10"/>
    </font>
  </fonts>
  <fills count="6">
    <fill>
      <patternFill/>
    </fill>
    <fill>
      <patternFill patternType="gray125"/>
    </fill>
    <fill>
      <patternFill patternType="solid">
        <fgColor rgb="009D4616"/>
        <bgColor rgb="009D4616"/>
      </patternFill>
    </fill>
    <fill>
      <patternFill patternType="solid">
        <fgColor rgb="00F3EFE8"/>
        <bgColor rgb="00F3EFE8"/>
      </patternFill>
    </fill>
    <fill>
      <patternFill patternType="solid">
        <fgColor rgb="00EFE3D3"/>
        <bgColor rgb="00EFE3D3"/>
      </patternFill>
    </fill>
    <fill>
      <patternFill patternType="solid">
        <fgColor rgb="00FBE3D2"/>
        <bgColor rgb="00FBE3D2"/>
      </patternFill>
    </fill>
  </fills>
  <borders count="4">
    <border>
      <left/>
      <right/>
      <top/>
      <bottom/>
      <diagonal/>
    </border>
    <border>
      <bottom style="thin">
        <color rgb="009D4616"/>
      </bottom>
    </border>
    <border>
      <left style="thin">
        <color rgb="00D9CFBF"/>
      </left>
      <right style="thin">
        <color rgb="00D9CFBF"/>
      </right>
      <top style="thin">
        <color rgb="00D9CFBF"/>
      </top>
      <bottom style="thin">
        <color rgb="00D9CFBF"/>
      </bottom>
    </border>
    <border>
      <left style="medium">
        <color rgb="009D4616"/>
      </left>
      <right style="medium">
        <color rgb="009D4616"/>
      </right>
      <top style="medium">
        <color rgb="009D4616"/>
      </top>
      <bottom style="medium">
        <color rgb="009D4616"/>
      </bottom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bottom"/>
    </xf>
    <xf numFmtId="0" fontId="0" fillId="0" borderId="1" pivotButton="0" quotePrefix="0" xfId="0"/>
    <xf numFmtId="0" fontId="4" fillId="0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 wrapText="1"/>
    </xf>
    <xf numFmtId="0" fontId="11" fillId="0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12" fillId="3" borderId="2" applyAlignment="1" pivotButton="0" quotePrefix="0" xfId="0">
      <alignment horizontal="center" vertical="center"/>
    </xf>
    <xf numFmtId="164" fontId="11" fillId="0" borderId="2" applyAlignment="1" pivotButton="0" quotePrefix="0" xfId="0">
      <alignment horizontal="center" vertical="center"/>
    </xf>
    <xf numFmtId="0" fontId="13" fillId="0" borderId="2" applyAlignment="1" pivotButton="0" quotePrefix="0" xfId="0">
      <alignment horizontal="center" vertical="center"/>
    </xf>
    <xf numFmtId="164" fontId="12" fillId="3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13" fillId="0" borderId="2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center"/>
    </xf>
    <xf numFmtId="0" fontId="5" fillId="2" borderId="2" applyAlignment="1" pivotButton="0" quotePrefix="0" xfId="0">
      <alignment horizontal="center" vertical="center" wrapText="1"/>
    </xf>
    <xf numFmtId="2" fontId="15" fillId="3" borderId="2" applyAlignment="1" pivotButton="0" quotePrefix="0" xfId="0">
      <alignment horizontal="center" vertical="center"/>
    </xf>
    <xf numFmtId="2" fontId="12" fillId="3" borderId="2" applyAlignment="1" pivotButton="0" quotePrefix="0" xfId="0">
      <alignment horizontal="center" vertical="center"/>
    </xf>
    <xf numFmtId="165" fontId="12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 shrinkToFit="1"/>
    </xf>
    <xf numFmtId="4" fontId="12" fillId="3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left" vertical="top" wrapText="1"/>
    </xf>
    <xf numFmtId="0" fontId="6" fillId="3" borderId="2" applyAlignment="1" pivotButton="0" quotePrefix="0" xfId="0">
      <alignment horizontal="left" vertical="center"/>
    </xf>
    <xf numFmtId="165" fontId="11" fillId="0" borderId="2" applyAlignment="1" pivotButton="0" quotePrefix="0" xfId="0">
      <alignment horizontal="center" vertical="center"/>
    </xf>
    <xf numFmtId="0" fontId="12" fillId="3" borderId="2" applyAlignment="1" pivotButton="0" quotePrefix="0" xfId="0">
      <alignment horizontal="left" vertical="top" wrapText="1"/>
    </xf>
    <xf numFmtId="1" fontId="12" fillId="3" borderId="2" applyAlignment="1" pivotButton="0" quotePrefix="0" xfId="0">
      <alignment horizontal="center" vertical="center"/>
    </xf>
    <xf numFmtId="4" fontId="11" fillId="0" borderId="2" applyAlignment="1" pivotButton="0" quotePrefix="0" xfId="0">
      <alignment horizontal="center" vertical="center"/>
    </xf>
    <xf numFmtId="165" fontId="4" fillId="3" borderId="2" applyAlignment="1" pivotButton="0" quotePrefix="0" xfId="0">
      <alignment horizontal="center" vertical="center"/>
    </xf>
    <xf numFmtId="4" fontId="4" fillId="3" borderId="2" applyAlignment="1" pivotButton="0" quotePrefix="0" xfId="0">
      <alignment horizontal="center" vertical="center"/>
    </xf>
    <xf numFmtId="4" fontId="6" fillId="3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1" fontId="6" fillId="3" borderId="2" applyAlignment="1" pivotButton="0" quotePrefix="0" xfId="0">
      <alignment horizontal="center" vertical="center"/>
    </xf>
    <xf numFmtId="165" fontId="6" fillId="3" borderId="2" applyAlignment="1" pivotButton="0" quotePrefix="0" xfId="0">
      <alignment horizontal="center" vertical="center"/>
    </xf>
    <xf numFmtId="0" fontId="13" fillId="4" borderId="2" applyAlignment="1" pivotButton="0" quotePrefix="0" xfId="0">
      <alignment horizontal="center" vertical="center"/>
    </xf>
    <xf numFmtId="0" fontId="16" fillId="4" borderId="2" applyAlignment="1" pivotButton="0" quotePrefix="0" xfId="0">
      <alignment horizontal="left" vertical="center"/>
    </xf>
    <xf numFmtId="2" fontId="11" fillId="0" borderId="2" applyAlignment="1" pivotButton="0" quotePrefix="0" xfId="0">
      <alignment horizontal="center" vertical="center"/>
    </xf>
    <xf numFmtId="2" fontId="4" fillId="3" borderId="2" applyAlignment="1" pivotButton="0" quotePrefix="0" xfId="0">
      <alignment horizontal="center" vertical="center"/>
    </xf>
    <xf numFmtId="1" fontId="4" fillId="3" borderId="2" applyAlignment="1" pivotButton="0" quotePrefix="0" xfId="0">
      <alignment horizontal="center" vertical="center"/>
    </xf>
    <xf numFmtId="166" fontId="4" fillId="3" borderId="2" applyAlignment="1" pivotButton="0" quotePrefix="0" xfId="0">
      <alignment horizontal="center" vertical="center"/>
    </xf>
    <xf numFmtId="167" fontId="5" fillId="2" borderId="2" applyAlignment="1" pivotButton="0" quotePrefix="0" xfId="0">
      <alignment horizontal="center" vertical="center" wrapText="1"/>
    </xf>
    <xf numFmtId="2" fontId="6" fillId="3" borderId="2" applyAlignment="1" pivotButton="0" quotePrefix="0" xfId="0">
      <alignment horizontal="center" vertical="center"/>
    </xf>
    <xf numFmtId="168" fontId="4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center" vertical="center"/>
    </xf>
    <xf numFmtId="2" fontId="4" fillId="3" borderId="3" applyAlignment="1" pivotButton="0" quotePrefix="0" xfId="0">
      <alignment horizontal="center" vertical="center"/>
    </xf>
    <xf numFmtId="166" fontId="11" fillId="0" borderId="2" applyAlignment="1" pivotButton="0" quotePrefix="0" xfId="0">
      <alignment horizontal="center" vertical="center"/>
    </xf>
    <xf numFmtId="166" fontId="6" fillId="3" borderId="2" applyAlignment="1" pivotButton="0" quotePrefix="0" xfId="0">
      <alignment horizontal="center" vertical="center"/>
    </xf>
    <xf numFmtId="169" fontId="4" fillId="3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left" vertical="center"/>
    </xf>
    <xf numFmtId="164" fontId="4" fillId="3" borderId="2" applyAlignment="1" pivotButton="0" quotePrefix="0" xfId="0">
      <alignment horizontal="center" vertical="center"/>
    </xf>
    <xf numFmtId="0" fontId="17" fillId="0" borderId="0" applyAlignment="1" pivotButton="0" quotePrefix="0" xfId="0">
      <alignment horizontal="right" vertical="center"/>
    </xf>
    <xf numFmtId="1" fontId="18" fillId="3" borderId="2" applyAlignment="1" pivotButton="0" quotePrefix="0" xfId="0">
      <alignment horizontal="center" vertical="center"/>
    </xf>
    <xf numFmtId="165" fontId="18" fillId="3" borderId="2" applyAlignment="1" pivotButton="0" quotePrefix="0" xfId="0">
      <alignment horizontal="center" vertical="center"/>
    </xf>
    <xf numFmtId="0" fontId="12" fillId="3" borderId="2" applyAlignment="1" pivotButton="0" quotePrefix="0" xfId="0">
      <alignment horizontal="left" vertical="center"/>
    </xf>
    <xf numFmtId="0" fontId="19" fillId="5" borderId="0" applyAlignment="1" pivotButton="0" quotePrefix="0" xfId="0">
      <alignment horizontal="left" vertical="center"/>
    </xf>
    <xf numFmtId="164" fontId="11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0">
    <dxf>
      <font>
        <b val="1"/>
      </font>
      <fill>
        <patternFill patternType="solid">
          <fgColor rgb="00DDEFD8"/>
          <bgColor rgb="00DDEFD8"/>
        </patternFill>
      </fill>
    </dxf>
    <dxf>
      <fill>
        <patternFill patternType="solid">
          <fgColor rgb="00F6C7BE"/>
          <bgColor rgb="00F6C7BE"/>
        </patternFill>
      </fill>
    </dxf>
    <dxf>
      <fill>
        <patternFill patternType="solid">
          <fgColor rgb="00FCE9C8"/>
          <bgColor rgb="00FCE9C8"/>
        </patternFill>
      </fill>
    </dxf>
    <dxf>
      <fill>
        <patternFill patternType="solid">
          <fgColor rgb="00DDEFD8"/>
          <bgColor rgb="00DDEFD8"/>
        </patternFill>
      </fill>
    </dxf>
    <dxf>
      <font>
        <b val="1"/>
        <color rgb="009C2A1A"/>
      </font>
      <fill>
        <patternFill patternType="solid">
          <fgColor rgb="00F6C7BE"/>
          <bgColor rgb="00F6C7BE"/>
        </patternFill>
      </fill>
    </dxf>
    <dxf>
      <fill>
        <patternFill patternType="solid">
          <fgColor rgb="00FFF4D6"/>
          <bgColor rgb="00FFF4D6"/>
        </patternFill>
      </fill>
    </dxf>
    <dxf>
      <font>
        <b val="1"/>
      </font>
      <fill>
        <patternFill patternType="solid">
          <fgColor rgb="00FFE08A"/>
          <bgColor rgb="00FFE08A"/>
        </patternFill>
      </fill>
    </dxf>
    <dxf>
      <font>
        <b val="1"/>
      </font>
      <fill>
        <patternFill patternType="solid">
          <fgColor rgb="00F6C7BE"/>
          <bgColor rgb="00F6C7BE"/>
        </patternFill>
      </fill>
    </dxf>
    <dxf>
      <fill>
        <patternFill patternType="solid">
          <fgColor rgb="00FFE08A"/>
          <bgColor rgb="00FFE08A"/>
        </patternFill>
      </fill>
    </dxf>
    <dxf>
      <fill>
        <patternFill patternType="solid">
          <fgColor rgb="00F8CBA0"/>
          <bgColor rgb="00F8CBA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收入、归母净利与自由现金流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'财务'!B6</f>
            </strRef>
          </tx>
          <spPr>
            <a:solidFill xmlns:a="http://schemas.openxmlformats.org/drawingml/2006/main">
              <a:srgbClr val="9D4616"/>
            </a:solidFill>
            <a:ln xmlns:a="http://schemas.openxmlformats.org/drawingml/2006/main">
              <a:solidFill>
                <a:srgbClr val="9D4616"/>
              </a:solidFill>
              <a:prstDash val="solid"/>
            </a:ln>
          </spPr>
          <cat>
            <numRef>
              <f>'财务'!$C$4:$G$4</f>
            </numRef>
          </cat>
          <val>
            <numRef>
              <f>'财务'!$C$6:$G$6</f>
            </numRef>
          </val>
        </ser>
        <ser>
          <idx val="1"/>
          <order val="1"/>
          <tx>
            <strRef>
              <f>'财务'!B13</f>
            </strRef>
          </tx>
          <spPr>
            <a:solidFill xmlns:a="http://schemas.openxmlformats.org/drawingml/2006/main">
              <a:srgbClr val="E6964F"/>
            </a:solidFill>
            <a:ln xmlns:a="http://schemas.openxmlformats.org/drawingml/2006/main">
              <a:solidFill>
                <a:srgbClr val="E6964F"/>
              </a:solidFill>
              <a:prstDash val="solid"/>
            </a:ln>
          </spPr>
          <cat>
            <numRef>
              <f>'财务'!$C$4:$G$4</f>
            </numRef>
          </cat>
          <val>
            <numRef>
              <f>'财务'!$C$13:$G$13</f>
            </numRef>
          </val>
        </ser>
        <ser>
          <idx val="2"/>
          <order val="2"/>
          <tx>
            <strRef>
              <f>'财务'!B44</f>
            </strRef>
          </tx>
          <spPr>
            <a:solidFill xmlns:a="http://schemas.openxmlformats.org/drawingml/2006/main">
              <a:srgbClr val="6B8E7F"/>
            </a:solidFill>
            <a:ln xmlns:a="http://schemas.openxmlformats.org/drawingml/2006/main">
              <a:solidFill>
                <a:srgbClr val="6B8E7F"/>
              </a:solidFill>
              <a:prstDash val="solid"/>
            </a:ln>
          </spPr>
          <cat>
            <numRef>
              <f>'财务'!$C$4:$G$4</f>
            </numRef>
          </cat>
          <val>
            <numRef>
              <f>'财务'!$C$44:$G$44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金额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收入、归母净利与自由现金流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'例-财务'!B6</f>
            </strRef>
          </tx>
          <spPr>
            <a:solidFill xmlns:a="http://schemas.openxmlformats.org/drawingml/2006/main">
              <a:srgbClr val="9D4616"/>
            </a:solidFill>
            <a:ln xmlns:a="http://schemas.openxmlformats.org/drawingml/2006/main">
              <a:solidFill>
                <a:srgbClr val="9D4616"/>
              </a:solidFill>
              <a:prstDash val="solid"/>
            </a:ln>
          </spPr>
          <cat>
            <numRef>
              <f>'例-财务'!$C$4:$G$4</f>
            </numRef>
          </cat>
          <val>
            <numRef>
              <f>'例-财务'!$C$6:$G$6</f>
            </numRef>
          </val>
        </ser>
        <ser>
          <idx val="1"/>
          <order val="1"/>
          <tx>
            <strRef>
              <f>'例-财务'!B13</f>
            </strRef>
          </tx>
          <spPr>
            <a:solidFill xmlns:a="http://schemas.openxmlformats.org/drawingml/2006/main">
              <a:srgbClr val="E6964F"/>
            </a:solidFill>
            <a:ln xmlns:a="http://schemas.openxmlformats.org/drawingml/2006/main">
              <a:solidFill>
                <a:srgbClr val="E6964F"/>
              </a:solidFill>
              <a:prstDash val="solid"/>
            </a:ln>
          </spPr>
          <cat>
            <numRef>
              <f>'例-财务'!$C$4:$G$4</f>
            </numRef>
          </cat>
          <val>
            <numRef>
              <f>'例-财务'!$C$13:$G$13</f>
            </numRef>
          </val>
        </ser>
        <ser>
          <idx val="2"/>
          <order val="2"/>
          <tx>
            <strRef>
              <f>'例-财务'!B44</f>
            </strRef>
          </tx>
          <spPr>
            <a:solidFill xmlns:a="http://schemas.openxmlformats.org/drawingml/2006/main">
              <a:srgbClr val="6B8E7F"/>
            </a:solidFill>
            <a:ln xmlns:a="http://schemas.openxmlformats.org/drawingml/2006/main">
              <a:solidFill>
                <a:srgbClr val="6B8E7F"/>
              </a:solidFill>
              <a:prstDash val="solid"/>
            </a:ln>
          </spPr>
          <cat>
            <numRef>
              <f>'例-财务'!$C$4:$G$4</f>
            </numRef>
          </cat>
          <val>
            <numRef>
              <f>'例-财务'!$C$44:$G$44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人民币 亿元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69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69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de1469.com/glossary/free-cash-flow.html?src=tpl-fund" TargetMode="External" Id="rId1"/><Relationship Type="http://schemas.openxmlformats.org/officeDocument/2006/relationships/hyperlink" Target="https://trade1469.com/glossary/dcf.html?src=tpl-fund" TargetMode="External" Id="rId2"/><Relationship Type="http://schemas.openxmlformats.org/officeDocument/2006/relationships/hyperlink" Target="https://trade1469.com/glossary/terminal-value.html?src=tpl-fund" TargetMode="External" Id="rId3"/><Relationship Type="http://schemas.openxmlformats.org/officeDocument/2006/relationships/hyperlink" Target="https://trade1469.com/glossary/cash-conversion.html?src=tpl-fund" TargetMode="External" Id="rId4"/><Relationship Type="http://schemas.openxmlformats.org/officeDocument/2006/relationships/hyperlink" Target="https://trade1469.com/glossary/roe.html?src=tpl-fund" TargetMode="External" Id="rId5"/><Relationship Type="http://schemas.openxmlformats.org/officeDocument/2006/relationships/hyperlink" Target="https://trade1469.com/glossary/net-profit-recurring.html?src=tpl-fund" TargetMode="External" Id="rId6"/><Relationship Type="http://schemas.openxmlformats.org/officeDocument/2006/relationships/hyperlink" Target="https://trade1469.com/glossary/?src=tpl-fund" TargetMode="External" Id="rId7"/><Relationship Type="http://schemas.openxmlformats.org/officeDocument/2006/relationships/hyperlink" Target="https://trade1469.com/docs/us-stock/?src=tpl-fund" TargetMode="External" Id="rId8"/><Relationship Type="http://schemas.openxmlformats.org/officeDocument/2006/relationships/hyperlink" Target="https://trade1469.com/docs/risk/?src=tpl-fund" TargetMode="External" Id="rId9"/><Relationship Type="http://schemas.openxmlformats.org/officeDocument/2006/relationships/hyperlink" Target="https://trade1469.com/xinfa/judge-process-not-outcome.html?src=tpl-fund" TargetMode="External" Id="rId10"/><Relationship Type="http://schemas.openxmlformats.org/officeDocument/2006/relationships/hyperlink" Target="https://trade1469.com/templates/stock-research/?src=tpl-fund" TargetMode="External" Id="rId1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B1:D6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34" customWidth="1" min="3" max="3"/>
    <col width="52" customWidth="1" min="4" max="4"/>
  </cols>
  <sheetData>
    <row r="1" ht="34" customHeight="1">
      <c r="B1" s="1" t="inlineStr">
        <is>
          <t>基本面投研模板</t>
        </is>
      </c>
    </row>
    <row r="2">
      <c r="B2" s="2" t="inlineStr">
        <is>
          <t>TradeLearn · XtradingTime 交易内训 · v1.0 · A股、港股、美股通用 · 免费使用，可以按自己的习惯改</t>
        </is>
      </c>
    </row>
    <row r="4" ht="24" customHeight="1">
      <c r="B4" s="3" t="inlineStr">
        <is>
          <t>这份表管什么</t>
        </is>
      </c>
      <c r="C4" s="4" t="n"/>
      <c r="D4" s="4" t="n"/>
    </row>
    <row r="5" ht="32" customHeight="1">
      <c r="B5" s="5" t="inlineStr">
        <is>
          <t>研究一家公司，最后要落到一页纸：为什么买、出现什么说明我错了、多少钱买、多少钱卖。这份表从生意、财务、估值、风险一路填下来，最后自动汇总到「备忘录」。</t>
        </is>
      </c>
    </row>
    <row r="6" ht="32" customHeight="1">
      <c r="B6" s="5" t="inlineStr">
        <is>
          <t>估值里每个数都是假设。这张表不是用来算出一个「准确价格」，而是看清现在的股价里市场押了多少增长，再判断你同不同意。</t>
        </is>
      </c>
    </row>
    <row r="7" ht="24" customHeight="1">
      <c r="B7" s="3" t="inlineStr">
        <is>
          <t>每张表干什么</t>
        </is>
      </c>
      <c r="C7" s="4" t="n"/>
      <c r="D7" s="4" t="n"/>
    </row>
    <row r="8" ht="18" customHeight="1">
      <c r="B8" s="6" t="inlineStr">
        <is>
          <t>表</t>
        </is>
      </c>
      <c r="C8" s="6" t="inlineStr">
        <is>
          <t>什么时候填</t>
        </is>
      </c>
      <c r="D8" s="6" t="inlineStr">
        <is>
          <t>填什么</t>
        </is>
      </c>
    </row>
    <row r="9" ht="32" customHeight="1">
      <c r="B9" s="7" t="inlineStr">
        <is>
          <t>备忘录</t>
        </is>
      </c>
      <c r="C9" s="8" t="inlineStr">
        <is>
          <t>最后看，定期更新</t>
        </is>
      </c>
      <c r="D9" s="8" t="inlineStr">
        <is>
          <t>结论、买入理由与证伪条件、估值区间、买卖纪律、前三大风险、下一个要验证的事</t>
        </is>
      </c>
    </row>
    <row r="10" ht="32" customHeight="1">
      <c r="B10" s="7" t="inlineStr">
        <is>
          <t>生意</t>
        </is>
      </c>
      <c r="C10" s="8" t="inlineStr">
        <is>
          <t>第一遍研究</t>
        </is>
      </c>
      <c r="D10" s="8" t="inlineStr">
        <is>
          <t>怎么赚钱、收入结构、客户、行业格局、护城河、管理层说到做到没有</t>
        </is>
      </c>
    </row>
    <row r="11" ht="32" customHeight="1">
      <c r="B11" s="7" t="inlineStr">
        <is>
          <t>财务</t>
        </is>
      </c>
      <c r="C11" s="8" t="inlineStr">
        <is>
          <t>年报出来后</t>
        </is>
      </c>
      <c r="D11" s="8" t="inlineStr">
        <is>
          <t>五年利润表、资产负债表、现金流量表摘要，比率和财报红旗自动算</t>
        </is>
      </c>
    </row>
    <row r="12" ht="32" customHeight="1">
      <c r="B12" s="7" t="inlineStr">
        <is>
          <t>估值</t>
        </is>
      </c>
      <c r="C12" s="8" t="inlineStr">
        <is>
          <t>财务填完后</t>
        </is>
      </c>
      <c r="D12" s="8" t="inlineStr">
        <is>
          <t>三种情景的现金流折现、敏感性表、反推现价押的增长、可比公司</t>
        </is>
      </c>
    </row>
    <row r="13" ht="18" customHeight="1">
      <c r="B13" s="7" t="inlineStr">
        <is>
          <t>风险与跟踪</t>
        </is>
      </c>
      <c r="C13" s="8" t="inlineStr">
        <is>
          <t>每个季度</t>
        </is>
      </c>
      <c r="D13" s="8" t="inlineStr">
        <is>
          <t>风险打分、财报和事件日历、每次复核的结论</t>
        </is>
      </c>
    </row>
    <row r="14" ht="18" customHeight="1">
      <c r="B14" s="7" t="inlineStr">
        <is>
          <t>研究池</t>
        </is>
      </c>
      <c r="C14" s="8" t="inlineStr">
        <is>
          <t>同时看几家时</t>
        </is>
      </c>
      <c r="D14" s="8" t="inlineStr">
        <is>
          <t>一行一家：现价、价值、安全边际、证伪状态、下次复核日</t>
        </is>
      </c>
    </row>
    <row r="15" ht="18" customHeight="1">
      <c r="B15" s="7" t="inlineStr">
        <is>
          <t>示例开头的表</t>
        </is>
      </c>
      <c r="C15" s="8" t="inlineStr">
        <is>
          <t>先看一遍</t>
        </is>
      </c>
      <c r="D15" s="8" t="inlineStr">
        <is>
          <t>虚构公司「示例公司甲」的完整填法，可以直接删掉</t>
        </is>
      </c>
    </row>
    <row r="16" ht="24" customHeight="1">
      <c r="B16" s="3" t="inlineStr">
        <is>
          <t>五步用起来</t>
        </is>
      </c>
      <c r="C16" s="4" t="n"/>
      <c r="D16" s="4" t="n"/>
    </row>
    <row r="17" ht="32" customHeight="1">
      <c r="B17" s="9" t="inlineStr">
        <is>
          <t>1. 财务</t>
        </is>
      </c>
      <c r="C17" s="5" t="inlineStr">
        <is>
          <t>从年报抄五年数，单位写在表头。A股用合并报表的归母数和扣非数；美股用年报（10-K）里的 GAAP 数，公司自己的调整后口径另记；港股按年报。</t>
        </is>
      </c>
    </row>
    <row r="18" ht="18" customHeight="1">
      <c r="B18" s="9" t="inlineStr">
        <is>
          <t>2. 生意</t>
        </is>
      </c>
      <c r="C18" s="5" t="inlineStr">
        <is>
          <t>先用一句话写清它怎么赚钱，写不出来就先别往下做。护城河每一条都要写证据，最好是数字。</t>
        </is>
      </c>
    </row>
    <row r="19" ht="32" customHeight="1">
      <c r="B19" s="9" t="inlineStr">
        <is>
          <t>3. 估值</t>
        </is>
      </c>
      <c r="C19" s="5" t="inlineStr">
        <is>
          <t>填现价、股本、现金和有息负债，选一个基期自由现金流，再写三种情景的增速和折现率。看敏感性表和「现价大约押的前 5 年增速」。</t>
        </is>
      </c>
    </row>
    <row r="20" ht="18" customHeight="1">
      <c r="B20" s="9" t="inlineStr">
        <is>
          <t>4. 风险与跟踪</t>
        </is>
      </c>
      <c r="C20" s="5" t="inlineStr">
        <is>
          <t>列风险、写早期信号；把下一次财报、分红、解禁的日期填进日历，写清你预期看到什么数。</t>
        </is>
      </c>
    </row>
    <row r="21" ht="32" customHeight="1">
      <c r="B21" s="9" t="inlineStr">
        <is>
          <t>5. 备忘录</t>
        </is>
      </c>
      <c r="C21" s="5" t="inlineStr">
        <is>
          <t>写结论、三条买入理由和各自的证伪条件、买卖纪律。每次复核在「风险与跟踪」最下面记一行，备忘录写清这一版变了什么。</t>
        </is>
      </c>
    </row>
    <row r="22" ht="24" customHeight="1">
      <c r="B22" s="3" t="inlineStr">
        <is>
          <t>颜色怎么认</t>
        </is>
      </c>
      <c r="C22" s="4" t="n"/>
      <c r="D22" s="4" t="n"/>
    </row>
    <row r="23" ht="32" customHeight="1">
      <c r="B23" s="5" t="inlineStr">
        <is>
          <t>蓝字是你填的；灰底黑字是公式，别改；灰底绿字是从别的表引用过来的。黄底、红底是提醒：两周内要看的事、出现苗头的风险、财报红旗。</t>
        </is>
      </c>
    </row>
    <row r="24" ht="24" customHeight="1">
      <c r="B24" s="3" t="inlineStr">
        <is>
          <t>几个口径</t>
        </is>
      </c>
      <c r="C24" s="4" t="n"/>
      <c r="D24" s="4" t="n"/>
    </row>
    <row r="25" ht="32" customHeight="1">
      <c r="B25" s="9" t="inlineStr">
        <is>
          <t>自由现金流</t>
        </is>
      </c>
      <c r="C25" s="5" t="inlineStr">
        <is>
          <t>这里用简化口径：经营活动现金流净额 − 资本开支。适合现金流稳定的公司。银行、保险、强周期股在景气顶点、还在亏钱的公司，不适合用这张表的现金流折现。</t>
        </is>
      </c>
    </row>
    <row r="26" ht="46" customHeight="1">
      <c r="B26" s="9" t="inlineStr">
        <is>
          <t>三段现金流折现</t>
        </is>
      </c>
      <c r="C26" s="5" t="inlineStr">
        <is>
          <t>前 5 年按一个增速，第 6～10 年按第二个增速，第 10 年以后按永续增长率。每股价值 =（10 年现值合计 + 终值现值 + 现金 − 有息负债）÷ 总股本。没算少数股东权益和期权稀释，差别大的公司要自己调。</t>
        </is>
      </c>
    </row>
    <row r="27" ht="18" customHeight="1">
      <c r="B27" s="9" t="inlineStr">
        <is>
          <t>终值占比</t>
        </is>
      </c>
      <c r="C27" s="5" t="inlineStr">
        <is>
          <t>终值现值占经营价值的比例。超过七成，说明估值主要押在 10 年以后，假设稍变结果就变很多。</t>
        </is>
      </c>
    </row>
    <row r="28" ht="32" customHeight="1">
      <c r="B28" s="9" t="inlineStr">
        <is>
          <t>安全边际</t>
        </is>
      </c>
      <c r="C28" s="5" t="inlineStr">
        <is>
          <t>（基准每股价值 − 现价）÷ 基准每股价值。买入价上限 = 基准每股价值 ×（1 − 你要求的安全边际）。</t>
        </is>
      </c>
    </row>
    <row r="29" ht="32" customHeight="1">
      <c r="B29" s="9" t="inlineStr">
        <is>
          <t>反推增长</t>
        </is>
      </c>
      <c r="C29" s="5" t="inlineStr">
        <is>
          <t>保持基准情景的其他假设不变，看前 5 年增速要多少，算出来的每股价值才等于现价。这比算「值多少钱」好判断：问自己它能不能连续 5 年做到这个增速。</t>
        </is>
      </c>
    </row>
    <row r="30" ht="32" customHeight="1">
      <c r="B30" s="9" t="inlineStr">
        <is>
          <t>ROE</t>
        </is>
      </c>
      <c r="C30" s="5" t="inlineStr">
        <is>
          <t>归母净利润 ÷ 平均归母股东权益（期初期末平均）。高 ROE 先拆：净利率、周转、杠杆，靠借钱撑起来的要打折看。</t>
        </is>
      </c>
    </row>
    <row r="31" ht="32" customHeight="1">
      <c r="B31" s="9" t="inlineStr">
        <is>
          <t>收现比</t>
        </is>
      </c>
      <c r="C31" s="5" t="inlineStr">
        <is>
          <t>经营活动现金流净额 ÷ 归母净利润。长期在 1 以上说明利润收得回现金；连续低于 0.8，去看应收和存货。</t>
        </is>
      </c>
    </row>
    <row r="32" ht="32" customHeight="1">
      <c r="B32" s="9" t="inlineStr">
        <is>
          <t>单位</t>
        </is>
      </c>
      <c r="C32" s="5" t="inlineStr">
        <is>
          <t>金额单位和股本单位要配套：亿元配亿股，百万美元配百万股，每股数才对。港股注意报表货币和交易货币可能不一样。</t>
        </is>
      </c>
    </row>
    <row r="33" ht="24" customHeight="1">
      <c r="B33" s="3" t="inlineStr">
        <is>
          <t>常见问题</t>
        </is>
      </c>
      <c r="C33" s="4" t="n"/>
      <c r="D33" s="4" t="n"/>
    </row>
    <row r="34" ht="18" customHeight="1">
      <c r="B34" s="9" t="inlineStr">
        <is>
          <t>问：买入理由写几条？</t>
        </is>
      </c>
    </row>
    <row r="35" ht="35" customHeight="1">
      <c r="B35" s="10" t="inlineStr">
        <is>
          <t>答：三条以内。每条都配一个证伪条件，也就是「出现什么就说明我错了」，最好是能在财报里查到的数。写不出证伪条件的理由，通常只是感觉。</t>
        </is>
      </c>
    </row>
    <row r="36" ht="18" customHeight="1">
      <c r="B36" s="9" t="inlineStr">
        <is>
          <t>问：折现率填多少？</t>
        </is>
      </c>
    </row>
    <row r="37" ht="35" customHeight="1">
      <c r="B37" s="10" t="inlineStr">
        <is>
          <t>答：没有标准答案。常见做法是用你要求的年回报率，或者无风险利率加一个风险补偿。关键是前后一致，然后看敏感性表：差一个点，结论会不会反过来。</t>
        </is>
      </c>
    </row>
    <row r="38" ht="18" customHeight="1">
      <c r="B38" s="9" t="inlineStr">
        <is>
          <t>问：好公司但价格没到买入线，怎么办？</t>
        </is>
      </c>
    </row>
    <row r="39" ht="21" customHeight="1">
      <c r="B39" s="10" t="inlineStr">
        <is>
          <t>答：动作选「等价格」，把买入价上限写进研究池。到价后先看证伪条件有没有出现，再按分批计划买。</t>
        </is>
      </c>
    </row>
    <row r="40" ht="18" customHeight="1">
      <c r="B40" s="9" t="inlineStr">
        <is>
          <t>问：什么时候卖？</t>
        </is>
      </c>
    </row>
    <row r="41" ht="35" customHeight="1">
      <c r="B41" s="10" t="inlineStr">
        <is>
          <t>答：事先写好：证伪条件出现、价格超过乐观情景的价值、有明显更好的机会、仓位超过上限。卖的时候在复核记录里写清是哪一条。</t>
        </is>
      </c>
    </row>
    <row r="42" ht="18" customHeight="1">
      <c r="B42" s="9" t="inlineStr">
        <is>
          <t>问：港股、美股能用吗？</t>
        </is>
      </c>
    </row>
    <row r="43" ht="21" customHeight="1">
      <c r="B43" s="10" t="inlineStr">
        <is>
          <t>答：能。货币和单位写清楚就行。美股的调整后利润和 GAAP 利润分开记，估值用自由现金流，不受这个影响。</t>
        </is>
      </c>
    </row>
    <row r="44" ht="18" customHeight="1">
      <c r="B44" s="9" t="inlineStr">
        <is>
          <t>问：算出来的价值和现价差很多，是不是市场错了？</t>
        </is>
      </c>
    </row>
    <row r="45" ht="35" customHeight="1">
      <c r="B45" s="10" t="inlineStr">
        <is>
          <t>答：先怀疑自己的假设。看终值占比是不是太高、增速是不是外推了最好的几年、现金流里有没有一次性项目。差得多又查不出原因，就少买或不买。</t>
        </is>
      </c>
    </row>
    <row r="46" ht="24" customHeight="1">
      <c r="B46" s="3" t="inlineStr">
        <is>
          <t>接着学（免费）</t>
        </is>
      </c>
      <c r="C46" s="4" t="n"/>
      <c r="D46" s="4" t="n"/>
    </row>
    <row r="47" ht="18" customHeight="1">
      <c r="B47" s="5" t="inlineStr">
        <is>
          <t>词条：自由现金流</t>
        </is>
      </c>
      <c r="D47" s="11" t="inlineStr">
        <is>
          <t>trade1469.com/glossary/free-cash-flow.html</t>
        </is>
      </c>
    </row>
    <row r="48" ht="18" customHeight="1">
      <c r="B48" s="5" t="inlineStr">
        <is>
          <t>词条：DCF 估值（为什么要反过来用）</t>
        </is>
      </c>
      <c r="D48" s="11" t="inlineStr">
        <is>
          <t>trade1469.com/glossary/dcf.html</t>
        </is>
      </c>
    </row>
    <row r="49" ht="18" customHeight="1">
      <c r="B49" s="5" t="inlineStr">
        <is>
          <t>词条：永续增长与终值</t>
        </is>
      </c>
      <c r="D49" s="11" t="inlineStr">
        <is>
          <t>trade1469.com/glossary/terminal-value.html</t>
        </is>
      </c>
    </row>
    <row r="50" ht="18" customHeight="1">
      <c r="B50" s="5" t="inlineStr">
        <is>
          <t>词条：收现比</t>
        </is>
      </c>
      <c r="D50" s="11" t="inlineStr">
        <is>
          <t>trade1469.com/glossary/cash-conversion.html</t>
        </is>
      </c>
    </row>
    <row r="51" ht="18" customHeight="1">
      <c r="B51" s="5" t="inlineStr">
        <is>
          <t>词条：净资产收益率 ROE 与杜邦分解</t>
        </is>
      </c>
      <c r="D51" s="11" t="inlineStr">
        <is>
          <t>trade1469.com/glossary/roe.html</t>
        </is>
      </c>
    </row>
    <row r="52" ht="18" customHeight="1">
      <c r="B52" s="5" t="inlineStr">
        <is>
          <t>词条：扣非净利润</t>
        </is>
      </c>
      <c r="D52" s="11" t="inlineStr">
        <is>
          <t>trade1469.com/glossary/net-profit-recurring.html</t>
        </is>
      </c>
    </row>
    <row r="53" ht="18" customHeight="1">
      <c r="B53" s="5" t="inlineStr">
        <is>
          <t>术语词典：基本面与财务一共 50 个词条</t>
        </is>
      </c>
      <c r="D53" s="11" t="inlineStr">
        <is>
          <t>trade1469.com/glossary/</t>
        </is>
      </c>
    </row>
    <row r="54" ht="18" customHeight="1">
      <c r="B54" s="5" t="inlineStr">
        <is>
          <t>美股学习路线：财报日、盘前盘后和跳空</t>
        </is>
      </c>
      <c r="D54" s="11" t="inlineStr">
        <is>
          <t>trade1469.com/docs/us-stock/</t>
        </is>
      </c>
    </row>
    <row r="55" ht="18" customHeight="1">
      <c r="B55" s="5" t="inlineStr">
        <is>
          <t>风控与仓位：一只股票放多少</t>
        </is>
      </c>
      <c r="D55" s="11" t="inlineStr">
        <is>
          <t>trade1469.com/docs/risk/</t>
        </is>
      </c>
    </row>
    <row r="56" ht="18" customHeight="1">
      <c r="B56" s="5" t="inlineStr">
        <is>
          <t>交易心法：按过程评价，不按结果评价</t>
        </is>
      </c>
      <c r="D56" s="11" t="inlineStr">
        <is>
          <t>trade1469.com/xinfa/judge-process-not-outcome.html</t>
        </is>
      </c>
    </row>
    <row r="57" ht="24" customHeight="1">
      <c r="B57" s="3" t="inlineStr">
        <is>
          <t>说明</t>
        </is>
      </c>
      <c r="C57" s="4" t="n"/>
      <c r="D57" s="4" t="n"/>
    </row>
    <row r="58" ht="32" customHeight="1">
      <c r="B58" s="5" t="inlineStr">
        <is>
          <t>本表只用于研究记录和学习，不构成投资建议，不推荐任何股票。示例公司甲、同行和研究池里的公司全部虚构，财务数字和价格都是编的，只演示填法。</t>
        </is>
      </c>
    </row>
    <row r="60">
      <c r="B60" s="12" t="inlineStr">
        <is>
          <t>TradeLearn · XtradingTime 交易内训 · v1.0</t>
        </is>
      </c>
      <c r="D60" s="11" t="inlineStr">
        <is>
          <t>更新版与使用教程：trade1469.com/templates/stock-research/</t>
        </is>
      </c>
    </row>
  </sheetData>
  <mergeCells count="49">
    <mergeCell ref="B42:D42"/>
    <mergeCell ref="B47:C47"/>
    <mergeCell ref="B54:C54"/>
    <mergeCell ref="C30:D30"/>
    <mergeCell ref="B23:D23"/>
    <mergeCell ref="B1:D1"/>
    <mergeCell ref="B57:D57"/>
    <mergeCell ref="B44:D44"/>
    <mergeCell ref="B56:C56"/>
    <mergeCell ref="C26:D26"/>
    <mergeCell ref="B38:D38"/>
    <mergeCell ref="B34:D34"/>
    <mergeCell ref="C20:D20"/>
    <mergeCell ref="B52:C52"/>
    <mergeCell ref="B48:C48"/>
    <mergeCell ref="C29:D29"/>
    <mergeCell ref="B37:D37"/>
    <mergeCell ref="C25:D25"/>
    <mergeCell ref="B40:D40"/>
    <mergeCell ref="C31:D31"/>
    <mergeCell ref="B6:D6"/>
    <mergeCell ref="B24:D24"/>
    <mergeCell ref="B53:C53"/>
    <mergeCell ref="B33:D33"/>
    <mergeCell ref="B5:D5"/>
    <mergeCell ref="B36:D36"/>
    <mergeCell ref="C21:D21"/>
    <mergeCell ref="B43:D43"/>
    <mergeCell ref="B45:D45"/>
    <mergeCell ref="B41:D41"/>
    <mergeCell ref="C27:D27"/>
    <mergeCell ref="B4:D4"/>
    <mergeCell ref="B35:D35"/>
    <mergeCell ref="B7:D7"/>
    <mergeCell ref="C17:D17"/>
    <mergeCell ref="B49:C49"/>
    <mergeCell ref="B16:D16"/>
    <mergeCell ref="B55:C55"/>
    <mergeCell ref="C32:D32"/>
    <mergeCell ref="B46:D46"/>
    <mergeCell ref="B22:D22"/>
    <mergeCell ref="B51:C51"/>
    <mergeCell ref="C19:D19"/>
    <mergeCell ref="B58:D58"/>
    <mergeCell ref="C28:D28"/>
    <mergeCell ref="B50:C50"/>
    <mergeCell ref="C18:D18"/>
    <mergeCell ref="B39:D39"/>
    <mergeCell ref="B2:D2"/>
  </mergeCells>
  <hyperlinks>
    <hyperlink xmlns:r="http://schemas.openxmlformats.org/officeDocument/2006/relationships" ref="D47" r:id="rId1"/>
    <hyperlink xmlns:r="http://schemas.openxmlformats.org/officeDocument/2006/relationships" ref="D48" r:id="rId2"/>
    <hyperlink xmlns:r="http://schemas.openxmlformats.org/officeDocument/2006/relationships" ref="D49" r:id="rId3"/>
    <hyperlink xmlns:r="http://schemas.openxmlformats.org/officeDocument/2006/relationships" ref="D50" r:id="rId4"/>
    <hyperlink xmlns:r="http://schemas.openxmlformats.org/officeDocument/2006/relationships" ref="D51" r:id="rId5"/>
    <hyperlink xmlns:r="http://schemas.openxmlformats.org/officeDocument/2006/relationships" ref="D52" r:id="rId6"/>
    <hyperlink xmlns:r="http://schemas.openxmlformats.org/officeDocument/2006/relationships" ref="D53" r:id="rId7"/>
    <hyperlink xmlns:r="http://schemas.openxmlformats.org/officeDocument/2006/relationships" ref="D54" r:id="rId8"/>
    <hyperlink xmlns:r="http://schemas.openxmlformats.org/officeDocument/2006/relationships" ref="D55" r:id="rId9"/>
    <hyperlink xmlns:r="http://schemas.openxmlformats.org/officeDocument/2006/relationships" ref="D56" r:id="rId10"/>
    <hyperlink xmlns:r="http://schemas.openxmlformats.org/officeDocument/2006/relationships" ref="D60" r:id="rId11"/>
  </hyperlink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</worksheet>
</file>

<file path=xl/worksheets/sheet2.xml><?xml version="1.0" encoding="utf-8"?>
<worksheet xmlns="http://schemas.openxmlformats.org/spreadsheetml/2006/main">
  <sheetPr>
    <tabColor rgb="007C350E"/>
    <outlinePr summaryBelow="1" summaryRight="1"/>
    <pageSetUpPr fitToPage="1"/>
  </sheetPr>
  <dimension ref="A1:I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7" customWidth="1" min="9" max="9"/>
  </cols>
  <sheetData>
    <row r="1" ht="30" customHeight="1">
      <c r="A1" s="13" t="inlineStr">
        <is>
          <t>一页投资备忘录</t>
        </is>
      </c>
      <c r="G1" s="14" t="inlineStr">
        <is>
          <t>TradeLearn · XtradingTime 交易内训</t>
        </is>
      </c>
    </row>
    <row r="2" ht="20" customHeight="1">
      <c r="A2" s="2" t="inlineStr">
        <is>
          <t>先写结论和证伪条件，再看估值。写不出证伪条件的买入理由，不算理由。灰底绿字从其他页自动带过来。</t>
        </is>
      </c>
    </row>
    <row r="4">
      <c r="B4" s="15" t="inlineStr">
        <is>
          <t>公司</t>
        </is>
      </c>
      <c r="C4" s="16" t="n"/>
      <c r="D4" s="16" t="n"/>
      <c r="E4" s="17" t="inlineStr">
        <is>
          <t>代码</t>
        </is>
      </c>
      <c r="F4" s="18" t="n"/>
      <c r="G4" s="17" t="inlineStr">
        <is>
          <t>市场</t>
        </is>
      </c>
      <c r="H4" s="18" t="n"/>
      <c r="I4" s="18" t="n"/>
    </row>
    <row r="5">
      <c r="B5" s="15" t="inlineStr">
        <is>
          <t>行业</t>
        </is>
      </c>
      <c r="C5" s="16" t="n"/>
      <c r="D5" s="16" t="n"/>
      <c r="E5" s="17" t="inlineStr">
        <is>
          <t>货币与单位</t>
        </is>
      </c>
      <c r="F5" s="19" t="str">
        <f>IF('财务'!C3="","",'财务'!C3)</f>
        <v/>
      </c>
      <c r="G5" s="17" t="inlineStr">
        <is>
          <t>研究日期</t>
        </is>
      </c>
      <c r="H5" s="20" t="n"/>
      <c r="I5" s="20" t="n"/>
    </row>
    <row r="6">
      <c r="B6" s="15" t="inlineStr">
        <is>
          <t>版本</t>
        </is>
      </c>
      <c r="C6" s="18" t="n"/>
      <c r="D6" s="17" t="inlineStr">
        <is>
          <t>当前动作</t>
        </is>
      </c>
      <c r="E6" s="21" t="n"/>
      <c r="F6" s="17" t="inlineStr">
        <is>
          <t>下次复核</t>
        </is>
      </c>
      <c r="G6" s="22" t="str">
        <f>IF(COUNT('风险与跟踪'!$O$20:$O$31)=0,"",MIN('风险与跟踪'!$O$20:$O$31))</f>
        <v/>
      </c>
      <c r="H6" s="23" t="inlineStr">
        <is>
          <t>按跟踪日历里最近的一件事</t>
        </is>
      </c>
      <c r="I6" s="23" t="n"/>
    </row>
    <row r="8" ht="36" customHeight="1">
      <c r="B8" s="15" t="inlineStr">
        <is>
          <t>一句话结论</t>
        </is>
      </c>
      <c r="C8" s="24" t="n"/>
      <c r="D8" s="24" t="n"/>
      <c r="E8" s="24" t="n"/>
      <c r="F8" s="24" t="n"/>
      <c r="G8" s="24" t="n"/>
      <c r="H8" s="24" t="n"/>
      <c r="I8" s="24" t="n"/>
    </row>
    <row r="10">
      <c r="B10" s="25" t="inlineStr">
        <is>
          <t>估值与价格（从估值页自动取）</t>
        </is>
      </c>
    </row>
    <row r="11">
      <c r="B11" s="26" t="inlineStr">
        <is>
          <t>现价</t>
        </is>
      </c>
      <c r="C11" s="26" t="inlineStr">
        <is>
          <t>悲观价值</t>
        </is>
      </c>
      <c r="D11" s="26" t="inlineStr">
        <is>
          <t>基准价值</t>
        </is>
      </c>
      <c r="E11" s="26" t="inlineStr">
        <is>
          <t>乐观价值</t>
        </is>
      </c>
      <c r="F11" s="26" t="inlineStr">
        <is>
          <t>安全边际</t>
        </is>
      </c>
      <c r="G11" s="26" t="inlineStr">
        <is>
          <t>买入价上限</t>
        </is>
      </c>
      <c r="H11" s="26" t="inlineStr">
        <is>
          <t>押的增长</t>
        </is>
      </c>
      <c r="I11" s="26" t="inlineStr">
        <is>
          <t>位置</t>
        </is>
      </c>
    </row>
    <row r="12" ht="22" customHeight="1">
      <c r="B12" s="27" t="str">
        <f>IF('估值'!$C$5="","",'估值'!$C$5)</f>
        <v/>
      </c>
      <c r="C12" s="28" t="str">
        <f>IF('估值'!C38="","",'估值'!C38)</f>
        <v/>
      </c>
      <c r="D12" s="27" t="str">
        <f>IF('估值'!D38="","",'估值'!D38)</f>
        <v/>
      </c>
      <c r="E12" s="28" t="str">
        <f>IF('估值'!E38="","",'估值'!E38)</f>
        <v/>
      </c>
      <c r="F12" s="29" t="str">
        <f>IF('估值'!$C$46="","",'估值'!$C$46)</f>
        <v/>
      </c>
      <c r="G12" s="27" t="str">
        <f>IF('估值'!$C$45="","",'估值'!$C$45)</f>
        <v/>
      </c>
      <c r="H12" s="19" t="str">
        <f>IF('估值'!$C$48="","",'估值'!$C$48)</f>
        <v/>
      </c>
      <c r="I12" s="30" t="str">
        <f>IF(OR(NOT(ISNUMBER(B12)),NOT(ISNUMBER(G12))),"",IF(B12&lt;=G12,"到买入线",IF(B12&lt;=D12,"低于基准，边际不够",IF(B12&lt;=E12,"高于基准价值","高于乐观价值"))))</f>
        <v/>
      </c>
    </row>
    <row r="14">
      <c r="B14" s="25" t="inlineStr">
        <is>
          <t>关键数字（财务页最近一年）</t>
        </is>
      </c>
    </row>
    <row r="15">
      <c r="B15" s="26" t="inlineStr">
        <is>
          <t>年份</t>
        </is>
      </c>
      <c r="C15" s="26" t="inlineStr">
        <is>
          <t>收入增速</t>
        </is>
      </c>
      <c r="D15" s="26" t="inlineStr">
        <is>
          <t>毛利率</t>
        </is>
      </c>
      <c r="E15" s="26" t="inlineStr">
        <is>
          <t>ROE</t>
        </is>
      </c>
      <c r="F15" s="26" t="inlineStr">
        <is>
          <t>收现比</t>
        </is>
      </c>
      <c r="G15" s="26" t="inlineStr">
        <is>
          <t>有息负债率</t>
        </is>
      </c>
      <c r="H15" s="26" t="inlineStr">
        <is>
          <t>自由现金流</t>
        </is>
      </c>
      <c r="I15" s="26" t="inlineStr">
        <is>
          <t>财报红旗</t>
        </is>
      </c>
    </row>
    <row r="16">
      <c r="B16" s="19" t="str">
        <f>IF(COUNT('财务'!$C$6:$G$6)=0,"",INDEX('财务'!$C$4:$G$4,COUNT('财务'!$C$6:$G$6)))</f>
        <v/>
      </c>
      <c r="C16" s="29" t="str">
        <f>IF(COUNT('财务'!$C$6:$G$6)=0,"",INDEX('财务'!$C$33:$G$33,COUNT('财务'!$C$6:$G$6)))</f>
        <v/>
      </c>
      <c r="D16" s="29" t="str">
        <f>IF(COUNT('财务'!$C$6:$G$6)=0,"",INDEX('财务'!$C$34:$G$34,COUNT('财务'!$C$6:$G$6)))</f>
        <v/>
      </c>
      <c r="E16" s="29" t="str">
        <f>IF(COUNT('财务'!$C$6:$G$6)=0,"",INDEX('财务'!$C$39:$G$39,COUNT('财务'!$C$6:$G$6)))</f>
        <v/>
      </c>
      <c r="F16" s="28" t="str">
        <f>IF(COUNT('财务'!$C$6:$G$6)=0,"",INDEX('财务'!$C$43:$G$43,COUNT('财务'!$C$6:$G$6)))</f>
        <v/>
      </c>
      <c r="G16" s="29" t="str">
        <f>IF(COUNT('财务'!$C$6:$G$6)=0,"",INDEX('财务'!$C$41:$G$41,COUNT('财务'!$C$6:$G$6)))</f>
        <v/>
      </c>
      <c r="H16" s="31" t="str">
        <f>IF(COUNT('财务'!$C$6:$G$6)=0,"",INDEX('财务'!$C$44:$G$44,COUNT('财务'!$C$6:$G$6)))</f>
        <v/>
      </c>
      <c r="I16" s="19" t="str">
        <f>IF(COUNT('财务'!$C$6:$G$6)=0,"",'财务'!$E$67&amp;" 条")</f>
        <v/>
      </c>
    </row>
    <row r="18">
      <c r="B18" s="25" t="inlineStr">
        <is>
          <t>买入理由与证伪条件（三条以内）</t>
        </is>
      </c>
    </row>
    <row r="19">
      <c r="B19" s="26" t="inlineStr">
        <is>
          <t>#</t>
        </is>
      </c>
      <c r="C19" s="26" t="inlineStr">
        <is>
          <t>理由</t>
        </is>
      </c>
      <c r="D19" s="26" t="n"/>
      <c r="E19" s="26" t="inlineStr">
        <is>
          <t>证据（数字、出处）</t>
        </is>
      </c>
      <c r="F19" s="26" t="n"/>
      <c r="G19" s="26" t="inlineStr">
        <is>
          <t>证伪条件（出现就说明我错了）</t>
        </is>
      </c>
      <c r="H19" s="26" t="n"/>
      <c r="I19" s="26" t="inlineStr">
        <is>
          <t>状态</t>
        </is>
      </c>
    </row>
    <row r="20" ht="46" customHeight="1">
      <c r="B20" s="17" t="n">
        <v>1</v>
      </c>
      <c r="C20" s="32" t="n"/>
      <c r="D20" s="32" t="n"/>
      <c r="E20" s="32" t="n"/>
      <c r="F20" s="32" t="n"/>
      <c r="G20" s="32" t="n"/>
      <c r="H20" s="32" t="n"/>
      <c r="I20" s="18" t="n"/>
    </row>
    <row r="21" ht="46" customHeight="1">
      <c r="B21" s="17" t="n">
        <v>2</v>
      </c>
      <c r="C21" s="32" t="n"/>
      <c r="D21" s="32" t="n"/>
      <c r="E21" s="32" t="n"/>
      <c r="F21" s="32" t="n"/>
      <c r="G21" s="32" t="n"/>
      <c r="H21" s="32" t="n"/>
      <c r="I21" s="18" t="n"/>
    </row>
    <row r="22" ht="46" customHeight="1">
      <c r="B22" s="17" t="n">
        <v>3</v>
      </c>
      <c r="C22" s="32" t="n"/>
      <c r="D22" s="32" t="n"/>
      <c r="E22" s="32" t="n"/>
      <c r="F22" s="32" t="n"/>
      <c r="G22" s="32" t="n"/>
      <c r="H22" s="32" t="n"/>
      <c r="I22" s="18" t="n"/>
    </row>
    <row r="24">
      <c r="B24" s="25" t="inlineStr">
        <is>
          <t>买卖纪律（先写好，到时照做）</t>
        </is>
      </c>
    </row>
    <row r="25" ht="30" customHeight="1">
      <c r="B25" s="15" t="inlineStr">
        <is>
          <t>买入条件</t>
        </is>
      </c>
      <c r="C25" s="32" t="n"/>
      <c r="D25" s="32" t="n"/>
      <c r="E25" s="32" t="n"/>
      <c r="F25" s="32" t="n"/>
      <c r="G25" s="32" t="n"/>
      <c r="H25" s="32" t="n"/>
      <c r="I25" s="32" t="n"/>
    </row>
    <row r="26">
      <c r="B26" s="15" t="inlineStr">
        <is>
          <t>现在满足吗</t>
        </is>
      </c>
      <c r="C26" s="33" t="str">
        <f>IF(OR(NOT(ISNUMBER(B12)),NOT(ISNUMBER(G12))),"",IF(COUNTIF(I20:I22,"已证伪")&gt;0,"不满足：有理由已经证伪，先按卖出条件处理",IF(B12&lt;=G12,"满足：价格到了买入线，证伪条件都没出现，按分批计划执行","不满足：价格还没到买入线，继续等")))</f>
        <v/>
      </c>
      <c r="D26" s="33" t="n"/>
      <c r="E26" s="33" t="n"/>
      <c r="F26" s="33" t="n"/>
      <c r="G26" s="33" t="n"/>
      <c r="H26" s="33" t="n"/>
      <c r="I26" s="33" t="n"/>
    </row>
    <row r="27" ht="30" customHeight="1">
      <c r="B27" s="15" t="inlineStr">
        <is>
          <t>分批计划</t>
        </is>
      </c>
      <c r="C27" s="32" t="n"/>
      <c r="D27" s="32" t="n"/>
      <c r="E27" s="32" t="n"/>
      <c r="F27" s="32" t="n"/>
      <c r="G27" s="32" t="n"/>
      <c r="H27" s="32" t="n"/>
      <c r="I27" s="32" t="n"/>
    </row>
    <row r="28">
      <c r="B28" s="15" t="inlineStr">
        <is>
          <t>单只仓位上限</t>
        </is>
      </c>
      <c r="C28" s="34" t="n"/>
      <c r="D28" s="23" t="inlineStr">
        <is>
          <t>按买入成本占总资金算；到上限不再加，涨多了超过上限按卖出条件处理。</t>
        </is>
      </c>
      <c r="E28" s="23" t="n"/>
      <c r="F28" s="23" t="n"/>
      <c r="G28" s="23" t="n"/>
      <c r="H28" s="23" t="n"/>
      <c r="I28" s="23" t="n"/>
    </row>
    <row r="29" ht="30" customHeight="1">
      <c r="B29" s="15" t="inlineStr">
        <is>
          <t>卖出条件</t>
        </is>
      </c>
      <c r="C29" s="32" t="n"/>
      <c r="D29" s="32" t="n"/>
      <c r="E29" s="32" t="n"/>
      <c r="F29" s="32" t="n"/>
      <c r="G29" s="32" t="n"/>
      <c r="H29" s="32" t="n"/>
      <c r="I29" s="32" t="n"/>
    </row>
    <row r="30" ht="30" customHeight="1">
      <c r="B30" s="15" t="inlineStr">
        <is>
          <t>不做的情况</t>
        </is>
      </c>
      <c r="C30" s="32" t="n"/>
      <c r="D30" s="32" t="n"/>
      <c r="E30" s="32" t="n"/>
      <c r="F30" s="32" t="n"/>
      <c r="G30" s="32" t="n"/>
      <c r="H30" s="32" t="n"/>
      <c r="I30" s="32" t="n"/>
    </row>
    <row r="32">
      <c r="B32" s="25" t="inlineStr">
        <is>
          <t>前三大风险（从风险清单按分数取）</t>
        </is>
      </c>
    </row>
    <row r="33">
      <c r="B33" s="26" t="inlineStr">
        <is>
          <t>排名</t>
        </is>
      </c>
      <c r="C33" s="26" t="inlineStr">
        <is>
          <t>风险</t>
        </is>
      </c>
      <c r="D33" s="26" t="n"/>
      <c r="E33" s="26" t="n"/>
      <c r="F33" s="26" t="n"/>
      <c r="G33" s="26" t="inlineStr">
        <is>
          <t>分数</t>
        </is>
      </c>
      <c r="H33" s="26" t="inlineStr">
        <is>
          <t>早期信号</t>
        </is>
      </c>
      <c r="I33" s="26" t="n"/>
    </row>
    <row r="34" ht="32" customHeight="1">
      <c r="B34" s="17" t="n">
        <v>1</v>
      </c>
      <c r="C34" s="35" t="str">
        <f>IFERROR(INDEX('风险与跟踪'!$C$6:$C$15,MATCH(LARGE('风险与跟踪'!$N$6:$N$15,1),'风险与跟踪'!$N$6:$N$15,0)),"")</f>
        <v/>
      </c>
      <c r="D34" s="35" t="n"/>
      <c r="E34" s="35" t="n"/>
      <c r="F34" s="35" t="n"/>
      <c r="G34" s="36" t="str">
        <f>IFERROR(INDEX('风险与跟踪'!$I$6:$I$15,MATCH(LARGE('风险与跟踪'!$N$6:$N$15,1),'风险与跟踪'!$N$6:$N$15,0)),"")</f>
        <v/>
      </c>
      <c r="H34" s="35" t="str">
        <f>IFERROR(T(INDEX('风险与跟踪'!$E$6:$E$15,MATCH(LARGE('风险与跟踪'!$N$6:$N$15,1),'风险与跟踪'!$N$6:$N$15,0))),"")</f>
        <v/>
      </c>
      <c r="I34" s="35" t="n"/>
    </row>
    <row r="35" ht="32" customHeight="1">
      <c r="B35" s="17" t="n">
        <v>2</v>
      </c>
      <c r="C35" s="35" t="str">
        <f>IFERROR(INDEX('风险与跟踪'!$C$6:$C$15,MATCH(LARGE('风险与跟踪'!$N$6:$N$15,2),'风险与跟踪'!$N$6:$N$15,0)),"")</f>
        <v/>
      </c>
      <c r="D35" s="35" t="n"/>
      <c r="E35" s="35" t="n"/>
      <c r="F35" s="35" t="n"/>
      <c r="G35" s="36" t="str">
        <f>IFERROR(INDEX('风险与跟踪'!$I$6:$I$15,MATCH(LARGE('风险与跟踪'!$N$6:$N$15,2),'风险与跟踪'!$N$6:$N$15,0)),"")</f>
        <v/>
      </c>
      <c r="H35" s="35" t="str">
        <f>IFERROR(T(INDEX('风险与跟踪'!$E$6:$E$15,MATCH(LARGE('风险与跟踪'!$N$6:$N$15,2),'风险与跟踪'!$N$6:$N$15,0))),"")</f>
        <v/>
      </c>
      <c r="I35" s="35" t="n"/>
    </row>
    <row r="36" ht="32" customHeight="1">
      <c r="B36" s="17" t="n">
        <v>3</v>
      </c>
      <c r="C36" s="35" t="str">
        <f>IFERROR(INDEX('风险与跟踪'!$C$6:$C$15,MATCH(LARGE('风险与跟踪'!$N$6:$N$15,3),'风险与跟踪'!$N$6:$N$15,0)),"")</f>
        <v/>
      </c>
      <c r="D36" s="35" t="n"/>
      <c r="E36" s="35" t="n"/>
      <c r="F36" s="35" t="n"/>
      <c r="G36" s="36" t="str">
        <f>IFERROR(INDEX('风险与跟踪'!$I$6:$I$15,MATCH(LARGE('风险与跟踪'!$N$6:$N$15,3),'风险与跟踪'!$N$6:$N$15,0)),"")</f>
        <v/>
      </c>
      <c r="H36" s="35" t="str">
        <f>IFERROR(T(INDEX('风险与跟踪'!$E$6:$E$15,MATCH(LARGE('风险与跟踪'!$N$6:$N$15,3),'风险与跟踪'!$N$6:$N$15,0))),"")</f>
        <v/>
      </c>
      <c r="I36" s="35" t="n"/>
    </row>
    <row r="38">
      <c r="B38" s="25" t="inlineStr">
        <is>
          <t>下一个要验证的事（从跟踪日历取）</t>
        </is>
      </c>
    </row>
    <row r="39">
      <c r="B39" s="26" t="inlineStr">
        <is>
          <t>日期</t>
        </is>
      </c>
      <c r="C39" s="26" t="inlineStr">
        <is>
          <t>事件</t>
        </is>
      </c>
      <c r="D39" s="26" t="inlineStr">
        <is>
          <t>验证哪一条</t>
        </is>
      </c>
      <c r="E39" s="26" t="n"/>
      <c r="F39" s="26" t="inlineStr">
        <is>
          <t>我预期看到什么</t>
        </is>
      </c>
      <c r="G39" s="26" t="n"/>
      <c r="H39" s="26" t="n"/>
      <c r="I39" s="26" t="n"/>
    </row>
    <row r="40" ht="32" customHeight="1">
      <c r="B40" s="22" t="str">
        <f>IF(ISNUMBER(G6),G6,"")</f>
        <v/>
      </c>
      <c r="C40" s="19" t="str">
        <f>IF(ISNUMBER(G6),IFERROR(T(INDEX('风险与跟踪'!$C$20:$C$31,MATCH(G6,'风险与跟踪'!$O$20:$O$31,0))),""),"")</f>
        <v/>
      </c>
      <c r="D40" s="19" t="str">
        <f>IF(ISNUMBER(G6),IFERROR(T(INDEX('风险与跟踪'!$D$20:$D$31,MATCH(G6,'风险与跟踪'!$O$20:$O$31,0))),""),"")</f>
        <v/>
      </c>
      <c r="E40" s="19" t="n"/>
      <c r="F40" s="35" t="str">
        <f>IF(ISNUMBER(G6),IFERROR(T(INDEX('风险与跟踪'!$E$20:$E$31,MATCH(G6,'风险与跟踪'!$O$20:$O$31,0))),""),"")</f>
        <v/>
      </c>
      <c r="G40" s="35" t="n"/>
      <c r="H40" s="35" t="n"/>
      <c r="I40" s="35" t="n"/>
    </row>
    <row r="42" ht="36" customHeight="1">
      <c r="B42" s="15" t="inlineStr">
        <is>
          <t>和上一版比，变了什么</t>
        </is>
      </c>
      <c r="C42" s="32" t="n"/>
      <c r="D42" s="32" t="n"/>
      <c r="E42" s="32" t="n"/>
      <c r="F42" s="32" t="n"/>
      <c r="G42" s="32" t="n"/>
      <c r="H42" s="32" t="n"/>
      <c r="I42" s="32" t="n"/>
    </row>
  </sheetData>
  <mergeCells count="40">
    <mergeCell ref="G21:H21"/>
    <mergeCell ref="H35:I35"/>
    <mergeCell ref="C8:I8"/>
    <mergeCell ref="F39:I39"/>
    <mergeCell ref="C5:D5"/>
    <mergeCell ref="H4:I4"/>
    <mergeCell ref="D40:E40"/>
    <mergeCell ref="C4:D4"/>
    <mergeCell ref="C20:D20"/>
    <mergeCell ref="H34:I34"/>
    <mergeCell ref="E20:F20"/>
    <mergeCell ref="A2:I2"/>
    <mergeCell ref="H6:I6"/>
    <mergeCell ref="D28:I28"/>
    <mergeCell ref="C34:F34"/>
    <mergeCell ref="E19:F19"/>
    <mergeCell ref="G19:H19"/>
    <mergeCell ref="C22:D22"/>
    <mergeCell ref="C30:I30"/>
    <mergeCell ref="C33:F33"/>
    <mergeCell ref="H36:I36"/>
    <mergeCell ref="C42:I42"/>
    <mergeCell ref="G1:I1"/>
    <mergeCell ref="C36:F36"/>
    <mergeCell ref="F40:I40"/>
    <mergeCell ref="C21:D21"/>
    <mergeCell ref="C26:I26"/>
    <mergeCell ref="C35:F35"/>
    <mergeCell ref="C29:I29"/>
    <mergeCell ref="C25:I25"/>
    <mergeCell ref="D39:E39"/>
    <mergeCell ref="G20:H20"/>
    <mergeCell ref="A1:F1"/>
    <mergeCell ref="C19:D19"/>
    <mergeCell ref="H33:I33"/>
    <mergeCell ref="H5:I5"/>
    <mergeCell ref="E22:F22"/>
    <mergeCell ref="G22:H22"/>
    <mergeCell ref="C27:I27"/>
    <mergeCell ref="E21:F21"/>
  </mergeCells>
  <conditionalFormatting sqref="I12">
    <cfRule type="cellIs" priority="1" operator="equal" dxfId="0">
      <formula>"到买入线"</formula>
    </cfRule>
    <cfRule type="cellIs" priority="2" operator="equal" dxfId="1">
      <formula>"高于乐观价值"</formula>
    </cfRule>
  </conditionalFormatting>
  <conditionalFormatting sqref="I20:I22">
    <cfRule type="cellIs" priority="3" operator="equal" dxfId="2">
      <formula>"出现苗头"</formula>
    </cfRule>
    <cfRule type="cellIs" priority="4" operator="equal" dxfId="1">
      <formula>"已证伪"</formula>
    </cfRule>
  </conditionalFormatting>
  <conditionalFormatting sqref="C26">
    <cfRule type="expression" priority="5" dxfId="3">
      <formula>LEFT($C$26,2)="满足"</formula>
    </cfRule>
  </conditionalFormatting>
  <dataValidations count="3">
    <dataValidation sqref="H4" showDropDown="0" showInputMessage="0" showErrorMessage="1" allowBlank="1" errorTitle="不在选项里" error="请从下拉里选；要加新选项，先去参数页的下拉选项里加。" type="list" errorStyle="warning">
      <formula1>"A股,港股,美股,其他"</formula1>
    </dataValidation>
    <dataValidation sqref="E6" showDropDown="0" showInputMessage="0" showErrorMessage="1" allowBlank="1" errorTitle="不在选项里" error="请从下拉里选；要加新选项，先去参数页的下拉选项里加。" type="list" errorStyle="stop">
      <formula1>"观察,等价格,买入,持有,减仓,卖出"</formula1>
    </dataValidation>
    <dataValidation sqref="I20:I22" showDropDown="0" showInputMessage="0" showErrorMessage="1" allowBlank="1" errorTitle="不在选项里" error="请从下拉里选；要加新选项，先去参数页的下拉选项里加。" type="list" errorStyle="stop">
      <formula1>"没有,出现苗头,已证伪"</formula1>
    </dataValidation>
  </dataValidations>
  <printOptions horizontalCentered="1"/>
  <pageMargins left="0.35" right="0.35" top="0.45" bottom="0.6" header="0.2" footer="0.25"/>
  <pageSetup orientation="portrait" paperSize="9" fitToHeight="1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</worksheet>
</file>

<file path=xl/worksheets/sheet3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I6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24" customWidth="1" min="2" max="2"/>
    <col width="13" customWidth="1" min="3" max="3"/>
    <col width="11" customWidth="1" min="4" max="4"/>
    <col width="11" customWidth="1" min="5" max="5"/>
    <col width="11" customWidth="1" min="6" max="6"/>
    <col width="13" customWidth="1" min="7" max="7"/>
    <col width="14" customWidth="1" min="8" max="8"/>
    <col width="26" customWidth="1" min="9" max="9"/>
  </cols>
  <sheetData>
    <row r="1" ht="30" customHeight="1">
      <c r="A1" s="13" t="inlineStr">
        <is>
          <t>生意：怎么赚钱、和谁竞争、凭什么</t>
        </is>
      </c>
      <c r="G1" s="14" t="inlineStr">
        <is>
          <t>TradeLearn · XtradingTime 交易内训</t>
        </is>
      </c>
    </row>
    <row r="2" ht="20" customHeight="1">
      <c r="A2" s="2" t="inlineStr">
        <is>
          <t>第一遍研究就填这页。每一条判断都尽量配一个数字做证据，写不出证据的，先标「不清楚」。</t>
        </is>
      </c>
    </row>
    <row r="4">
      <c r="B4" s="25" t="inlineStr">
        <is>
          <t>1. 一句话说清它怎么赚钱</t>
        </is>
      </c>
    </row>
    <row r="5" ht="40" customHeight="1">
      <c r="B5" s="32" t="n"/>
      <c r="C5" s="32" t="n"/>
      <c r="D5" s="32" t="n"/>
      <c r="E5" s="32" t="n"/>
      <c r="F5" s="32" t="n"/>
      <c r="G5" s="32" t="n"/>
      <c r="H5" s="32" t="n"/>
      <c r="I5" s="32" t="n"/>
    </row>
    <row r="7">
      <c r="B7" s="25" t="inlineStr">
        <is>
          <t>2. 收入结构（最近一年）</t>
        </is>
      </c>
    </row>
    <row r="8">
      <c r="B8" s="26" t="inlineStr">
        <is>
          <t>业务 / 产品</t>
        </is>
      </c>
      <c r="C8" s="26" t="inlineStr">
        <is>
          <t>收入</t>
        </is>
      </c>
      <c r="D8" s="26" t="inlineStr">
        <is>
          <t>占比</t>
        </is>
      </c>
      <c r="E8" s="26" t="inlineStr">
        <is>
          <t>增速</t>
        </is>
      </c>
      <c r="F8" s="26" t="inlineStr">
        <is>
          <t>毛利率</t>
        </is>
      </c>
      <c r="G8" s="26" t="inlineStr">
        <is>
          <t>收钱方式</t>
        </is>
      </c>
      <c r="H8" s="26" t="inlineStr">
        <is>
          <t>毛利贡献</t>
        </is>
      </c>
      <c r="I8" s="26" t="inlineStr">
        <is>
          <t>备注</t>
        </is>
      </c>
    </row>
    <row r="9">
      <c r="B9" s="16" t="n"/>
      <c r="C9" s="37" t="n"/>
      <c r="D9" s="38" t="str">
        <f>IF(AND(ISNUMBER(C9),N($C$15)&gt;0),C9/$C$15,"")</f>
        <v/>
      </c>
      <c r="E9" s="34" t="n"/>
      <c r="F9" s="34" t="n"/>
      <c r="G9" s="18" t="n"/>
      <c r="H9" s="39" t="str">
        <f>IF(AND(ISNUMBER(C9),ISNUMBER(F9)),C9*F9,"")</f>
        <v/>
      </c>
      <c r="I9" s="16" t="n"/>
    </row>
    <row r="10">
      <c r="B10" s="16" t="n"/>
      <c r="C10" s="37" t="n"/>
      <c r="D10" s="38" t="str">
        <f>IF(AND(ISNUMBER(C10),N($C$15)&gt;0),C10/$C$15,"")</f>
        <v/>
      </c>
      <c r="E10" s="34" t="n"/>
      <c r="F10" s="34" t="n"/>
      <c r="G10" s="18" t="n"/>
      <c r="H10" s="39" t="str">
        <f>IF(AND(ISNUMBER(C10),ISNUMBER(F10)),C10*F10,"")</f>
        <v/>
      </c>
      <c r="I10" s="16" t="n"/>
    </row>
    <row r="11">
      <c r="B11" s="16" t="n"/>
      <c r="C11" s="37" t="n"/>
      <c r="D11" s="38" t="str">
        <f>IF(AND(ISNUMBER(C11),N($C$15)&gt;0),C11/$C$15,"")</f>
        <v/>
      </c>
      <c r="E11" s="34" t="n"/>
      <c r="F11" s="34" t="n"/>
      <c r="G11" s="18" t="n"/>
      <c r="H11" s="39" t="str">
        <f>IF(AND(ISNUMBER(C11),ISNUMBER(F11)),C11*F11,"")</f>
        <v/>
      </c>
      <c r="I11" s="16" t="n"/>
    </row>
    <row r="12">
      <c r="B12" s="16" t="n"/>
      <c r="C12" s="37" t="n"/>
      <c r="D12" s="38" t="str">
        <f>IF(AND(ISNUMBER(C12),N($C$15)&gt;0),C12/$C$15,"")</f>
        <v/>
      </c>
      <c r="E12" s="34" t="n"/>
      <c r="F12" s="34" t="n"/>
      <c r="G12" s="18" t="n"/>
      <c r="H12" s="39" t="str">
        <f>IF(AND(ISNUMBER(C12),ISNUMBER(F12)),C12*F12,"")</f>
        <v/>
      </c>
      <c r="I12" s="16" t="n"/>
    </row>
    <row r="13">
      <c r="B13" s="16" t="n"/>
      <c r="C13" s="37" t="n"/>
      <c r="D13" s="38" t="str">
        <f>IF(AND(ISNUMBER(C13),N($C$15)&gt;0),C13/$C$15,"")</f>
        <v/>
      </c>
      <c r="E13" s="34" t="n"/>
      <c r="F13" s="34" t="n"/>
      <c r="G13" s="18" t="n"/>
      <c r="H13" s="39" t="str">
        <f>IF(AND(ISNUMBER(C13),ISNUMBER(F13)),C13*F13,"")</f>
        <v/>
      </c>
      <c r="I13" s="16" t="n"/>
    </row>
    <row r="14">
      <c r="B14" s="16" t="n"/>
      <c r="C14" s="37" t="n"/>
      <c r="D14" s="38" t="str">
        <f>IF(AND(ISNUMBER(C14),N($C$15)&gt;0),C14/$C$15,"")</f>
        <v/>
      </c>
      <c r="E14" s="34" t="n"/>
      <c r="F14" s="34" t="n"/>
      <c r="G14" s="18" t="n"/>
      <c r="H14" s="39" t="str">
        <f>IF(AND(ISNUMBER(C14),ISNUMBER(F14)),C14*F14,"")</f>
        <v/>
      </c>
      <c r="I14" s="16" t="n"/>
    </row>
    <row r="15">
      <c r="B15" s="15" t="inlineStr">
        <is>
          <t>合计</t>
        </is>
      </c>
      <c r="C15" s="40" t="str">
        <f>IF(COUNT(C9:C14)=0,"",SUM(C9:C14))</f>
        <v/>
      </c>
      <c r="D15" s="38" t="str">
        <f>IF(N(C15)&gt;0,1,"")</f>
        <v/>
      </c>
      <c r="H15" s="40" t="str">
        <f>IF(COUNT(H9:H14)=0,"",SUM(H9:H14))</f>
        <v/>
      </c>
      <c r="I15" s="23" t="inlineStr">
        <is>
          <t>收入合计应该等于财务页最近一年的营业收入。</t>
        </is>
      </c>
    </row>
    <row r="17">
      <c r="B17" s="25" t="inlineStr">
        <is>
          <t>3. 客户与供应商</t>
        </is>
      </c>
    </row>
    <row r="18">
      <c r="B18" s="41" t="inlineStr">
        <is>
          <t>前五大客户收入占比</t>
        </is>
      </c>
      <c r="C18" s="34" t="n"/>
      <c r="E18" s="23" t="inlineStr">
        <is>
          <t>第一大客户超过三成，要单独看合同期限和议价能力。供应商太集中，要看有没有替代。</t>
        </is>
      </c>
      <c r="F18" s="23" t="n"/>
      <c r="G18" s="23" t="n"/>
      <c r="H18" s="23" t="n"/>
      <c r="I18" s="23" t="n"/>
    </row>
    <row r="19">
      <c r="B19" s="41" t="inlineStr">
        <is>
          <t>第一大客户收入占比</t>
        </is>
      </c>
      <c r="C19" s="34" t="n"/>
      <c r="D19" s="42" t="str">
        <f>IF(NOT(ISNUMBER(C19)),"",IF(C19&gt;0.3,"依赖单一客户",""))</f>
        <v/>
      </c>
      <c r="E19" s="23" t="n"/>
      <c r="F19" s="23" t="n"/>
      <c r="G19" s="23" t="n"/>
      <c r="H19" s="23" t="n"/>
      <c r="I19" s="23" t="n"/>
    </row>
    <row r="20">
      <c r="B20" s="41" t="inlineStr">
        <is>
          <t>前五大供应商采购占比</t>
        </is>
      </c>
      <c r="C20" s="34" t="n"/>
      <c r="E20" s="23" t="n"/>
      <c r="F20" s="23" t="n"/>
      <c r="G20" s="23" t="n"/>
      <c r="H20" s="23" t="n"/>
      <c r="I20" s="23" t="n"/>
    </row>
    <row r="22">
      <c r="B22" s="25" t="inlineStr">
        <is>
          <t>4. 行业格局</t>
        </is>
      </c>
    </row>
    <row r="23">
      <c r="B23" s="41" t="inlineStr">
        <is>
          <t>行业规模（单位同收入）</t>
        </is>
      </c>
      <c r="C23" s="37" t="n"/>
      <c r="D23" s="43" t="inlineStr">
        <is>
          <t>规模增速</t>
        </is>
      </c>
      <c r="E23" s="34" t="n"/>
      <c r="F23" s="43" t="inlineStr">
        <is>
          <t>所处阶段</t>
        </is>
      </c>
      <c r="G23" s="18" t="n"/>
    </row>
    <row r="24">
      <c r="B24" s="41" t="inlineStr">
        <is>
          <t>前三名合计份额</t>
        </is>
      </c>
      <c r="C24" s="34" t="n"/>
      <c r="D24" s="43" t="inlineStr">
        <is>
          <t>本公司份额</t>
        </is>
      </c>
      <c r="E24" s="38" t="str">
        <f>IF(AND(N(C23)&gt;0,ISNUMBER(C15)),C15/C23,"")</f>
        <v/>
      </c>
      <c r="F24" s="23" t="inlineStr">
        <is>
          <t>份额 = 收入合计 ÷ 行业规模。</t>
        </is>
      </c>
      <c r="G24" s="23" t="n"/>
      <c r="H24" s="23" t="n"/>
      <c r="I24" s="23" t="n"/>
    </row>
    <row r="25">
      <c r="B25" s="26" t="inlineStr">
        <is>
          <t>竞争对手</t>
        </is>
      </c>
      <c r="C25" s="26" t="inlineStr">
        <is>
          <t>份额</t>
        </is>
      </c>
      <c r="D25" s="26" t="inlineStr">
        <is>
          <t>它强在哪</t>
        </is>
      </c>
      <c r="E25" s="26" t="n"/>
      <c r="F25" s="26" t="inlineStr">
        <is>
          <t>它弱在哪</t>
        </is>
      </c>
      <c r="G25" s="26" t="n"/>
      <c r="H25" s="26" t="inlineStr">
        <is>
          <t>和我们抢什么</t>
        </is>
      </c>
      <c r="I25" s="26" t="n"/>
    </row>
    <row r="26">
      <c r="B26" s="16" t="n"/>
      <c r="C26" s="34" t="n"/>
      <c r="D26" s="16" t="n"/>
      <c r="E26" s="16" t="n"/>
      <c r="F26" s="16" t="n"/>
      <c r="G26" s="16" t="n"/>
      <c r="H26" s="16" t="n"/>
      <c r="I26" s="16" t="n"/>
    </row>
    <row r="27">
      <c r="B27" s="16" t="n"/>
      <c r="C27" s="34" t="n"/>
      <c r="D27" s="16" t="n"/>
      <c r="E27" s="16" t="n"/>
      <c r="F27" s="16" t="n"/>
      <c r="G27" s="16" t="n"/>
      <c r="H27" s="16" t="n"/>
      <c r="I27" s="16" t="n"/>
    </row>
    <row r="28">
      <c r="B28" s="16" t="n"/>
      <c r="C28" s="34" t="n"/>
      <c r="D28" s="16" t="n"/>
      <c r="E28" s="16" t="n"/>
      <c r="F28" s="16" t="n"/>
      <c r="G28" s="16" t="n"/>
      <c r="H28" s="16" t="n"/>
      <c r="I28" s="16" t="n"/>
    </row>
    <row r="29">
      <c r="B29" s="16" t="n"/>
      <c r="C29" s="34" t="n"/>
      <c r="D29" s="16" t="n"/>
      <c r="E29" s="16" t="n"/>
      <c r="F29" s="16" t="n"/>
      <c r="G29" s="16" t="n"/>
      <c r="H29" s="16" t="n"/>
      <c r="I29" s="16" t="n"/>
    </row>
    <row r="30">
      <c r="B30" s="16" t="n"/>
      <c r="C30" s="34" t="n"/>
      <c r="D30" s="16" t="n"/>
      <c r="E30" s="16" t="n"/>
      <c r="F30" s="16" t="n"/>
      <c r="G30" s="16" t="n"/>
      <c r="H30" s="16" t="n"/>
      <c r="I30" s="16" t="n"/>
    </row>
    <row r="32">
      <c r="B32" s="25" t="inlineStr">
        <is>
          <t>5. 护城河检查（每一条都写证据）</t>
        </is>
      </c>
    </row>
    <row r="33">
      <c r="B33" s="26" t="inlineStr">
        <is>
          <t>类型</t>
        </is>
      </c>
      <c r="C33" s="26" t="inlineStr">
        <is>
          <t>有没有</t>
        </is>
      </c>
      <c r="D33" s="26" t="inlineStr">
        <is>
          <t>证据（最好是数字）</t>
        </is>
      </c>
      <c r="E33" s="26" t="n"/>
      <c r="F33" s="26" t="n"/>
      <c r="G33" s="26" t="inlineStr">
        <is>
          <t>什么会削弱它</t>
        </is>
      </c>
      <c r="H33" s="26" t="n"/>
      <c r="I33" s="26" t="n"/>
    </row>
    <row r="34">
      <c r="B34" s="41" t="inlineStr">
        <is>
          <t>品牌：能不能比同行卖得贵</t>
        </is>
      </c>
      <c r="C34" s="18" t="n"/>
      <c r="D34" s="16" t="n"/>
      <c r="E34" s="16" t="n"/>
      <c r="F34" s="16" t="n"/>
      <c r="G34" s="16" t="n"/>
      <c r="H34" s="16" t="n"/>
      <c r="I34" s="16" t="n"/>
    </row>
    <row r="35">
      <c r="B35" s="41" t="inlineStr">
        <is>
          <t>转换成本：客户换掉它要花多少</t>
        </is>
      </c>
      <c r="C35" s="18" t="n"/>
      <c r="D35" s="16" t="n"/>
      <c r="E35" s="16" t="n"/>
      <c r="F35" s="16" t="n"/>
      <c r="G35" s="16" t="n"/>
      <c r="H35" s="16" t="n"/>
      <c r="I35" s="16" t="n"/>
    </row>
    <row r="36">
      <c r="B36" s="41" t="inlineStr">
        <is>
          <t>网络效应：用的人越多越好用</t>
        </is>
      </c>
      <c r="C36" s="18" t="n"/>
      <c r="D36" s="16" t="n"/>
      <c r="E36" s="16" t="n"/>
      <c r="F36" s="16" t="n"/>
      <c r="G36" s="16" t="n"/>
      <c r="H36" s="16" t="n"/>
      <c r="I36" s="16" t="n"/>
    </row>
    <row r="37">
      <c r="B37" s="41" t="inlineStr">
        <is>
          <t>成本优势：规模、工艺或资源</t>
        </is>
      </c>
      <c r="C37" s="18" t="n"/>
      <c r="D37" s="16" t="n"/>
      <c r="E37" s="16" t="n"/>
      <c r="F37" s="16" t="n"/>
      <c r="G37" s="16" t="n"/>
      <c r="H37" s="16" t="n"/>
      <c r="I37" s="16" t="n"/>
    </row>
    <row r="38">
      <c r="B38" s="41" t="inlineStr">
        <is>
          <t>牌照与专利</t>
        </is>
      </c>
      <c r="C38" s="18" t="n"/>
      <c r="D38" s="16" t="n"/>
      <c r="E38" s="16" t="n"/>
      <c r="F38" s="16" t="n"/>
      <c r="G38" s="16" t="n"/>
      <c r="H38" s="16" t="n"/>
      <c r="I38" s="16" t="n"/>
    </row>
    <row r="39">
      <c r="B39" s="41" t="inlineStr">
        <is>
          <t>渠道与服务网络</t>
        </is>
      </c>
      <c r="C39" s="18" t="n"/>
      <c r="D39" s="16" t="n"/>
      <c r="E39" s="16" t="n"/>
      <c r="F39" s="16" t="n"/>
      <c r="G39" s="16" t="n"/>
      <c r="H39" s="16" t="n"/>
      <c r="I39" s="16" t="n"/>
    </row>
    <row r="40">
      <c r="B40" s="15" t="inlineStr">
        <is>
          <t>「有」的条数</t>
        </is>
      </c>
      <c r="C40" s="44">
        <f>COUNTIF(C34:C39,"有")</f>
        <v>0</v>
      </c>
      <c r="D40" s="23" t="inlineStr">
        <is>
          <t>一条都没有不代表不能买，但估值里就不该给长期高增长。</t>
        </is>
      </c>
      <c r="E40" s="23" t="n"/>
      <c r="F40" s="23" t="n"/>
      <c r="G40" s="23" t="n"/>
      <c r="H40" s="23" t="n"/>
      <c r="I40" s="23" t="n"/>
    </row>
    <row r="42">
      <c r="B42" s="25" t="inlineStr">
        <is>
          <t>6. 管理层与治理</t>
        </is>
      </c>
    </row>
    <row r="43">
      <c r="B43" s="41" t="inlineStr">
        <is>
          <t>管理层与实控人持股</t>
        </is>
      </c>
      <c r="C43" s="34" t="n"/>
      <c r="D43" s="43" t="inlineStr">
        <is>
          <t>近三年减持</t>
        </is>
      </c>
      <c r="E43" s="18" t="n"/>
      <c r="F43" s="43" t="inlineStr">
        <is>
          <t>股权质押比例</t>
        </is>
      </c>
      <c r="G43" s="34" t="n"/>
    </row>
    <row r="45">
      <c r="B45" s="26" t="inlineStr">
        <is>
          <t>资本配置记录</t>
        </is>
      </c>
      <c r="C45" s="26" t="inlineStr">
        <is>
          <t>年份</t>
        </is>
      </c>
      <c r="D45" s="26" t="inlineStr">
        <is>
          <t>金额</t>
        </is>
      </c>
      <c r="E45" s="26" t="inlineStr">
        <is>
          <t>后来结果怎样</t>
        </is>
      </c>
      <c r="F45" s="26" t="n"/>
      <c r="G45" s="26" t="n"/>
      <c r="H45" s="26" t="n"/>
      <c r="I45" s="26" t="n"/>
    </row>
    <row r="46">
      <c r="B46" s="16" t="n"/>
      <c r="C46" s="18" t="n"/>
      <c r="D46" s="37" t="n"/>
      <c r="E46" s="16" t="n"/>
      <c r="F46" s="16" t="n"/>
      <c r="G46" s="16" t="n"/>
      <c r="H46" s="16" t="n"/>
      <c r="I46" s="16" t="n"/>
    </row>
    <row r="47">
      <c r="B47" s="16" t="n"/>
      <c r="C47" s="18" t="n"/>
      <c r="D47" s="37" t="n"/>
      <c r="E47" s="16" t="n"/>
      <c r="F47" s="16" t="n"/>
      <c r="G47" s="16" t="n"/>
      <c r="H47" s="16" t="n"/>
      <c r="I47" s="16" t="n"/>
    </row>
    <row r="48">
      <c r="B48" s="16" t="n"/>
      <c r="C48" s="18" t="n"/>
      <c r="D48" s="37" t="n"/>
      <c r="E48" s="16" t="n"/>
      <c r="F48" s="16" t="n"/>
      <c r="G48" s="16" t="n"/>
      <c r="H48" s="16" t="n"/>
      <c r="I48" s="16" t="n"/>
    </row>
    <row r="49">
      <c r="B49" s="16" t="n"/>
      <c r="C49" s="18" t="n"/>
      <c r="D49" s="37" t="n"/>
      <c r="E49" s="16" t="n"/>
      <c r="F49" s="16" t="n"/>
      <c r="G49" s="16" t="n"/>
      <c r="H49" s="16" t="n"/>
      <c r="I49" s="16" t="n"/>
    </row>
    <row r="50">
      <c r="B50" s="16" t="n"/>
      <c r="C50" s="18" t="n"/>
      <c r="D50" s="37" t="n"/>
      <c r="E50" s="16" t="n"/>
      <c r="F50" s="16" t="n"/>
      <c r="G50" s="16" t="n"/>
      <c r="H50" s="16" t="n"/>
      <c r="I50" s="16" t="n"/>
    </row>
    <row r="52">
      <c r="B52" s="26" t="inlineStr">
        <is>
          <t>说过的话</t>
        </is>
      </c>
      <c r="C52" s="26" t="inlineStr">
        <is>
          <t>什么时候说的</t>
        </is>
      </c>
      <c r="D52" s="26" t="inlineStr">
        <is>
          <t>结果</t>
        </is>
      </c>
      <c r="E52" s="26" t="inlineStr">
        <is>
          <t>证据</t>
        </is>
      </c>
      <c r="F52" s="26" t="n"/>
      <c r="G52" s="26" t="n"/>
      <c r="H52" s="26" t="n"/>
      <c r="I52" s="26" t="n"/>
    </row>
    <row r="53">
      <c r="B53" s="16" t="n"/>
      <c r="C53" s="18" t="n"/>
      <c r="D53" s="18" t="n"/>
      <c r="E53" s="16" t="n"/>
      <c r="F53" s="16" t="n"/>
      <c r="G53" s="16" t="n"/>
      <c r="H53" s="16" t="n"/>
      <c r="I53" s="16" t="n"/>
    </row>
    <row r="54">
      <c r="B54" s="16" t="n"/>
      <c r="C54" s="18" t="n"/>
      <c r="D54" s="18" t="n"/>
      <c r="E54" s="16" t="n"/>
      <c r="F54" s="16" t="n"/>
      <c r="G54" s="16" t="n"/>
      <c r="H54" s="16" t="n"/>
      <c r="I54" s="16" t="n"/>
    </row>
    <row r="55">
      <c r="B55" s="16" t="n"/>
      <c r="C55" s="18" t="n"/>
      <c r="D55" s="18" t="n"/>
      <c r="E55" s="16" t="n"/>
      <c r="F55" s="16" t="n"/>
      <c r="G55" s="16" t="n"/>
      <c r="H55" s="16" t="n"/>
      <c r="I55" s="16" t="n"/>
    </row>
    <row r="56">
      <c r="B56" s="16" t="n"/>
      <c r="C56" s="18" t="n"/>
      <c r="D56" s="18" t="n"/>
      <c r="E56" s="16" t="n"/>
      <c r="F56" s="16" t="n"/>
      <c r="G56" s="16" t="n"/>
      <c r="H56" s="16" t="n"/>
      <c r="I56" s="16" t="n"/>
    </row>
    <row r="57">
      <c r="B57" s="16" t="n"/>
      <c r="C57" s="18" t="n"/>
      <c r="D57" s="18" t="n"/>
      <c r="E57" s="16" t="n"/>
      <c r="F57" s="16" t="n"/>
      <c r="G57" s="16" t="n"/>
      <c r="H57" s="16" t="n"/>
      <c r="I57" s="16" t="n"/>
    </row>
    <row r="58">
      <c r="B58" s="15" t="inlineStr">
        <is>
          <t>说到做到的比例</t>
        </is>
      </c>
      <c r="C58" s="45" t="str">
        <f>IF(COUNTIF(D53:D57,"做到")+COUNTIF(D53:D57,"部分做到")+COUNTIF(D53:D57,"没做到")=0,"",(COUNTIF(D53:D57,"做到")+0.5*COUNTIF(D53:D57,"部分做到"))/(COUNTIF(D53:D57,"做到")+COUNTIF(D53:D57,"部分做到")+COUNTIF(D53:D57,"没做到")))</f>
        <v/>
      </c>
      <c r="D58" s="23" t="inlineStr">
        <is>
          <t>部分做到算一半，未到期的不算。低于一半，管理层的规划要打折听。</t>
        </is>
      </c>
      <c r="E58" s="23" t="n"/>
      <c r="F58" s="23" t="n"/>
      <c r="G58" s="23" t="n"/>
      <c r="H58" s="23" t="n"/>
      <c r="I58" s="23" t="n"/>
    </row>
    <row r="60">
      <c r="B60" s="26" t="inlineStr">
        <is>
          <t>治理红旗</t>
        </is>
      </c>
      <c r="C60" s="26" t="inlineStr">
        <is>
          <t>有没有</t>
        </is>
      </c>
      <c r="D60" s="26" t="inlineStr">
        <is>
          <t>说明</t>
        </is>
      </c>
      <c r="E60" s="26" t="n"/>
      <c r="F60" s="26" t="n"/>
      <c r="G60" s="26" t="n"/>
      <c r="H60" s="26" t="n"/>
      <c r="I60" s="26" t="n"/>
    </row>
    <row r="61">
      <c r="B61" s="41" t="inlineStr">
        <is>
          <t>大额关联交易</t>
        </is>
      </c>
      <c r="C61" s="18" t="n"/>
      <c r="D61" s="16" t="n"/>
      <c r="E61" s="16" t="n"/>
      <c r="F61" s="16" t="n"/>
      <c r="G61" s="16" t="n"/>
      <c r="H61" s="16" t="n"/>
      <c r="I61" s="16" t="n"/>
    </row>
    <row r="62">
      <c r="B62" s="41" t="inlineStr">
        <is>
          <t>频繁更换审计机构</t>
        </is>
      </c>
      <c r="C62" s="18" t="n"/>
      <c r="D62" s="16" t="n"/>
      <c r="E62" s="16" t="n"/>
      <c r="F62" s="16" t="n"/>
      <c r="G62" s="16" t="n"/>
      <c r="H62" s="16" t="n"/>
      <c r="I62" s="16" t="n"/>
    </row>
    <row r="63">
      <c r="B63" s="41" t="inlineStr">
        <is>
          <t>审计意见不是标准无保留</t>
        </is>
      </c>
      <c r="C63" s="18" t="n"/>
      <c r="D63" s="16" t="n"/>
      <c r="E63" s="16" t="n"/>
      <c r="F63" s="16" t="n"/>
      <c r="G63" s="16" t="n"/>
      <c r="H63" s="16" t="n"/>
      <c r="I63" s="16" t="n"/>
    </row>
    <row r="64">
      <c r="B64" s="41" t="inlineStr">
        <is>
          <t>控股股东高比例质押</t>
        </is>
      </c>
      <c r="C64" s="18" t="n"/>
      <c r="D64" s="16" t="n"/>
      <c r="E64" s="16" t="n"/>
      <c r="F64" s="16" t="n"/>
      <c r="G64" s="16" t="n"/>
      <c r="H64" s="16" t="n"/>
      <c r="I64" s="16" t="n"/>
    </row>
    <row r="65">
      <c r="B65" s="41" t="inlineStr">
        <is>
          <t>财报延期或更正</t>
        </is>
      </c>
      <c r="C65" s="18" t="n"/>
      <c r="D65" s="16" t="n"/>
      <c r="E65" s="16" t="n"/>
      <c r="F65" s="16" t="n"/>
      <c r="G65" s="16" t="n"/>
      <c r="H65" s="16" t="n"/>
      <c r="I65" s="16" t="n"/>
    </row>
    <row r="66">
      <c r="B66" s="41" t="inlineStr">
        <is>
          <t>核心高管频繁离职</t>
        </is>
      </c>
      <c r="C66" s="18" t="n"/>
      <c r="D66" s="16" t="n"/>
      <c r="E66" s="16" t="n"/>
      <c r="F66" s="16" t="n"/>
      <c r="G66" s="16" t="n"/>
      <c r="H66" s="16" t="n"/>
      <c r="I66" s="16" t="n"/>
    </row>
    <row r="67">
      <c r="B67" s="15" t="inlineStr">
        <is>
          <t>「有」的条数</t>
        </is>
      </c>
      <c r="C67" s="44">
        <f>COUNTIF(C61:C66,"有")</f>
        <v>0</v>
      </c>
    </row>
  </sheetData>
  <mergeCells count="59">
    <mergeCell ref="G38:I38"/>
    <mergeCell ref="E50:I50"/>
    <mergeCell ref="F29:G29"/>
    <mergeCell ref="H29:I29"/>
    <mergeCell ref="G37:I37"/>
    <mergeCell ref="E55:I55"/>
    <mergeCell ref="F25:G25"/>
    <mergeCell ref="D61:I61"/>
    <mergeCell ref="E52:I52"/>
    <mergeCell ref="E18:I20"/>
    <mergeCell ref="G34:I34"/>
    <mergeCell ref="D66:I66"/>
    <mergeCell ref="E48:I48"/>
    <mergeCell ref="G33:I33"/>
    <mergeCell ref="H25:I25"/>
    <mergeCell ref="A2:I2"/>
    <mergeCell ref="F30:G30"/>
    <mergeCell ref="D37:F37"/>
    <mergeCell ref="D62:I62"/>
    <mergeCell ref="D27:E27"/>
    <mergeCell ref="G35:I35"/>
    <mergeCell ref="D58:I58"/>
    <mergeCell ref="D39:F39"/>
    <mergeCell ref="F26:G26"/>
    <mergeCell ref="E47:I47"/>
    <mergeCell ref="D33:F33"/>
    <mergeCell ref="G1:I1"/>
    <mergeCell ref="D64:I64"/>
    <mergeCell ref="D38:F38"/>
    <mergeCell ref="E46:I46"/>
    <mergeCell ref="F24:I24"/>
    <mergeCell ref="D35:F35"/>
    <mergeCell ref="D28:E28"/>
    <mergeCell ref="E49:I49"/>
    <mergeCell ref="F28:G28"/>
    <mergeCell ref="E45:I45"/>
    <mergeCell ref="H28:I28"/>
    <mergeCell ref="D60:I60"/>
    <mergeCell ref="F27:G27"/>
    <mergeCell ref="H27:I27"/>
    <mergeCell ref="D34:F34"/>
    <mergeCell ref="D25:E25"/>
    <mergeCell ref="D63:I63"/>
    <mergeCell ref="E57:I57"/>
    <mergeCell ref="G36:I36"/>
    <mergeCell ref="D30:E30"/>
    <mergeCell ref="E54:I54"/>
    <mergeCell ref="A1:F1"/>
    <mergeCell ref="D29:E29"/>
    <mergeCell ref="D40:I40"/>
    <mergeCell ref="G39:I39"/>
    <mergeCell ref="D36:F36"/>
    <mergeCell ref="D65:I65"/>
    <mergeCell ref="B5:I5"/>
    <mergeCell ref="E53:I53"/>
    <mergeCell ref="D26:E26"/>
    <mergeCell ref="H30:I30"/>
    <mergeCell ref="E56:I56"/>
    <mergeCell ref="H26:I26"/>
  </mergeCells>
  <conditionalFormatting sqref="D19">
    <cfRule type="cellIs" priority="1" operator="equal" dxfId="1">
      <formula>"依赖单一客户"</formula>
    </cfRule>
  </conditionalFormatting>
  <conditionalFormatting sqref="C34:C39">
    <cfRule type="cellIs" priority="2" operator="equal" dxfId="3">
      <formula>"有"</formula>
    </cfRule>
  </conditionalFormatting>
  <conditionalFormatting sqref="C61:C66">
    <cfRule type="cellIs" priority="3" operator="equal" dxfId="1">
      <formula>"有"</formula>
    </cfRule>
  </conditionalFormatting>
  <dataValidations count="6">
    <dataValidation sqref="G9:G14" showDropDown="0" showInputMessage="0" showErrorMessage="1" allowBlank="1" errorTitle="不在选项里" error="请从下拉里选；要加新选项，先去参数页的下拉选项里加。" type="list" errorStyle="warning">
      <formula1>"一次性,复购,订阅,项目制,其他"</formula1>
    </dataValidation>
    <dataValidation sqref="G23" showDropDown="0" showInputMessage="0" showErrorMessage="1" allowBlank="1" errorTitle="不在选项里" error="请从下拉里选；要加新选项，先去参数页的下拉选项里加。" type="list" errorStyle="warning">
      <formula1>"导入期,成长期,成熟期,衰退期"</formula1>
    </dataValidation>
    <dataValidation sqref="C34:C39" showDropDown="0" showInputMessage="0" showErrorMessage="1" allowBlank="1" errorTitle="不在选项里" error="请从下拉里选；要加新选项，先去参数页的下拉选项里加。" type="list" errorStyle="stop">
      <formula1>"有,弱,没有,不清楚"</formula1>
    </dataValidation>
    <dataValidation sqref="E43" showDropDown="0" showInputMessage="0" showErrorMessage="1" allowBlank="1" errorTitle="不在选项里" error="请从下拉里选；要加新选项，先去参数页的下拉选项里加。" type="list" errorStyle="stop">
      <formula1>"没有,少量,大量,不清楚"</formula1>
    </dataValidation>
    <dataValidation sqref="D53:D57" showDropDown="0" showInputMessage="0" showErrorMessage="1" allowBlank="1" errorTitle="不在选项里" error="请从下拉里选；要加新选项，先去参数页的下拉选项里加。" type="list" errorStyle="stop">
      <formula1>"做到,部分做到,没做到,未到期"</formula1>
    </dataValidation>
    <dataValidation sqref="C61:C66" showDropDown="0" showInputMessage="0" showErrorMessage="1" allowBlank="1" errorTitle="不在选项里" error="请从下拉里选；要加新选项，先去参数页的下拉选项里加。" type="list" errorStyle="stop">
      <formula1>"有,没有,不清楚"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  <rowBreaks count="1" manualBreakCount="1">
    <brk id="41" min="0" max="16383" man="1"/>
  </rowBreaks>
</worksheet>
</file>

<file path=xl/worksheets/sheet4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I6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4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2" customWidth="1" min="8" max="8"/>
    <col width="50" customWidth="1" min="9" max="9"/>
  </cols>
  <sheetData>
    <row r="1" ht="30" customHeight="1">
      <c r="A1" s="13" t="inlineStr">
        <is>
          <t>财务：五年摘要，比率和红旗自动算</t>
        </is>
      </c>
      <c r="G1" s="14" t="inlineStr">
        <is>
          <t>TradeLearn · XtradingTime 交易内训</t>
        </is>
      </c>
    </row>
    <row r="2" ht="20" customHeight="1">
      <c r="A2" s="2" t="inlineStr">
        <is>
          <t>从年报抄五年数（从左往右，最早的一年在左边）。只填看得懂的科目，空着的比率会显示空白。</t>
        </is>
      </c>
    </row>
    <row r="3">
      <c r="B3" s="15" t="inlineStr">
        <is>
          <t>货币与单位</t>
        </is>
      </c>
      <c r="C3" s="16" t="n"/>
      <c r="D3" s="16" t="n"/>
      <c r="E3" s="17" t="inlineStr">
        <is>
          <t>股本单位</t>
        </is>
      </c>
      <c r="F3" s="16" t="n"/>
      <c r="G3" s="23" t="inlineStr">
        <is>
          <t>金额和股本单位要配套：亿元配亿股，百万美元配百万股，每股数才对。</t>
        </is>
      </c>
      <c r="H3" s="23" t="n"/>
      <c r="I3" s="23" t="n"/>
    </row>
    <row r="4" ht="30" customHeight="1">
      <c r="B4" s="26" t="inlineStr">
        <is>
          <t>项目</t>
        </is>
      </c>
      <c r="C4" s="46" t="n"/>
      <c r="D4" s="46" t="n"/>
      <c r="E4" s="46" t="n"/>
      <c r="F4" s="46" t="n"/>
      <c r="G4" s="46" t="n"/>
      <c r="H4" s="26" t="inlineStr">
        <is>
          <t>五年（复合增速或平均）</t>
        </is>
      </c>
      <c r="I4" s="26" t="inlineStr">
        <is>
          <t>口径与看什么</t>
        </is>
      </c>
    </row>
    <row r="5">
      <c r="B5" s="47" t="inlineStr">
        <is>
          <t>利润表</t>
        </is>
      </c>
      <c r="C5" s="47" t="n"/>
      <c r="D5" s="47" t="n"/>
      <c r="E5" s="47" t="n"/>
      <c r="F5" s="47" t="n"/>
      <c r="G5" s="47" t="n"/>
      <c r="H5" s="47" t="n"/>
      <c r="I5" s="47" t="n"/>
    </row>
    <row r="6">
      <c r="B6" s="41" t="inlineStr">
        <is>
          <t>营业收入</t>
        </is>
      </c>
      <c r="C6" s="37" t="n"/>
      <c r="D6" s="37" t="n"/>
      <c r="E6" s="37" t="n"/>
      <c r="F6" s="37" t="n"/>
      <c r="G6" s="37" t="n"/>
      <c r="H6" s="38" t="str">
        <f>IF(COUNT(C6:G6)&lt;2,"",IF(AND(N(C6)&gt;0,N(INDEX(C6:G6,COUNT(C6:G6)))&gt;0),(INDEX(C6:G6,COUNT(C6:G6))/C6)^(1/(COUNT(C6:G6)-1))-1,""))</f>
        <v/>
      </c>
      <c r="I6" s="23" t="inlineStr"/>
    </row>
    <row r="7">
      <c r="B7" s="41" t="inlineStr">
        <is>
          <t>营业成本</t>
        </is>
      </c>
      <c r="C7" s="37" t="n"/>
      <c r="D7" s="37" t="n"/>
      <c r="E7" s="37" t="n"/>
      <c r="F7" s="37" t="n"/>
      <c r="G7" s="37" t="n"/>
      <c r="H7" s="38" t="n"/>
      <c r="I7" s="23" t="inlineStr"/>
    </row>
    <row r="8">
      <c r="B8" s="41" t="inlineStr">
        <is>
          <t>销售费用</t>
        </is>
      </c>
      <c r="C8" s="37" t="n"/>
      <c r="D8" s="37" t="n"/>
      <c r="E8" s="37" t="n"/>
      <c r="F8" s="37" t="n"/>
      <c r="G8" s="37" t="n"/>
      <c r="H8" s="38" t="n"/>
      <c r="I8" s="23" t="inlineStr"/>
    </row>
    <row r="9">
      <c r="B9" s="41" t="inlineStr">
        <is>
          <t>管理费用</t>
        </is>
      </c>
      <c r="C9" s="37" t="n"/>
      <c r="D9" s="37" t="n"/>
      <c r="E9" s="37" t="n"/>
      <c r="F9" s="37" t="n"/>
      <c r="G9" s="37" t="n"/>
      <c r="H9" s="38" t="n"/>
      <c r="I9" s="23" t="inlineStr"/>
    </row>
    <row r="10" ht="29.2" customHeight="1">
      <c r="B10" s="41" t="inlineStr">
        <is>
          <t>研发费用</t>
        </is>
      </c>
      <c r="C10" s="37" t="n"/>
      <c r="D10" s="37" t="n"/>
      <c r="E10" s="37" t="n"/>
      <c r="F10" s="37" t="n"/>
      <c r="G10" s="37" t="n"/>
      <c r="H10" s="38" t="n"/>
      <c r="I10" s="23" t="inlineStr">
        <is>
          <t>研发费用资本化多的公司，利润会好看一些，附注里看资本化比例。</t>
        </is>
      </c>
    </row>
    <row r="11">
      <c r="B11" s="41" t="inlineStr">
        <is>
          <t>财务费用（利息收入多时是负数）</t>
        </is>
      </c>
      <c r="C11" s="37" t="n"/>
      <c r="D11" s="37" t="n"/>
      <c r="E11" s="37" t="n"/>
      <c r="F11" s="37" t="n"/>
      <c r="G11" s="37" t="n"/>
      <c r="H11" s="38" t="n"/>
      <c r="I11" s="23" t="inlineStr"/>
    </row>
    <row r="12">
      <c r="B12" s="41" t="inlineStr">
        <is>
          <t>营业利润</t>
        </is>
      </c>
      <c r="C12" s="37" t="n"/>
      <c r="D12" s="37" t="n"/>
      <c r="E12" s="37" t="n"/>
      <c r="F12" s="37" t="n"/>
      <c r="G12" s="37" t="n"/>
      <c r="H12" s="38" t="str">
        <f>IF(COUNT(C12:G12)&lt;2,"",IF(AND(N(C12)&gt;0,N(INDEX(C12:G12,COUNT(C12:G12)))&gt;0),(INDEX(C12:G12,COUNT(C12:G12))/C12)^(1/(COUNT(C12:G12)-1))-1,""))</f>
        <v/>
      </c>
      <c r="I12" s="23" t="inlineStr"/>
    </row>
    <row r="13" ht="16.6" customHeight="1">
      <c r="B13" s="41" t="inlineStr">
        <is>
          <t>归母净利润</t>
        </is>
      </c>
      <c r="C13" s="37" t="n"/>
      <c r="D13" s="37" t="n"/>
      <c r="E13" s="37" t="n"/>
      <c r="F13" s="37" t="n"/>
      <c r="G13" s="37" t="n"/>
      <c r="H13" s="38" t="str">
        <f>IF(COUNT(C13:G13)&lt;2,"",IF(AND(N(C13)&gt;0,N(INDEX(C13:G13,COUNT(C13:G13)))&gt;0),(INDEX(C13:G13,COUNT(C13:G13))/C13)^(1/(COUNT(C13:G13)-1))-1,""))</f>
        <v/>
      </c>
      <c r="I13" s="23" t="inlineStr">
        <is>
          <t>A股看合并报表「归属于母公司股东的净利润」。</t>
        </is>
      </c>
    </row>
    <row r="14" ht="29.2" customHeight="1">
      <c r="B14" s="41" t="inlineStr">
        <is>
          <t>扣非归母净利润</t>
        </is>
      </c>
      <c r="C14" s="37" t="n"/>
      <c r="D14" s="37" t="n"/>
      <c r="E14" s="37" t="n"/>
      <c r="F14" s="37" t="n"/>
      <c r="G14" s="37" t="n"/>
      <c r="H14" s="38" t="str">
        <f>IF(COUNT(C14:G14)&lt;2,"",IF(AND(N(C14)&gt;0,N(INDEX(C14:G14,COUNT(C14:G14)))&gt;0),(INDEX(C14:G14,COUNT(C14:G14))/C14)^(1/(COUNT(C14:G14)-1))-1,""))</f>
        <v/>
      </c>
      <c r="I14" s="23" t="inlineStr">
        <is>
          <t>A股年报直接有。美股没有这一行，可以填公司的调整后利润，但要知道那是公司自己的口径。</t>
        </is>
      </c>
    </row>
    <row r="15">
      <c r="B15" s="47" t="inlineStr">
        <is>
          <t>资产负债表（年末）</t>
        </is>
      </c>
      <c r="C15" s="47" t="n"/>
      <c r="D15" s="47" t="n"/>
      <c r="E15" s="47" t="n"/>
      <c r="F15" s="47" t="n"/>
      <c r="G15" s="47" t="n"/>
      <c r="H15" s="47" t="n"/>
      <c r="I15" s="47" t="n"/>
    </row>
    <row r="16">
      <c r="B16" s="41" t="inlineStr">
        <is>
          <t>总资产</t>
        </is>
      </c>
      <c r="C16" s="37" t="n"/>
      <c r="D16" s="37" t="n"/>
      <c r="E16" s="37" t="n"/>
      <c r="F16" s="37" t="n"/>
      <c r="G16" s="37" t="n"/>
      <c r="H16" s="38" t="n"/>
      <c r="I16" s="23" t="inlineStr"/>
    </row>
    <row r="17">
      <c r="B17" s="41" t="inlineStr">
        <is>
          <t>总负债</t>
        </is>
      </c>
      <c r="C17" s="37" t="n"/>
      <c r="D17" s="37" t="n"/>
      <c r="E17" s="37" t="n"/>
      <c r="F17" s="37" t="n"/>
      <c r="G17" s="37" t="n"/>
      <c r="H17" s="38" t="n"/>
      <c r="I17" s="23" t="inlineStr"/>
    </row>
    <row r="18">
      <c r="B18" s="41" t="inlineStr">
        <is>
          <t>归母股东权益</t>
        </is>
      </c>
      <c r="C18" s="37" t="n"/>
      <c r="D18" s="37" t="n"/>
      <c r="E18" s="37" t="n"/>
      <c r="F18" s="37" t="n"/>
      <c r="G18" s="37" t="n"/>
      <c r="H18" s="38" t="n"/>
      <c r="I18" s="23" t="inlineStr"/>
    </row>
    <row r="19">
      <c r="B19" s="41" t="inlineStr">
        <is>
          <t>货币资金（含短期理财）</t>
        </is>
      </c>
      <c r="C19" s="37" t="n"/>
      <c r="D19" s="37" t="n"/>
      <c r="E19" s="37" t="n"/>
      <c r="F19" s="37" t="n"/>
      <c r="G19" s="37" t="n"/>
      <c r="H19" s="38" t="n"/>
      <c r="I19" s="23" t="inlineStr"/>
    </row>
    <row r="20" ht="29.2" customHeight="1">
      <c r="B20" s="41" t="inlineStr">
        <is>
          <t>有息负债（借款、债券、租赁负债）</t>
        </is>
      </c>
      <c r="C20" s="37" t="n"/>
      <c r="D20" s="37" t="n"/>
      <c r="E20" s="37" t="n"/>
      <c r="F20" s="37" t="n"/>
      <c r="G20" s="37" t="n"/>
      <c r="H20" s="38" t="n"/>
      <c r="I20" s="23" t="inlineStr">
        <is>
          <t>短期借款、长期借款、应付债券、一年内到期的非流动负债、租赁负债加起来。</t>
        </is>
      </c>
    </row>
    <row r="21">
      <c r="B21" s="41" t="inlineStr">
        <is>
          <t>应收账款及票据</t>
        </is>
      </c>
      <c r="C21" s="37" t="n"/>
      <c r="D21" s="37" t="n"/>
      <c r="E21" s="37" t="n"/>
      <c r="F21" s="37" t="n"/>
      <c r="G21" s="37" t="n"/>
      <c r="H21" s="38" t="n"/>
      <c r="I21" s="23" t="inlineStr"/>
    </row>
    <row r="22">
      <c r="B22" s="41" t="inlineStr">
        <is>
          <t>存货</t>
        </is>
      </c>
      <c r="C22" s="37" t="n"/>
      <c r="D22" s="37" t="n"/>
      <c r="E22" s="37" t="n"/>
      <c r="F22" s="37" t="n"/>
      <c r="G22" s="37" t="n"/>
      <c r="H22" s="38" t="n"/>
      <c r="I22" s="23" t="inlineStr"/>
    </row>
    <row r="23">
      <c r="B23" s="41" t="inlineStr">
        <is>
          <t>商誉</t>
        </is>
      </c>
      <c r="C23" s="37" t="n"/>
      <c r="D23" s="37" t="n"/>
      <c r="E23" s="37" t="n"/>
      <c r="F23" s="37" t="n"/>
      <c r="G23" s="37" t="n"/>
      <c r="H23" s="38" t="n"/>
      <c r="I23" s="23" t="inlineStr"/>
    </row>
    <row r="24">
      <c r="B24" s="47" t="inlineStr">
        <is>
          <t>现金流量表</t>
        </is>
      </c>
      <c r="C24" s="47" t="n"/>
      <c r="D24" s="47" t="n"/>
      <c r="E24" s="47" t="n"/>
      <c r="F24" s="47" t="n"/>
      <c r="G24" s="47" t="n"/>
      <c r="H24" s="47" t="n"/>
      <c r="I24" s="47" t="n"/>
    </row>
    <row r="25">
      <c r="B25" s="41" t="inlineStr">
        <is>
          <t>经营活动现金流净额</t>
        </is>
      </c>
      <c r="C25" s="37" t="n"/>
      <c r="D25" s="37" t="n"/>
      <c r="E25" s="37" t="n"/>
      <c r="F25" s="37" t="n"/>
      <c r="G25" s="37" t="n"/>
      <c r="H25" s="38" t="str">
        <f>IF(COUNT(C25:G25)&lt;2,"",IF(AND(N(C25)&gt;0,N(INDEX(C25:G25,COUNT(C25:G25)))&gt;0),(INDEX(C25:G25,COUNT(C25:G25))/C25)^(1/(COUNT(C25:G25)-1))-1,""))</f>
        <v/>
      </c>
      <c r="I25" s="23" t="inlineStr"/>
    </row>
    <row r="26">
      <c r="B26" s="41" t="inlineStr">
        <is>
          <t>资本开支（购建长期资产支付的现金）</t>
        </is>
      </c>
      <c r="C26" s="37" t="n"/>
      <c r="D26" s="37" t="n"/>
      <c r="E26" s="37" t="n"/>
      <c r="F26" s="37" t="n"/>
      <c r="G26" s="37" t="n"/>
      <c r="H26" s="38" t="n"/>
      <c r="I26" s="23" t="inlineStr"/>
    </row>
    <row r="27" ht="29.2" customHeight="1">
      <c r="B27" s="41" t="inlineStr">
        <is>
          <t>现金分红（当年实际支付）</t>
        </is>
      </c>
      <c r="C27" s="37" t="n"/>
      <c r="D27" s="37" t="n"/>
      <c r="E27" s="37" t="n"/>
      <c r="F27" s="37" t="n"/>
      <c r="G27" s="37" t="n"/>
      <c r="H27" s="38" t="n"/>
      <c r="I27" s="23" t="inlineStr">
        <is>
          <t>按当年实际付出去的算，和「每 10 股派多少」的口径会差一年。</t>
        </is>
      </c>
    </row>
    <row r="28">
      <c r="B28" s="41" t="inlineStr">
        <is>
          <t>回购金额</t>
        </is>
      </c>
      <c r="C28" s="37" t="n"/>
      <c r="D28" s="37" t="n"/>
      <c r="E28" s="37" t="n"/>
      <c r="F28" s="37" t="n"/>
      <c r="G28" s="37" t="n"/>
      <c r="H28" s="38" t="n"/>
      <c r="I28" s="23" t="inlineStr"/>
    </row>
    <row r="29">
      <c r="B29" s="47" t="inlineStr">
        <is>
          <t>股本与股价</t>
        </is>
      </c>
      <c r="C29" s="47" t="n"/>
      <c r="D29" s="47" t="n"/>
      <c r="E29" s="47" t="n"/>
      <c r="F29" s="47" t="n"/>
      <c r="G29" s="47" t="n"/>
      <c r="H29" s="47" t="n"/>
      <c r="I29" s="47" t="n"/>
    </row>
    <row r="30" ht="16.6" customHeight="1">
      <c r="B30" s="41" t="inlineStr">
        <is>
          <t>期末总股本</t>
        </is>
      </c>
      <c r="C30" s="48" t="n"/>
      <c r="D30" s="48" t="n"/>
      <c r="E30" s="48" t="n"/>
      <c r="F30" s="48" t="n"/>
      <c r="G30" s="48" t="n"/>
      <c r="H30" s="38" t="n"/>
      <c r="I30" s="23" t="inlineStr">
        <is>
          <t>有回购、增发、可转债的，注意股本变化。</t>
        </is>
      </c>
    </row>
    <row r="31">
      <c r="B31" s="41" t="inlineStr">
        <is>
          <t>年末股价（可选，用来算 PE、PB、股息率）</t>
        </is>
      </c>
      <c r="C31" s="48" t="n"/>
      <c r="D31" s="48" t="n"/>
      <c r="E31" s="48" t="n"/>
      <c r="F31" s="48" t="n"/>
      <c r="G31" s="48" t="n"/>
      <c r="H31" s="38" t="n"/>
      <c r="I31" s="23" t="inlineStr"/>
    </row>
    <row r="32">
      <c r="B32" s="47" t="inlineStr">
        <is>
          <t>比率（自动算）</t>
        </is>
      </c>
      <c r="C32" s="47" t="n"/>
      <c r="D32" s="47" t="n"/>
      <c r="E32" s="47" t="n"/>
      <c r="F32" s="47" t="n"/>
      <c r="G32" s="47" t="n"/>
      <c r="H32" s="47" t="n"/>
      <c r="I32" s="47" t="n"/>
    </row>
    <row r="33" ht="16.6" customHeight="1">
      <c r="B33" s="41" t="inlineStr">
        <is>
          <t>收入增速</t>
        </is>
      </c>
      <c r="C33" s="38" t="str">
        <f>""</f>
        <v/>
      </c>
      <c r="D33" s="38" t="str">
        <f>IF(AND(N(C6)&gt;0,ISNUMBER(D6)),D6/C6-1,"")</f>
        <v/>
      </c>
      <c r="E33" s="38" t="str">
        <f>IF(AND(N(D6)&gt;0,ISNUMBER(E6)),E6/D6-1,"")</f>
        <v/>
      </c>
      <c r="F33" s="38" t="str">
        <f>IF(AND(N(E6)&gt;0,ISNUMBER(F6)),F6/E6-1,"")</f>
        <v/>
      </c>
      <c r="G33" s="38" t="str">
        <f>IF(AND(N(F6)&gt;0,ISNUMBER(G6)),G6/F6-1,"")</f>
        <v/>
      </c>
      <c r="H33" s="38" t="str">
        <f>IF(COUNT(C33:G33)=0,"",AVERAGE(C33:G33))</f>
        <v/>
      </c>
      <c r="I33" s="23" t="inlineStr">
        <is>
          <t>和行业增速比；连续几年快过行业，才说明在抢份额。</t>
        </is>
      </c>
    </row>
    <row r="34" ht="16.6" customHeight="1">
      <c r="B34" s="41" t="inlineStr">
        <is>
          <t>毛利率</t>
        </is>
      </c>
      <c r="C34" s="38" t="str">
        <f>IF(AND(N(C6)&gt;0,ISNUMBER(C7)),(C6-C7)/C6,"")</f>
        <v/>
      </c>
      <c r="D34" s="38" t="str">
        <f>IF(AND(N(D6)&gt;0,ISNUMBER(D7)),(D6-D7)/D6,"")</f>
        <v/>
      </c>
      <c r="E34" s="38" t="str">
        <f>IF(AND(N(E6)&gt;0,ISNUMBER(E7)),(E6-E7)/E6,"")</f>
        <v/>
      </c>
      <c r="F34" s="38" t="str">
        <f>IF(AND(N(F6)&gt;0,ISNUMBER(F7)),(F6-F7)/F6,"")</f>
        <v/>
      </c>
      <c r="G34" s="38" t="str">
        <f>IF(AND(N(G6)&gt;0,ISNUMBER(G7)),(G6-G7)/G6,"")</f>
        <v/>
      </c>
      <c r="H34" s="38" t="str">
        <f>IF(COUNT(C34:G34)=0,"",AVERAGE(C34:G34))</f>
        <v/>
      </c>
      <c r="I34" s="23" t="inlineStr">
        <is>
          <t>毛利率稳或慢慢升，说明有定价权；突然大跳要找原因。</t>
        </is>
      </c>
    </row>
    <row r="35">
      <c r="B35" s="41" t="inlineStr">
        <is>
          <t>四项费用率（销售+管理+研发+财务）</t>
        </is>
      </c>
      <c r="C35" s="38" t="str">
        <f>IF(AND(N(C6)&gt;0,COUNT(C8:C11)&gt;0),SUM(C8:C11)/C6,"")</f>
        <v/>
      </c>
      <c r="D35" s="38" t="str">
        <f>IF(AND(N(D6)&gt;0,COUNT(D8:D11)&gt;0),SUM(D8:D11)/D6,"")</f>
        <v/>
      </c>
      <c r="E35" s="38" t="str">
        <f>IF(AND(N(E6)&gt;0,COUNT(E8:E11)&gt;0),SUM(E8:E11)/E6,"")</f>
        <v/>
      </c>
      <c r="F35" s="38" t="str">
        <f>IF(AND(N(F6)&gt;0,COUNT(F8:F11)&gt;0),SUM(F8:F11)/F6,"")</f>
        <v/>
      </c>
      <c r="G35" s="38" t="str">
        <f>IF(AND(N(G6)&gt;0,COUNT(G8:G11)&gt;0),SUM(G8:G11)/G6,"")</f>
        <v/>
      </c>
      <c r="H35" s="38" t="str">
        <f>IF(COUNT(C35:G35)=0,"",AVERAGE(C35:G35))</f>
        <v/>
      </c>
      <c r="I35" s="23" t="inlineStr"/>
    </row>
    <row r="36">
      <c r="B36" s="41" t="inlineStr">
        <is>
          <t>研发费用率</t>
        </is>
      </c>
      <c r="C36" s="38" t="str">
        <f>IF(AND(N(C6)&gt;0,ISNUMBER(C10)),C10/C6,"")</f>
        <v/>
      </c>
      <c r="D36" s="38" t="str">
        <f>IF(AND(N(D6)&gt;0,ISNUMBER(D10)),D10/D6,"")</f>
        <v/>
      </c>
      <c r="E36" s="38" t="str">
        <f>IF(AND(N(E6)&gt;0,ISNUMBER(E10)),E10/E6,"")</f>
        <v/>
      </c>
      <c r="F36" s="38" t="str">
        <f>IF(AND(N(F6)&gt;0,ISNUMBER(F10)),F10/F6,"")</f>
        <v/>
      </c>
      <c r="G36" s="38" t="str">
        <f>IF(AND(N(G6)&gt;0,ISNUMBER(G10)),G10/G6,"")</f>
        <v/>
      </c>
      <c r="H36" s="38" t="str">
        <f>IF(COUNT(C36:G36)=0,"",AVERAGE(C36:G36))</f>
        <v/>
      </c>
      <c r="I36" s="23" t="inlineStr"/>
    </row>
    <row r="37">
      <c r="B37" s="41" t="inlineStr">
        <is>
          <t>净利率（归母）</t>
        </is>
      </c>
      <c r="C37" s="38" t="str">
        <f>IF(AND(N(C6)&gt;0,ISNUMBER(C13)),C13/C6,"")</f>
        <v/>
      </c>
      <c r="D37" s="38" t="str">
        <f>IF(AND(N(D6)&gt;0,ISNUMBER(D13)),D13/D6,"")</f>
        <v/>
      </c>
      <c r="E37" s="38" t="str">
        <f>IF(AND(N(E6)&gt;0,ISNUMBER(E13)),E13/E6,"")</f>
        <v/>
      </c>
      <c r="F37" s="38" t="str">
        <f>IF(AND(N(F6)&gt;0,ISNUMBER(F13)),F13/F6,"")</f>
        <v/>
      </c>
      <c r="G37" s="38" t="str">
        <f>IF(AND(N(G6)&gt;0,ISNUMBER(G13)),G13/G6,"")</f>
        <v/>
      </c>
      <c r="H37" s="38" t="str">
        <f>IF(COUNT(C37:G37)=0,"",AVERAGE(C37:G37))</f>
        <v/>
      </c>
      <c r="I37" s="23" t="inlineStr"/>
    </row>
    <row r="38" ht="16.6" customHeight="1">
      <c r="B38" s="41" t="inlineStr">
        <is>
          <t>扣非占归母净利</t>
        </is>
      </c>
      <c r="C38" s="38" t="str">
        <f>IF(AND(N(C13)&gt;0,ISNUMBER(C14)),C14/C13,"")</f>
        <v/>
      </c>
      <c r="D38" s="38" t="str">
        <f>IF(AND(N(D13)&gt;0,ISNUMBER(D14)),D14/D13,"")</f>
        <v/>
      </c>
      <c r="E38" s="38" t="str">
        <f>IF(AND(N(E13)&gt;0,ISNUMBER(E14)),E14/E13,"")</f>
        <v/>
      </c>
      <c r="F38" s="38" t="str">
        <f>IF(AND(N(F13)&gt;0,ISNUMBER(F14)),F14/F13,"")</f>
        <v/>
      </c>
      <c r="G38" s="38" t="str">
        <f>IF(AND(N(G13)&gt;0,ISNUMBER(G14)),G14/G13,"")</f>
        <v/>
      </c>
      <c r="H38" s="38" t="str">
        <f>IF(COUNT(C38:G38)=0,"",AVERAGE(C38:G38))</f>
        <v/>
      </c>
      <c r="I38" s="23" t="inlineStr">
        <is>
          <t>低于八成，说明利润里有一块不是主业赚的。</t>
        </is>
      </c>
    </row>
    <row r="39" ht="29.2" customHeight="1">
      <c r="B39" s="41" t="inlineStr">
        <is>
          <t>ROE（归母净利 ÷ 平均归母权益）</t>
        </is>
      </c>
      <c r="C39" s="38" t="str">
        <f>IF(AND(ISNUMBER(C13),N(C18)&gt;0),C13/C18,"")</f>
        <v/>
      </c>
      <c r="D39" s="38" t="str">
        <f>IF(AND(ISNUMBER(D13),N(D18)&gt;0),D13/IF(ISNUMBER(C18),(C18+D18)/2,D18),"")</f>
        <v/>
      </c>
      <c r="E39" s="38" t="str">
        <f>IF(AND(ISNUMBER(E13),N(E18)&gt;0),E13/IF(ISNUMBER(D18),(D18+E18)/2,E18),"")</f>
        <v/>
      </c>
      <c r="F39" s="38" t="str">
        <f>IF(AND(ISNUMBER(F13),N(F18)&gt;0),F13/IF(ISNUMBER(E18),(E18+F18)/2,F18),"")</f>
        <v/>
      </c>
      <c r="G39" s="38" t="str">
        <f>IF(AND(ISNUMBER(G13),N(G18)&gt;0),G13/IF(ISNUMBER(F18),(F18+G18)/2,G18),"")</f>
        <v/>
      </c>
      <c r="H39" s="38" t="str">
        <f>IF(COUNT(C39:G39)=0,"",AVERAGE(C39:G39))</f>
        <v/>
      </c>
      <c r="I39" s="23" t="inlineStr">
        <is>
          <t>第一年没有期初数，用期末权益算。高 ROE 先拆：净利率、周转、杠杆，靠借钱撑起来的要打折看。</t>
        </is>
      </c>
    </row>
    <row r="40">
      <c r="B40" s="41" t="inlineStr">
        <is>
          <t>资产负债率</t>
        </is>
      </c>
      <c r="C40" s="38" t="str">
        <f>IF(AND(N(C16)&gt;0,ISNUMBER(C17)),C17/C16,"")</f>
        <v/>
      </c>
      <c r="D40" s="38" t="str">
        <f>IF(AND(N(D16)&gt;0,ISNUMBER(D17)),D17/D16,"")</f>
        <v/>
      </c>
      <c r="E40" s="38" t="str">
        <f>IF(AND(N(E16)&gt;0,ISNUMBER(E17)),E17/E16,"")</f>
        <v/>
      </c>
      <c r="F40" s="38" t="str">
        <f>IF(AND(N(F16)&gt;0,ISNUMBER(F17)),F17/F16,"")</f>
        <v/>
      </c>
      <c r="G40" s="38" t="str">
        <f>IF(AND(N(G16)&gt;0,ISNUMBER(G17)),G17/G16,"")</f>
        <v/>
      </c>
      <c r="H40" s="38" t="str">
        <f>IF(COUNT(C40:G40)=0,"",AVERAGE(C40:G40))</f>
        <v/>
      </c>
      <c r="I40" s="23" t="inlineStr"/>
    </row>
    <row r="41" ht="16.6" customHeight="1">
      <c r="B41" s="41" t="inlineStr">
        <is>
          <t>有息负债率（有息负债 ÷ 总资产）</t>
        </is>
      </c>
      <c r="C41" s="38" t="str">
        <f>IF(AND(N(C16)&gt;0,ISNUMBER(C20)),C20/C16,"")</f>
        <v/>
      </c>
      <c r="D41" s="38" t="str">
        <f>IF(AND(N(D16)&gt;0,ISNUMBER(D20)),D20/D16,"")</f>
        <v/>
      </c>
      <c r="E41" s="38" t="str">
        <f>IF(AND(N(E16)&gt;0,ISNUMBER(E20)),E20/E16,"")</f>
        <v/>
      </c>
      <c r="F41" s="38" t="str">
        <f>IF(AND(N(F16)&gt;0,ISNUMBER(F20)),F20/F16,"")</f>
        <v/>
      </c>
      <c r="G41" s="38" t="str">
        <f>IF(AND(N(G16)&gt;0,ISNUMBER(G20)),G20/G16,"")</f>
        <v/>
      </c>
      <c r="H41" s="38" t="str">
        <f>IF(COUNT(C41:G41)=0,"",AVERAGE(C41:G41))</f>
        <v/>
      </c>
      <c r="I41" s="23" t="inlineStr">
        <is>
          <t>比总负债率更能看出还款压力。</t>
        </is>
      </c>
    </row>
    <row r="42" ht="16.6" customHeight="1">
      <c r="B42" s="41" t="inlineStr">
        <is>
          <t>净现金（货币资金 − 有息负债）</t>
        </is>
      </c>
      <c r="C42" s="39" t="str">
        <f>IF(AND(ISNUMBER(C19),ISNUMBER(C20)),C19-C20,"")</f>
        <v/>
      </c>
      <c r="D42" s="39" t="str">
        <f>IF(AND(ISNUMBER(D19),ISNUMBER(D20)),D19-D20,"")</f>
        <v/>
      </c>
      <c r="E42" s="39" t="str">
        <f>IF(AND(ISNUMBER(E19),ISNUMBER(E20)),E19-E20,"")</f>
        <v/>
      </c>
      <c r="F42" s="39" t="str">
        <f>IF(AND(ISNUMBER(F19),ISNUMBER(F20)),F19-F20,"")</f>
        <v/>
      </c>
      <c r="G42" s="39" t="str">
        <f>IF(AND(ISNUMBER(G19),ISNUMBER(G20)),G19-G20,"")</f>
        <v/>
      </c>
      <c r="H42" s="39" t="str">
        <f>IF(COUNT(C42:G42)=0,"",AVERAGE(C42:G42))</f>
        <v/>
      </c>
      <c r="I42" s="23" t="inlineStr">
        <is>
          <t>正数说明账上的钱比要还的债多。</t>
        </is>
      </c>
    </row>
    <row r="43" ht="29.2" customHeight="1">
      <c r="B43" s="41" t="inlineStr">
        <is>
          <t>收现比（经营现金流 ÷ 归母净利）</t>
        </is>
      </c>
      <c r="C43" s="49" t="str">
        <f>IF(AND(N(C13)&gt;0,ISNUMBER(C25)),C25/C13,"")</f>
        <v/>
      </c>
      <c r="D43" s="49" t="str">
        <f>IF(AND(N(D13)&gt;0,ISNUMBER(D25)),D25/D13,"")</f>
        <v/>
      </c>
      <c r="E43" s="49" t="str">
        <f>IF(AND(N(E13)&gt;0,ISNUMBER(E25)),E25/E13,"")</f>
        <v/>
      </c>
      <c r="F43" s="49" t="str">
        <f>IF(AND(N(F13)&gt;0,ISNUMBER(F25)),F25/F13,"")</f>
        <v/>
      </c>
      <c r="G43" s="49" t="str">
        <f>IF(AND(N(G13)&gt;0,ISNUMBER(G25)),G25/G13,"")</f>
        <v/>
      </c>
      <c r="H43" s="49" t="str">
        <f>IF(COUNT(C43:G43)=0,"",AVERAGE(C43:G43))</f>
        <v/>
      </c>
      <c r="I43" s="23" t="inlineStr">
        <is>
          <t>长期在 1 以上说明利润收得回现金；连续低于 0.8，去看应收和存货。</t>
        </is>
      </c>
    </row>
    <row r="44" ht="16.6" customHeight="1">
      <c r="B44" s="41" t="inlineStr">
        <is>
          <t>自由现金流（经营现金流 − 资本开支）</t>
        </is>
      </c>
      <c r="C44" s="39" t="str">
        <f>IF(AND(ISNUMBER(C25),ISNUMBER(C26)),C25-C26,"")</f>
        <v/>
      </c>
      <c r="D44" s="39" t="str">
        <f>IF(AND(ISNUMBER(D25),ISNUMBER(D26)),D25-D26,"")</f>
        <v/>
      </c>
      <c r="E44" s="39" t="str">
        <f>IF(AND(ISNUMBER(E25),ISNUMBER(E26)),E25-E26,"")</f>
        <v/>
      </c>
      <c r="F44" s="39" t="str">
        <f>IF(AND(ISNUMBER(F25),ISNUMBER(F26)),F25-F26,"")</f>
        <v/>
      </c>
      <c r="G44" s="39" t="str">
        <f>IF(AND(ISNUMBER(G25),ISNUMBER(G26)),G25-G26,"")</f>
        <v/>
      </c>
      <c r="H44" s="39" t="str">
        <f>IF(COUNT(C44:G44)=0,"",SUM(C44:G44))</f>
        <v/>
      </c>
      <c r="I44" s="23" t="inlineStr">
        <is>
          <t>估值页的基期现金流从这一行选。右边是五年合计。</t>
        </is>
      </c>
    </row>
    <row r="45">
      <c r="B45" s="41" t="inlineStr">
        <is>
          <t>自由现金流率（÷ 营业收入）</t>
        </is>
      </c>
      <c r="C45" s="38" t="str">
        <f>IF(AND(N(C6)&gt;0,ISNUMBER(C44)),C44/C6,"")</f>
        <v/>
      </c>
      <c r="D45" s="38" t="str">
        <f>IF(AND(N(D6)&gt;0,ISNUMBER(D44)),D44/D6,"")</f>
        <v/>
      </c>
      <c r="E45" s="38" t="str">
        <f>IF(AND(N(E6)&gt;0,ISNUMBER(E44)),E44/E6,"")</f>
        <v/>
      </c>
      <c r="F45" s="38" t="str">
        <f>IF(AND(N(F6)&gt;0,ISNUMBER(F44)),F44/F6,"")</f>
        <v/>
      </c>
      <c r="G45" s="38" t="str">
        <f>IF(AND(N(G6)&gt;0,ISNUMBER(G44)),G44/G6,"")</f>
        <v/>
      </c>
      <c r="H45" s="38" t="str">
        <f>IF(COUNT(C45:G45)=0,"",AVERAGE(C45:G45))</f>
        <v/>
      </c>
      <c r="I45" s="23" t="inlineStr"/>
    </row>
    <row r="46">
      <c r="B46" s="41" t="inlineStr">
        <is>
          <t>自由现金流 ÷ 归母净利</t>
        </is>
      </c>
      <c r="C46" s="49" t="str">
        <f>IF(AND(N(C13)&gt;0,ISNUMBER(C44)),C44/C13,"")</f>
        <v/>
      </c>
      <c r="D46" s="49" t="str">
        <f>IF(AND(N(D13)&gt;0,ISNUMBER(D44)),D44/D13,"")</f>
        <v/>
      </c>
      <c r="E46" s="49" t="str">
        <f>IF(AND(N(E13)&gt;0,ISNUMBER(E44)),E44/E13,"")</f>
        <v/>
      </c>
      <c r="F46" s="49" t="str">
        <f>IF(AND(N(F13)&gt;0,ISNUMBER(F44)),F44/F13,"")</f>
        <v/>
      </c>
      <c r="G46" s="49" t="str">
        <f>IF(AND(N(G13)&gt;0,ISNUMBER(G44)),G44/G13,"")</f>
        <v/>
      </c>
      <c r="H46" s="49" t="str">
        <f>IF(COUNT(C46:G46)=0,"",AVERAGE(C46:G46))</f>
        <v/>
      </c>
      <c r="I46" s="23" t="inlineStr"/>
    </row>
    <row r="47" ht="29.2" customHeight="1">
      <c r="B47" s="41" t="inlineStr">
        <is>
          <t>应收账款周转天数</t>
        </is>
      </c>
      <c r="C47" s="50" t="str">
        <f>IF(AND(N(C6)&gt;0,ISNUMBER(C21)),C21/C6*365,"")</f>
        <v/>
      </c>
      <c r="D47" s="50" t="str">
        <f>IF(AND(N(D6)&gt;0,ISNUMBER(D21)),D21/D6*365,"")</f>
        <v/>
      </c>
      <c r="E47" s="50" t="str">
        <f>IF(AND(N(E6)&gt;0,ISNUMBER(E21)),E21/E6*365,"")</f>
        <v/>
      </c>
      <c r="F47" s="50" t="str">
        <f>IF(AND(N(F6)&gt;0,ISNUMBER(F21)),F21/F6*365,"")</f>
        <v/>
      </c>
      <c r="G47" s="50" t="str">
        <f>IF(AND(N(G6)&gt;0,ISNUMBER(G21)),G21/G6*365,"")</f>
        <v/>
      </c>
      <c r="H47" s="50" t="str">
        <f>IF(COUNT(C47:G47)=0,"",AVERAGE(C47:G47))</f>
        <v/>
      </c>
      <c r="I47" s="23" t="inlineStr">
        <is>
          <t>用年末余额简算。天数一年比一年长，要问是不是在放宽账期换收入。</t>
        </is>
      </c>
    </row>
    <row r="48">
      <c r="B48" s="41" t="inlineStr">
        <is>
          <t>存货周转天数</t>
        </is>
      </c>
      <c r="C48" s="50" t="str">
        <f>IF(AND(N(C7)&gt;0,ISNUMBER(C22)),C22/C7*365,"")</f>
        <v/>
      </c>
      <c r="D48" s="50" t="str">
        <f>IF(AND(N(D7)&gt;0,ISNUMBER(D22)),D22/D7*365,"")</f>
        <v/>
      </c>
      <c r="E48" s="50" t="str">
        <f>IF(AND(N(E7)&gt;0,ISNUMBER(E22)),E22/E7*365,"")</f>
        <v/>
      </c>
      <c r="F48" s="50" t="str">
        <f>IF(AND(N(F7)&gt;0,ISNUMBER(F22)),F22/F7*365,"")</f>
        <v/>
      </c>
      <c r="G48" s="50" t="str">
        <f>IF(AND(N(G7)&gt;0,ISNUMBER(G22)),G22/G7*365,"")</f>
        <v/>
      </c>
      <c r="H48" s="50" t="str">
        <f>IF(COUNT(C48:G48)=0,"",AVERAGE(C48:G48))</f>
        <v/>
      </c>
      <c r="I48" s="23" t="inlineStr"/>
    </row>
    <row r="49" ht="16.6" customHeight="1">
      <c r="B49" s="41" t="inlineStr">
        <is>
          <t>商誉 ÷ 归母权益</t>
        </is>
      </c>
      <c r="C49" s="38" t="str">
        <f>IF(AND(N(C18)&gt;0,ISNUMBER(C23)),C23/C18,"")</f>
        <v/>
      </c>
      <c r="D49" s="38" t="str">
        <f>IF(AND(N(D18)&gt;0,ISNUMBER(D23)),D23/D18,"")</f>
        <v/>
      </c>
      <c r="E49" s="38" t="str">
        <f>IF(AND(N(E18)&gt;0,ISNUMBER(E23)),E23/E18,"")</f>
        <v/>
      </c>
      <c r="F49" s="38" t="str">
        <f>IF(AND(N(F18)&gt;0,ISNUMBER(F23)),F23/F18,"")</f>
        <v/>
      </c>
      <c r="G49" s="38" t="str">
        <f>IF(AND(N(G18)&gt;0,ISNUMBER(G23)),G23/G18,"")</f>
        <v/>
      </c>
      <c r="H49" s="38" t="str">
        <f>IF(COUNT(C49:G49)=0,"",AVERAGE(C49:G49))</f>
        <v/>
      </c>
      <c r="I49" s="23" t="inlineStr">
        <is>
          <t>并购多的公司要看；商誉减值会一次性吃掉利润。</t>
        </is>
      </c>
    </row>
    <row r="50">
      <c r="B50" s="41" t="inlineStr">
        <is>
          <t>分红率（现金分红 ÷ 归母净利）</t>
        </is>
      </c>
      <c r="C50" s="38" t="str">
        <f>IF(AND(N(C13)&gt;0,ISNUMBER(C27)),C27/C13,"")</f>
        <v/>
      </c>
      <c r="D50" s="38" t="str">
        <f>IF(AND(N(D13)&gt;0,ISNUMBER(D27)),D27/D13,"")</f>
        <v/>
      </c>
      <c r="E50" s="38" t="str">
        <f>IF(AND(N(E13)&gt;0,ISNUMBER(E27)),E27/E13,"")</f>
        <v/>
      </c>
      <c r="F50" s="38" t="str">
        <f>IF(AND(N(F13)&gt;0,ISNUMBER(F27)),F27/F13,"")</f>
        <v/>
      </c>
      <c r="G50" s="38" t="str">
        <f>IF(AND(N(G13)&gt;0,ISNUMBER(G27)),G27/G13,"")</f>
        <v/>
      </c>
      <c r="H50" s="38" t="str">
        <f>IF(COUNT(C50:G50)=0,"",AVERAGE(C50:G50))</f>
        <v/>
      </c>
      <c r="I50" s="23" t="inlineStr"/>
    </row>
    <row r="51">
      <c r="B51" s="41" t="inlineStr">
        <is>
          <t>每股收益</t>
        </is>
      </c>
      <c r="C51" s="49" t="str">
        <f>IF(AND(N(C30)&gt;0,ISNUMBER(C13)),C13/C30,"")</f>
        <v/>
      </c>
      <c r="D51" s="49" t="str">
        <f>IF(AND(N(D30)&gt;0,ISNUMBER(D13)),D13/D30,"")</f>
        <v/>
      </c>
      <c r="E51" s="49" t="str">
        <f>IF(AND(N(E30)&gt;0,ISNUMBER(E13)),E13/E30,"")</f>
        <v/>
      </c>
      <c r="F51" s="49" t="str">
        <f>IF(AND(N(F30)&gt;0,ISNUMBER(F13)),F13/F30,"")</f>
        <v/>
      </c>
      <c r="G51" s="49" t="str">
        <f>IF(AND(N(G30)&gt;0,ISNUMBER(G13)),G13/G30,"")</f>
        <v/>
      </c>
      <c r="H51" s="38" t="str">
        <f>IF(COUNT(C51:G51)&lt;2,"",IF(AND(N(C51)&gt;0,N(INDEX(C51:G51,COUNT(C51:G51)))&gt;0),(INDEX(C51:G51,COUNT(C51:G51))/C51)^(1/(COUNT(C51:G51)-1))-1,""))</f>
        <v/>
      </c>
      <c r="I51" s="23" t="inlineStr"/>
    </row>
    <row r="52">
      <c r="B52" s="41" t="inlineStr">
        <is>
          <t>每股净资产</t>
        </is>
      </c>
      <c r="C52" s="49" t="str">
        <f>IF(AND(N(C30)&gt;0,ISNUMBER(C18)),C18/C30,"")</f>
        <v/>
      </c>
      <c r="D52" s="49" t="str">
        <f>IF(AND(N(D30)&gt;0,ISNUMBER(D18)),D18/D30,"")</f>
        <v/>
      </c>
      <c r="E52" s="49" t="str">
        <f>IF(AND(N(E30)&gt;0,ISNUMBER(E18)),E18/E30,"")</f>
        <v/>
      </c>
      <c r="F52" s="49" t="str">
        <f>IF(AND(N(F30)&gt;0,ISNUMBER(F18)),F18/F30,"")</f>
        <v/>
      </c>
      <c r="G52" s="49" t="str">
        <f>IF(AND(N(G30)&gt;0,ISNUMBER(G18)),G18/G30,"")</f>
        <v/>
      </c>
      <c r="H52" s="38" t="str">
        <f>IF(COUNT(C52:G52)&lt;2,"",IF(AND(N(C52)&gt;0,N(INDEX(C52:G52,COUNT(C52:G52)))&gt;0),(INDEX(C52:G52,COUNT(C52:G52))/C52)^(1/(COUNT(C52:G52)-1))-1,""))</f>
        <v/>
      </c>
      <c r="I52" s="23" t="inlineStr"/>
    </row>
    <row r="53">
      <c r="B53" s="41" t="inlineStr">
        <is>
          <t>每股自由现金流</t>
        </is>
      </c>
      <c r="C53" s="49" t="str">
        <f>IF(AND(N(C30)&gt;0,ISNUMBER(C44)),C44/C30,"")</f>
        <v/>
      </c>
      <c r="D53" s="49" t="str">
        <f>IF(AND(N(D30)&gt;0,ISNUMBER(D44)),D44/D30,"")</f>
        <v/>
      </c>
      <c r="E53" s="49" t="str">
        <f>IF(AND(N(E30)&gt;0,ISNUMBER(E44)),E44/E30,"")</f>
        <v/>
      </c>
      <c r="F53" s="49" t="str">
        <f>IF(AND(N(F30)&gt;0,ISNUMBER(F44)),F44/F30,"")</f>
        <v/>
      </c>
      <c r="G53" s="49" t="str">
        <f>IF(AND(N(G30)&gt;0,ISNUMBER(G44)),G44/G30,"")</f>
        <v/>
      </c>
      <c r="H53" s="49" t="str">
        <f>IF(COUNT(C53:G53)=0,"",AVERAGE(C53:G53))</f>
        <v/>
      </c>
      <c r="I53" s="23" t="inlineStr"/>
    </row>
    <row r="54" ht="16.6" customHeight="1">
      <c r="B54" s="41" t="inlineStr">
        <is>
          <t>市盈率 PE（年末价）</t>
        </is>
      </c>
      <c r="C54" s="51" t="str">
        <f>IF(AND(N(C51)&gt;0,ISNUMBER(C31)),C31/C51,"")</f>
        <v/>
      </c>
      <c r="D54" s="51" t="str">
        <f>IF(AND(N(D51)&gt;0,ISNUMBER(D31)),D31/D51,"")</f>
        <v/>
      </c>
      <c r="E54" s="51" t="str">
        <f>IF(AND(N(E51)&gt;0,ISNUMBER(E31)),E31/E51,"")</f>
        <v/>
      </c>
      <c r="F54" s="51" t="str">
        <f>IF(AND(N(F51)&gt;0,ISNUMBER(F31)),F31/F51,"")</f>
        <v/>
      </c>
      <c r="G54" s="51" t="str">
        <f>IF(AND(N(G51)&gt;0,ISNUMBER(G31)),G31/G51,"")</f>
        <v/>
      </c>
      <c r="H54" s="51" t="str">
        <f>IF(COUNT(C54:G54)=0,"",AVERAGE(C54:G54))</f>
        <v/>
      </c>
      <c r="I54" s="23" t="inlineStr">
        <is>
          <t>只填了年末股价才有。</t>
        </is>
      </c>
    </row>
    <row r="55">
      <c r="B55" s="41" t="inlineStr">
        <is>
          <t>市净率 PB（年末价）</t>
        </is>
      </c>
      <c r="C55" s="49" t="str">
        <f>IF(AND(N(C52)&gt;0,ISNUMBER(C31)),C31/C52,"")</f>
        <v/>
      </c>
      <c r="D55" s="49" t="str">
        <f>IF(AND(N(D52)&gt;0,ISNUMBER(D31)),D31/D52,"")</f>
        <v/>
      </c>
      <c r="E55" s="49" t="str">
        <f>IF(AND(N(E52)&gt;0,ISNUMBER(E31)),E31/E52,"")</f>
        <v/>
      </c>
      <c r="F55" s="49" t="str">
        <f>IF(AND(N(F52)&gt;0,ISNUMBER(F31)),F31/F52,"")</f>
        <v/>
      </c>
      <c r="G55" s="49" t="str">
        <f>IF(AND(N(G52)&gt;0,ISNUMBER(G31)),G31/G52,"")</f>
        <v/>
      </c>
      <c r="H55" s="49" t="str">
        <f>IF(COUNT(C55:G55)=0,"",AVERAGE(C55:G55))</f>
        <v/>
      </c>
      <c r="I55" s="23" t="inlineStr"/>
    </row>
    <row r="56">
      <c r="B56" s="41" t="inlineStr">
        <is>
          <t>股息率（年末价）</t>
        </is>
      </c>
      <c r="C56" s="38" t="str">
        <f>IF(AND(N(C31)&gt;0,N(C30)&gt;0,ISNUMBER(C27)),C27/C30/C31,"")</f>
        <v/>
      </c>
      <c r="D56" s="38" t="str">
        <f>IF(AND(N(D31)&gt;0,N(D30)&gt;0,ISNUMBER(D27)),D27/D30/D31,"")</f>
        <v/>
      </c>
      <c r="E56" s="38" t="str">
        <f>IF(AND(N(E31)&gt;0,N(E30)&gt;0,ISNUMBER(E27)),E27/E30/E31,"")</f>
        <v/>
      </c>
      <c r="F56" s="38" t="str">
        <f>IF(AND(N(F31)&gt;0,N(F30)&gt;0,ISNUMBER(F27)),F27/F30/F31,"")</f>
        <v/>
      </c>
      <c r="G56" s="38" t="str">
        <f>IF(AND(N(G31)&gt;0,N(G30)&gt;0,ISNUMBER(G27)),G27/G30/G31,"")</f>
        <v/>
      </c>
      <c r="H56" s="38" t="str">
        <f>IF(COUNT(C56:G56)=0,"",AVERAGE(C56:G56))</f>
        <v/>
      </c>
      <c r="I56" s="23" t="inlineStr"/>
    </row>
    <row r="58">
      <c r="B58" s="25" t="inlineStr">
        <is>
          <t>财报红旗（自动查；阈值可以改）</t>
        </is>
      </c>
    </row>
    <row r="59">
      <c r="B59" s="26" t="inlineStr">
        <is>
          <t>检查</t>
        </is>
      </c>
      <c r="C59" s="26" t="inlineStr">
        <is>
          <t>阈值</t>
        </is>
      </c>
      <c r="D59" s="26" t="inlineStr">
        <is>
          <t>最近一年</t>
        </is>
      </c>
      <c r="E59" s="26" t="inlineStr">
        <is>
          <t>结果</t>
        </is>
      </c>
      <c r="F59" s="26" t="inlineStr">
        <is>
          <t>说明</t>
        </is>
      </c>
      <c r="G59" s="26" t="n"/>
      <c r="H59" s="26" t="n"/>
      <c r="I59" s="26" t="n"/>
    </row>
    <row r="60">
      <c r="B60" s="41" t="inlineStr">
        <is>
          <t>收现比连续两年低于阈值</t>
        </is>
      </c>
      <c r="C60" s="48" t="n">
        <v>0.8</v>
      </c>
      <c r="D60" s="49" t="str">
        <f>IF(COUNT(C43:G43)=0,"",INDEX(C43:G43,COUNT(C43:G43)))</f>
        <v/>
      </c>
      <c r="E60" s="42" t="str">
        <f>IF(COUNT(C43:G43)&lt;2,"",IF(AND(INDEX(C43:G43,COUNT(C43:G43))&lt;C60,INDEX(C43:G43,COUNT(C43:G43)-1)&lt;C60),"注意","正常"))</f>
        <v/>
      </c>
      <c r="F60" s="23" t="inlineStr">
        <is>
          <t>利润没变成现金。去看应收、存货和预付款。</t>
        </is>
      </c>
      <c r="G60" s="23" t="n"/>
      <c r="H60" s="23" t="n"/>
      <c r="I60" s="23" t="n"/>
    </row>
    <row r="61">
      <c r="B61" s="41" t="inlineStr">
        <is>
          <t>应收增速比收入增速快（超过阈值）</t>
        </is>
      </c>
      <c r="C61" s="34" t="n">
        <v>0.05</v>
      </c>
      <c r="D61" s="38" t="str">
        <f>IF(COUNT(C21:G21)&lt;2,"",IF(OR(N(INDEX(C21:G21,COUNT(C21:G21)-1))=0,N(INDEX(C6:G6,COUNT(C21:G21)-1))=0),"",(INDEX(C21:G21,COUNT(C21:G21))/INDEX(C21:G21,COUNT(C21:G21)-1)-1)-(INDEX(C6:G6,COUNT(C21:G21))/INDEX(C6:G6,COUNT(C21:G21)-1)-1)))</f>
        <v/>
      </c>
      <c r="E61" s="42" t="str">
        <f>IF(D61="","",IF(D61&gt;C61,"注意","正常"))</f>
        <v/>
      </c>
      <c r="F61" s="23" t="inlineStr">
        <is>
          <t>最近一年应收增速减收入增速。可能在放宽账期、给渠道压货。</t>
        </is>
      </c>
      <c r="G61" s="23" t="n"/>
      <c r="H61" s="23" t="n"/>
      <c r="I61" s="23" t="n"/>
    </row>
    <row r="62">
      <c r="B62" s="41" t="inlineStr">
        <is>
          <t>存货增速比营业成本增速快（超过阈值）</t>
        </is>
      </c>
      <c r="C62" s="34" t="n">
        <v>0.05</v>
      </c>
      <c r="D62" s="38" t="str">
        <f>IF(COUNT(C22:G22)&lt;2,"",IF(OR(N(INDEX(C22:G22,COUNT(C22:G22)-1))=0,N(INDEX(C7:G7,COUNT(C22:G22)-1))=0),"",(INDEX(C22:G22,COUNT(C22:G22))/INDEX(C22:G22,COUNT(C22:G22)-1)-1)-(INDEX(C7:G7,COUNT(C22:G22))/INDEX(C7:G7,COUNT(C22:G22)-1)-1)))</f>
        <v/>
      </c>
      <c r="E62" s="42" t="str">
        <f>IF(D62="","",IF(D62&gt;C62,"注意","正常"))</f>
        <v/>
      </c>
      <c r="F62" s="23" t="inlineStr">
        <is>
          <t>货卖不动，或者在囤货。</t>
        </is>
      </c>
      <c r="G62" s="23" t="n"/>
      <c r="H62" s="23" t="n"/>
      <c r="I62" s="23" t="n"/>
    </row>
    <row r="63">
      <c r="B63" s="41" t="inlineStr">
        <is>
          <t>扣非占归母净利低于阈值</t>
        </is>
      </c>
      <c r="C63" s="34" t="n">
        <v>0.8</v>
      </c>
      <c r="D63" s="38" t="str">
        <f>IF(COUNT(C38:G38)=0,"",INDEX(C38:G38,COUNT(C38:G38)))</f>
        <v/>
      </c>
      <c r="E63" s="42" t="str">
        <f>IF(D63="","",IF(D63&lt;C63,"注意","正常"))</f>
        <v/>
      </c>
      <c r="F63" s="23" t="inlineStr">
        <is>
          <t>利润靠卖资产、补贴这类一次性收入撑着。</t>
        </is>
      </c>
      <c r="G63" s="23" t="n"/>
      <c r="H63" s="23" t="n"/>
      <c r="I63" s="23" t="n"/>
    </row>
    <row r="64">
      <c r="B64" s="41" t="inlineStr">
        <is>
          <t>有息负债率高于阈值</t>
        </is>
      </c>
      <c r="C64" s="34" t="n">
        <v>0.3</v>
      </c>
      <c r="D64" s="38" t="str">
        <f>IF(COUNT(C41:G41)=0,"",INDEX(C41:G41,COUNT(C41:G41)))</f>
        <v/>
      </c>
      <c r="E64" s="42" t="str">
        <f>IF(D64="","",IF(D64&gt;C64,"注意","正常"))</f>
        <v/>
      </c>
      <c r="F64" s="23" t="inlineStr">
        <is>
          <t>不同行业差别大，按行业改阈值。</t>
        </is>
      </c>
      <c r="G64" s="23" t="n"/>
      <c r="H64" s="23" t="n"/>
      <c r="I64" s="23" t="n"/>
    </row>
    <row r="65">
      <c r="B65" s="41" t="inlineStr">
        <is>
          <t>商誉占归母权益高于阈值</t>
        </is>
      </c>
      <c r="C65" s="34" t="n">
        <v>0.3</v>
      </c>
      <c r="D65" s="38" t="str">
        <f>IF(COUNT(C49:G49)=0,"",INDEX(C49:G49,COUNT(C49:G49)))</f>
        <v/>
      </c>
      <c r="E65" s="42" t="str">
        <f>IF(D65="","",IF(D65&gt;C65,"注意","正常"))</f>
        <v/>
      </c>
      <c r="F65" s="23" t="inlineStr">
        <is>
          <t>减值风险。</t>
        </is>
      </c>
      <c r="G65" s="23" t="n"/>
      <c r="H65" s="23" t="n"/>
      <c r="I65" s="23" t="n"/>
    </row>
    <row r="66">
      <c r="B66" s="41" t="inlineStr">
        <is>
          <t>自由现金流连续两年为负</t>
        </is>
      </c>
      <c r="C66" s="37" t="n">
        <v>0</v>
      </c>
      <c r="D66" s="39" t="str">
        <f>IF(COUNT(C44:G44)=0,"",INDEX(C44:G44,COUNT(C44:G44)))</f>
        <v/>
      </c>
      <c r="E66" s="42" t="str">
        <f>IF(COUNT(C44:G44)&lt;2,"",IF(AND(INDEX(C44:G44,COUNT(C44:G44))&lt;C66,INDEX(C44:G44,COUNT(C44:G44)-1)&lt;C66),"注意","正常"))</f>
        <v/>
      </c>
      <c r="F66" s="23" t="inlineStr">
        <is>
          <t>扩张期可以理解，但要知道钱从哪里来。</t>
        </is>
      </c>
      <c r="G66" s="23" t="n"/>
      <c r="H66" s="23" t="n"/>
      <c r="I66" s="23" t="n"/>
    </row>
    <row r="67">
      <c r="B67" s="15" t="inlineStr">
        <is>
          <t>红旗合计</t>
        </is>
      </c>
      <c r="E67" s="44">
        <f>COUNTIF(E60:E66,"注意")</f>
        <v>0</v>
      </c>
      <c r="F67" s="23" t="inlineStr">
        <is>
          <t>两条以上，先别急着估值，把原因查清楚。</t>
        </is>
      </c>
      <c r="G67" s="23" t="n"/>
      <c r="H67" s="23" t="n"/>
      <c r="I67" s="23" t="n"/>
    </row>
  </sheetData>
  <mergeCells count="19">
    <mergeCell ref="F67:I67"/>
    <mergeCell ref="F61:I61"/>
    <mergeCell ref="G3:I3"/>
    <mergeCell ref="F60:I60"/>
    <mergeCell ref="A2:I2"/>
    <mergeCell ref="F64:I64"/>
    <mergeCell ref="F65:I65"/>
    <mergeCell ref="F63:I63"/>
    <mergeCell ref="G1:I1"/>
    <mergeCell ref="B29:I29"/>
    <mergeCell ref="F59:I59"/>
    <mergeCell ref="B15:I15"/>
    <mergeCell ref="B24:I24"/>
    <mergeCell ref="A1:F1"/>
    <mergeCell ref="F66:I66"/>
    <mergeCell ref="F62:I62"/>
    <mergeCell ref="B5:I5"/>
    <mergeCell ref="C3:D3"/>
    <mergeCell ref="B32:I32"/>
  </mergeCells>
  <conditionalFormatting sqref="E60:E66">
    <cfRule type="cellIs" priority="1" operator="equal" dxfId="4">
      <formula>"注意"</formula>
    </cfRule>
  </conditionalFormatting>
  <conditionalFormatting sqref="E67">
    <cfRule type="cellIs" priority="2" operator="greaterThanOrEqual" dxfId="1">
      <formula>2</formula>
    </cfRule>
  </conditionalFormatting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  <rowBreaks count="1" manualBreakCount="1">
    <brk id="57" min="0" max="16383" man="1"/>
  </rowBreaks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AQ7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1.5" customWidth="1" min="3" max="3"/>
    <col width="11.5" customWidth="1" min="4" max="4"/>
    <col width="11.5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 ht="30" customHeight="1">
      <c r="A1" s="13" t="inlineStr">
        <is>
          <t>估值：三种情景、敏感性、反推增长与可比公司</t>
        </is>
      </c>
      <c r="K1" s="14" t="inlineStr">
        <is>
          <t>TradeLearn · XtradingTime 交易内训</t>
        </is>
      </c>
    </row>
    <row r="2" ht="20" customHeight="1">
      <c r="A2" s="2" t="inlineStr">
        <is>
          <t>估值只回答一个问题：现在的价格里，市场押了多少增长。参数全是假设，改一格就能看到结果变多少。银行保险、强周期股在景气顶点、还在亏钱的公司不适合用这张表。</t>
        </is>
      </c>
    </row>
    <row r="4">
      <c r="B4" s="25" t="inlineStr">
        <is>
          <t>1. 基础数据</t>
        </is>
      </c>
      <c r="C4" s="26" t="inlineStr">
        <is>
          <t>你用的数</t>
        </is>
      </c>
      <c r="D4" s="26" t="inlineStr">
        <is>
          <t>财务页最近一年</t>
        </is>
      </c>
      <c r="E4" s="26" t="inlineStr">
        <is>
          <t>近三年平均</t>
        </is>
      </c>
      <c r="F4" s="26" t="inlineStr">
        <is>
          <t>说明</t>
        </is>
      </c>
      <c r="G4" s="26" t="n"/>
      <c r="H4" s="26" t="n"/>
      <c r="I4" s="26" t="n"/>
      <c r="J4" s="26" t="n"/>
      <c r="K4" s="26" t="n"/>
      <c r="L4" s="26" t="n"/>
      <c r="M4" s="26" t="n"/>
    </row>
    <row r="5">
      <c r="B5" s="41" t="inlineStr">
        <is>
          <t>当前股价</t>
        </is>
      </c>
      <c r="C5" s="48" t="n"/>
      <c r="D5" s="28" t="n"/>
      <c r="E5" s="28" t="n"/>
      <c r="F5" s="23" t="inlineStr">
        <is>
          <t>交易货币。港股注意报表货币和交易货币可能不一样。</t>
        </is>
      </c>
      <c r="G5" s="23" t="n"/>
      <c r="H5" s="23" t="n"/>
      <c r="I5" s="23" t="n"/>
      <c r="J5" s="23" t="n"/>
      <c r="K5" s="23" t="n"/>
      <c r="L5" s="23" t="n"/>
      <c r="M5" s="23" t="n"/>
    </row>
    <row r="6">
      <c r="B6" s="41" t="inlineStr">
        <is>
          <t>总股本</t>
        </is>
      </c>
      <c r="C6" s="48" t="n"/>
      <c r="D6" s="28" t="str">
        <f>IF(COUNT('财务'!$C$6:$G$6)=0,"",INDEX('财务'!$C$30:$G$30,COUNT('财务'!$C$6:$G$6)))</f>
        <v/>
      </c>
      <c r="E6" s="28" t="n"/>
      <c r="F6" s="23" t="inlineStr">
        <is>
          <t>单位和财务页一致。有回购、增发、可转债的，用最新股本。</t>
        </is>
      </c>
      <c r="G6" s="23" t="n"/>
      <c r="H6" s="23" t="n"/>
      <c r="I6" s="23" t="n"/>
      <c r="J6" s="23" t="n"/>
      <c r="K6" s="23" t="n"/>
      <c r="L6" s="23" t="n"/>
      <c r="M6" s="23" t="n"/>
    </row>
    <row r="7">
      <c r="B7" s="41" t="inlineStr">
        <is>
          <t>现金（货币资金 + 短期理财）</t>
        </is>
      </c>
      <c r="C7" s="37" t="n"/>
      <c r="D7" s="31" t="str">
        <f>IF(COUNT('财务'!$C$6:$G$6)=0,"",INDEX('财务'!$C$19:$G$19,COUNT('财务'!$C$6:$G$6)))</f>
        <v/>
      </c>
      <c r="E7" s="31" t="n"/>
      <c r="F7" s="23" t="inlineStr">
        <is>
          <t>用最近一期报表的数，不一定是年报。</t>
        </is>
      </c>
      <c r="G7" s="23" t="n"/>
      <c r="H7" s="23" t="n"/>
      <c r="I7" s="23" t="n"/>
      <c r="J7" s="23" t="n"/>
      <c r="K7" s="23" t="n"/>
      <c r="L7" s="23" t="n"/>
      <c r="M7" s="23" t="n"/>
    </row>
    <row r="8">
      <c r="B8" s="41" t="inlineStr">
        <is>
          <t>有息负债</t>
        </is>
      </c>
      <c r="C8" s="37" t="n"/>
      <c r="D8" s="31" t="str">
        <f>IF(COUNT('财务'!$C$6:$G$6)=0,"",INDEX('财务'!$C$20:$G$20,COUNT('财务'!$C$6:$G$6)))</f>
        <v/>
      </c>
      <c r="E8" s="31" t="n"/>
      <c r="F8" s="23" t="inlineStr"/>
      <c r="G8" s="23" t="n"/>
      <c r="H8" s="23" t="n"/>
      <c r="I8" s="23" t="n"/>
      <c r="J8" s="23" t="n"/>
      <c r="K8" s="23" t="n"/>
      <c r="L8" s="23" t="n"/>
      <c r="M8" s="23" t="n"/>
    </row>
    <row r="9">
      <c r="B9" s="41" t="inlineStr">
        <is>
          <t>净现金（现金 − 有息负债）</t>
        </is>
      </c>
      <c r="C9" s="39" t="str">
        <f>IF(AND(ISNUMBER(C7),ISNUMBER(C8)),C7-C8,"")</f>
        <v/>
      </c>
      <c r="D9" s="31" t="n"/>
      <c r="E9" s="31" t="n"/>
      <c r="F9" s="23" t="inlineStr">
        <is>
          <t>负数就是净负债，会从估值里扣掉。</t>
        </is>
      </c>
      <c r="G9" s="23" t="n"/>
      <c r="H9" s="23" t="n"/>
      <c r="I9" s="23" t="n"/>
      <c r="J9" s="23" t="n"/>
      <c r="K9" s="23" t="n"/>
      <c r="L9" s="23" t="n"/>
      <c r="M9" s="23" t="n"/>
    </row>
    <row r="10">
      <c r="B10" s="41" t="inlineStr">
        <is>
          <t>总市值</t>
        </is>
      </c>
      <c r="C10" s="39" t="str">
        <f>IF(AND(ISNUMBER(C5),ISNUMBER(C6)),C5*C6,"")</f>
        <v/>
      </c>
      <c r="D10" s="31" t="n"/>
      <c r="E10" s="31" t="n"/>
      <c r="F10" s="23" t="inlineStr"/>
      <c r="G10" s="23" t="n"/>
      <c r="H10" s="23" t="n"/>
      <c r="I10" s="23" t="n"/>
      <c r="J10" s="23" t="n"/>
      <c r="K10" s="23" t="n"/>
      <c r="L10" s="23" t="n"/>
      <c r="M10" s="23" t="n"/>
    </row>
    <row r="11">
      <c r="B11" s="41" t="inlineStr">
        <is>
          <t>基期自由现金流</t>
        </is>
      </c>
      <c r="C11" s="37" t="n"/>
      <c r="D11" s="31" t="str">
        <f>IF(COUNT('财务'!$C$6:$G$6)=0,"",INDEX('财务'!$C$44:$G$44,COUNT('财务'!$C$6:$G$6)))</f>
        <v/>
      </c>
      <c r="E11" s="31" t="str">
        <f>IF(COUNT('财务'!$C$44:$G$44)&lt;3,"",(INDEX('财务'!$C$44:$G$44,COUNT('财务'!$C$44:$G$44))+INDEX('财务'!$C$44:$G$44,COUNT('财务'!$C$44:$G$44)-1)+INDEX('财务'!$C$44:$G$44,COUNT('财务'!$C$44:$G$44)-2))/3)</f>
        <v/>
      </c>
      <c r="F11" s="23" t="inlineStr">
        <is>
          <t>右边是财务页最近一年和近三年平均。波动大的公司，用几年平均做基期更稳。</t>
        </is>
      </c>
      <c r="G11" s="23" t="n"/>
      <c r="H11" s="23" t="n"/>
      <c r="I11" s="23" t="n"/>
      <c r="J11" s="23" t="n"/>
      <c r="K11" s="23" t="n"/>
      <c r="L11" s="23" t="n"/>
      <c r="M11" s="23" t="n"/>
    </row>
    <row r="13">
      <c r="B13" s="25" t="inlineStr">
        <is>
          <t>2. 三种情景的假设</t>
        </is>
      </c>
    </row>
    <row r="14">
      <c r="B14" s="26" t="inlineStr">
        <is>
          <t>假设</t>
        </is>
      </c>
      <c r="C14" s="26" t="inlineStr">
        <is>
          <t>悲观</t>
        </is>
      </c>
      <c r="D14" s="26" t="inlineStr">
        <is>
          <t>基准</t>
        </is>
      </c>
      <c r="E14" s="26" t="inlineStr">
        <is>
          <t>乐观</t>
        </is>
      </c>
      <c r="F14" s="26" t="inlineStr">
        <is>
          <t>怎么定</t>
        </is>
      </c>
      <c r="G14" s="26" t="n"/>
      <c r="H14" s="26" t="n"/>
      <c r="I14" s="26" t="n"/>
      <c r="J14" s="26" t="n"/>
      <c r="K14" s="26" t="n"/>
      <c r="L14" s="26" t="n"/>
      <c r="M14" s="26" t="n"/>
    </row>
    <row r="15">
      <c r="B15" s="41" t="inlineStr">
        <is>
          <t>前 5 年自由现金流增速</t>
        </is>
      </c>
      <c r="C15" s="34" t="n"/>
      <c r="D15" s="34" t="n"/>
      <c r="E15" s="34" t="n"/>
      <c r="F15" s="23" t="inlineStr">
        <is>
          <t>参考财务页五年复合增速和行业增速，别直接外推最好的那几年。</t>
        </is>
      </c>
      <c r="G15" s="23" t="n"/>
      <c r="H15" s="23" t="n"/>
      <c r="I15" s="23" t="n"/>
      <c r="J15" s="23" t="n"/>
      <c r="K15" s="23" t="n"/>
      <c r="L15" s="23" t="n"/>
      <c r="M15" s="23" t="n"/>
    </row>
    <row r="16">
      <c r="B16" s="41" t="inlineStr">
        <is>
          <t>第 6～10 年增速</t>
        </is>
      </c>
      <c r="C16" s="34" t="n"/>
      <c r="D16" s="34" t="n"/>
      <c r="E16" s="34" t="n"/>
      <c r="F16" s="23" t="inlineStr">
        <is>
          <t>竞争会把高增长拉回来，一般比前 5 年低。</t>
        </is>
      </c>
      <c r="G16" s="23" t="n"/>
      <c r="H16" s="23" t="n"/>
      <c r="I16" s="23" t="n"/>
      <c r="J16" s="23" t="n"/>
      <c r="K16" s="23" t="n"/>
      <c r="L16" s="23" t="n"/>
      <c r="M16" s="23" t="n"/>
    </row>
    <row r="17">
      <c r="B17" s="41" t="inlineStr">
        <is>
          <t>永续增长率（第 10 年以后）</t>
        </is>
      </c>
      <c r="C17" s="34" t="n"/>
      <c r="D17" s="34" t="n"/>
      <c r="E17" s="34" t="n"/>
      <c r="F17" s="23" t="inlineStr">
        <is>
          <t>一般不高于长期名义经济增速，而且必须小于折现率。</t>
        </is>
      </c>
      <c r="G17" s="23" t="n"/>
      <c r="H17" s="23" t="n"/>
      <c r="I17" s="23" t="n"/>
      <c r="J17" s="23" t="n"/>
      <c r="K17" s="23" t="n"/>
      <c r="L17" s="23" t="n"/>
      <c r="M17" s="23" t="n"/>
    </row>
    <row r="18">
      <c r="B18" s="41" t="inlineStr">
        <is>
          <t>折现率</t>
        </is>
      </c>
      <c r="C18" s="34" t="n"/>
      <c r="D18" s="34" t="n"/>
      <c r="E18" s="34" t="n"/>
      <c r="F18" s="23" t="inlineStr">
        <is>
          <t>你要求的年回报率。三种情景用不用同一个都行，但要说得出理由。</t>
        </is>
      </c>
      <c r="G18" s="23" t="n"/>
      <c r="H18" s="23" t="n"/>
      <c r="I18" s="23" t="n"/>
      <c r="J18" s="23" t="n"/>
      <c r="K18" s="23" t="n"/>
      <c r="L18" s="23" t="n"/>
      <c r="M18" s="23" t="n"/>
    </row>
    <row r="19" ht="30" customHeight="1">
      <c r="B19" s="41" t="inlineStr">
        <is>
          <t>这个情景在讲什么（一句话）</t>
        </is>
      </c>
      <c r="C19" s="32" t="n"/>
      <c r="D19" s="32" t="n"/>
      <c r="E19" s="32" t="n"/>
      <c r="F19" s="23" t="inlineStr">
        <is>
          <t>说不出故事的数字，往往是拍脑袋来的。</t>
        </is>
      </c>
      <c r="G19" s="23" t="n"/>
      <c r="H19" s="23" t="n"/>
      <c r="I19" s="23" t="n"/>
      <c r="J19" s="23" t="n"/>
      <c r="K19" s="23" t="n"/>
      <c r="L19" s="23" t="n"/>
      <c r="M19" s="23" t="n"/>
    </row>
    <row r="21">
      <c r="B21" s="25" t="inlineStr">
        <is>
          <t>3. 逐年自由现金流（单位同财务页）</t>
        </is>
      </c>
    </row>
    <row r="22">
      <c r="B22" s="26" t="inlineStr">
        <is>
          <t>情景</t>
        </is>
      </c>
      <c r="C22" s="26" t="inlineStr">
        <is>
          <t>项目</t>
        </is>
      </c>
      <c r="D22" s="52" t="n">
        <v>1</v>
      </c>
      <c r="E22" s="52" t="n">
        <v>2</v>
      </c>
      <c r="F22" s="52" t="n">
        <v>3</v>
      </c>
      <c r="G22" s="52" t="n">
        <v>4</v>
      </c>
      <c r="H22" s="52" t="n">
        <v>5</v>
      </c>
      <c r="I22" s="52" t="n">
        <v>6</v>
      </c>
      <c r="J22" s="52" t="n">
        <v>7</v>
      </c>
      <c r="K22" s="52" t="n">
        <v>8</v>
      </c>
      <c r="L22" s="52" t="n">
        <v>9</v>
      </c>
      <c r="M22" s="52" t="n">
        <v>10</v>
      </c>
    </row>
    <row r="23">
      <c r="B23" s="15" t="inlineStr">
        <is>
          <t>悲观</t>
        </is>
      </c>
      <c r="C23" s="43" t="inlineStr">
        <is>
          <t>现金流</t>
        </is>
      </c>
      <c r="D23" s="39" t="str">
        <f>IF(ISNUMBER($C$11),$C$11*(1+$C$15),"")</f>
        <v/>
      </c>
      <c r="E23" s="39" t="str">
        <f>IF(ISNUMBER(D23),D23*(1+$C$15),"")</f>
        <v/>
      </c>
      <c r="F23" s="39" t="str">
        <f>IF(ISNUMBER(E23),E23*(1+$C$15),"")</f>
        <v/>
      </c>
      <c r="G23" s="39" t="str">
        <f>IF(ISNUMBER(F23),F23*(1+$C$15),"")</f>
        <v/>
      </c>
      <c r="H23" s="39" t="str">
        <f>IF(ISNUMBER(G23),G23*(1+$C$15),"")</f>
        <v/>
      </c>
      <c r="I23" s="39" t="str">
        <f>IF(ISNUMBER(H23),H23*(1+$C$16),"")</f>
        <v/>
      </c>
      <c r="J23" s="39" t="str">
        <f>IF(ISNUMBER(I23),I23*(1+$C$16),"")</f>
        <v/>
      </c>
      <c r="K23" s="39" t="str">
        <f>IF(ISNUMBER(J23),J23*(1+$C$16),"")</f>
        <v/>
      </c>
      <c r="L23" s="39" t="str">
        <f>IF(ISNUMBER(K23),K23*(1+$C$16),"")</f>
        <v/>
      </c>
      <c r="M23" s="39" t="str">
        <f>IF(ISNUMBER(L23),L23*(1+$C$16),"")</f>
        <v/>
      </c>
    </row>
    <row r="24">
      <c r="B24" s="15" t="inlineStr">
        <is>
          <t>悲观</t>
        </is>
      </c>
      <c r="C24" s="43" t="inlineStr">
        <is>
          <t>折现到今天</t>
        </is>
      </c>
      <c r="D24" s="39" t="str">
        <f>IF(ISNUMBER(D23),D23/(1+$C$18)^D$22,"")</f>
        <v/>
      </c>
      <c r="E24" s="39" t="str">
        <f>IF(ISNUMBER(E23),E23/(1+$C$18)^E$22,"")</f>
        <v/>
      </c>
      <c r="F24" s="39" t="str">
        <f>IF(ISNUMBER(F23),F23/(1+$C$18)^F$22,"")</f>
        <v/>
      </c>
      <c r="G24" s="39" t="str">
        <f>IF(ISNUMBER(G23),G23/(1+$C$18)^G$22,"")</f>
        <v/>
      </c>
      <c r="H24" s="39" t="str">
        <f>IF(ISNUMBER(H23),H23/(1+$C$18)^H$22,"")</f>
        <v/>
      </c>
      <c r="I24" s="39" t="str">
        <f>IF(ISNUMBER(I23),I23/(1+$C$18)^I$22,"")</f>
        <v/>
      </c>
      <c r="J24" s="39" t="str">
        <f>IF(ISNUMBER(J23),J23/(1+$C$18)^J$22,"")</f>
        <v/>
      </c>
      <c r="K24" s="39" t="str">
        <f>IF(ISNUMBER(K23),K23/(1+$C$18)^K$22,"")</f>
        <v/>
      </c>
      <c r="L24" s="39" t="str">
        <f>IF(ISNUMBER(L23),L23/(1+$C$18)^L$22,"")</f>
        <v/>
      </c>
      <c r="M24" s="39" t="str">
        <f>IF(ISNUMBER(M23),M23/(1+$C$18)^M$22,"")</f>
        <v/>
      </c>
    </row>
    <row r="25">
      <c r="B25" s="15" t="inlineStr">
        <is>
          <t>基准</t>
        </is>
      </c>
      <c r="C25" s="43" t="inlineStr">
        <is>
          <t>现金流</t>
        </is>
      </c>
      <c r="D25" s="39" t="str">
        <f>IF(ISNUMBER($C$11),$C$11*(1+$D$15),"")</f>
        <v/>
      </c>
      <c r="E25" s="39" t="str">
        <f>IF(ISNUMBER(D25),D25*(1+$D$15),"")</f>
        <v/>
      </c>
      <c r="F25" s="39" t="str">
        <f>IF(ISNUMBER(E25),E25*(1+$D$15),"")</f>
        <v/>
      </c>
      <c r="G25" s="39" t="str">
        <f>IF(ISNUMBER(F25),F25*(1+$D$15),"")</f>
        <v/>
      </c>
      <c r="H25" s="39" t="str">
        <f>IF(ISNUMBER(G25),G25*(1+$D$15),"")</f>
        <v/>
      </c>
      <c r="I25" s="39" t="str">
        <f>IF(ISNUMBER(H25),H25*(1+$D$16),"")</f>
        <v/>
      </c>
      <c r="J25" s="39" t="str">
        <f>IF(ISNUMBER(I25),I25*(1+$D$16),"")</f>
        <v/>
      </c>
      <c r="K25" s="39" t="str">
        <f>IF(ISNUMBER(J25),J25*(1+$D$16),"")</f>
        <v/>
      </c>
      <c r="L25" s="39" t="str">
        <f>IF(ISNUMBER(K25),K25*(1+$D$16),"")</f>
        <v/>
      </c>
      <c r="M25" s="39" t="str">
        <f>IF(ISNUMBER(L25),L25*(1+$D$16),"")</f>
        <v/>
      </c>
    </row>
    <row r="26">
      <c r="B26" s="15" t="inlineStr">
        <is>
          <t>基准</t>
        </is>
      </c>
      <c r="C26" s="43" t="inlineStr">
        <is>
          <t>折现到今天</t>
        </is>
      </c>
      <c r="D26" s="39" t="str">
        <f>IF(ISNUMBER(D25),D25/(1+$D$18)^D$22,"")</f>
        <v/>
      </c>
      <c r="E26" s="39" t="str">
        <f>IF(ISNUMBER(E25),E25/(1+$D$18)^E$22,"")</f>
        <v/>
      </c>
      <c r="F26" s="39" t="str">
        <f>IF(ISNUMBER(F25),F25/(1+$D$18)^F$22,"")</f>
        <v/>
      </c>
      <c r="G26" s="39" t="str">
        <f>IF(ISNUMBER(G25),G25/(1+$D$18)^G$22,"")</f>
        <v/>
      </c>
      <c r="H26" s="39" t="str">
        <f>IF(ISNUMBER(H25),H25/(1+$D$18)^H$22,"")</f>
        <v/>
      </c>
      <c r="I26" s="39" t="str">
        <f>IF(ISNUMBER(I25),I25/(1+$D$18)^I$22,"")</f>
        <v/>
      </c>
      <c r="J26" s="39" t="str">
        <f>IF(ISNUMBER(J25),J25/(1+$D$18)^J$22,"")</f>
        <v/>
      </c>
      <c r="K26" s="39" t="str">
        <f>IF(ISNUMBER(K25),K25/(1+$D$18)^K$22,"")</f>
        <v/>
      </c>
      <c r="L26" s="39" t="str">
        <f>IF(ISNUMBER(L25),L25/(1+$D$18)^L$22,"")</f>
        <v/>
      </c>
      <c r="M26" s="39" t="str">
        <f>IF(ISNUMBER(M25),M25/(1+$D$18)^M$22,"")</f>
        <v/>
      </c>
    </row>
    <row r="27">
      <c r="B27" s="15" t="inlineStr">
        <is>
          <t>乐观</t>
        </is>
      </c>
      <c r="C27" s="43" t="inlineStr">
        <is>
          <t>现金流</t>
        </is>
      </c>
      <c r="D27" s="39" t="str">
        <f>IF(ISNUMBER($C$11),$C$11*(1+$E$15),"")</f>
        <v/>
      </c>
      <c r="E27" s="39" t="str">
        <f>IF(ISNUMBER(D27),D27*(1+$E$15),"")</f>
        <v/>
      </c>
      <c r="F27" s="39" t="str">
        <f>IF(ISNUMBER(E27),E27*(1+$E$15),"")</f>
        <v/>
      </c>
      <c r="G27" s="39" t="str">
        <f>IF(ISNUMBER(F27),F27*(1+$E$15),"")</f>
        <v/>
      </c>
      <c r="H27" s="39" t="str">
        <f>IF(ISNUMBER(G27),G27*(1+$E$15),"")</f>
        <v/>
      </c>
      <c r="I27" s="39" t="str">
        <f>IF(ISNUMBER(H27),H27*(1+$E$16),"")</f>
        <v/>
      </c>
      <c r="J27" s="39" t="str">
        <f>IF(ISNUMBER(I27),I27*(1+$E$16),"")</f>
        <v/>
      </c>
      <c r="K27" s="39" t="str">
        <f>IF(ISNUMBER(J27),J27*(1+$E$16),"")</f>
        <v/>
      </c>
      <c r="L27" s="39" t="str">
        <f>IF(ISNUMBER(K27),K27*(1+$E$16),"")</f>
        <v/>
      </c>
      <c r="M27" s="39" t="str">
        <f>IF(ISNUMBER(L27),L27*(1+$E$16),"")</f>
        <v/>
      </c>
    </row>
    <row r="28">
      <c r="B28" s="15" t="inlineStr">
        <is>
          <t>乐观</t>
        </is>
      </c>
      <c r="C28" s="43" t="inlineStr">
        <is>
          <t>折现到今天</t>
        </is>
      </c>
      <c r="D28" s="39" t="str">
        <f>IF(ISNUMBER(D27),D27/(1+$E$18)^D$22,"")</f>
        <v/>
      </c>
      <c r="E28" s="39" t="str">
        <f>IF(ISNUMBER(E27),E27/(1+$E$18)^E$22,"")</f>
        <v/>
      </c>
      <c r="F28" s="39" t="str">
        <f>IF(ISNUMBER(F27),F27/(1+$E$18)^F$22,"")</f>
        <v/>
      </c>
      <c r="G28" s="39" t="str">
        <f>IF(ISNUMBER(G27),G27/(1+$E$18)^G$22,"")</f>
        <v/>
      </c>
      <c r="H28" s="39" t="str">
        <f>IF(ISNUMBER(H27),H27/(1+$E$18)^H$22,"")</f>
        <v/>
      </c>
      <c r="I28" s="39" t="str">
        <f>IF(ISNUMBER(I27),I27/(1+$E$18)^I$22,"")</f>
        <v/>
      </c>
      <c r="J28" s="39" t="str">
        <f>IF(ISNUMBER(J27),J27/(1+$E$18)^J$22,"")</f>
        <v/>
      </c>
      <c r="K28" s="39" t="str">
        <f>IF(ISNUMBER(K27),K27/(1+$E$18)^K$22,"")</f>
        <v/>
      </c>
      <c r="L28" s="39" t="str">
        <f>IF(ISNUMBER(L27),L27/(1+$E$18)^L$22,"")</f>
        <v/>
      </c>
      <c r="M28" s="39" t="str">
        <f>IF(ISNUMBER(M27),M27/(1+$E$18)^M$22,"")</f>
        <v/>
      </c>
    </row>
    <row r="30">
      <c r="B30" s="25" t="inlineStr">
        <is>
          <t>4. 估值结果</t>
        </is>
      </c>
    </row>
    <row r="31">
      <c r="B31" s="26" t="inlineStr">
        <is>
          <t>项目</t>
        </is>
      </c>
      <c r="C31" s="26" t="inlineStr">
        <is>
          <t>悲观</t>
        </is>
      </c>
      <c r="D31" s="26" t="inlineStr">
        <is>
          <t>基准</t>
        </is>
      </c>
      <c r="E31" s="26" t="inlineStr">
        <is>
          <t>乐观</t>
        </is>
      </c>
      <c r="F31" s="26" t="inlineStr">
        <is>
          <t>说明</t>
        </is>
      </c>
      <c r="G31" s="26" t="n"/>
      <c r="H31" s="26" t="n"/>
      <c r="I31" s="26" t="n"/>
      <c r="J31" s="26" t="n"/>
      <c r="K31" s="26" t="n"/>
      <c r="L31" s="26" t="n"/>
      <c r="M31" s="26" t="n"/>
    </row>
    <row r="32">
      <c r="B32" s="41" t="inlineStr">
        <is>
          <t>10 年现值合计</t>
        </is>
      </c>
      <c r="C32" s="39" t="str">
        <f>IF(COUNT(D24:M24)=10,SUM(D24:M24),"")</f>
        <v/>
      </c>
      <c r="D32" s="39" t="str">
        <f>IF(COUNT(D26:M26)=10,SUM(D26:M26),"")</f>
        <v/>
      </c>
      <c r="E32" s="39" t="str">
        <f>IF(COUNT(D28:M28)=10,SUM(D28:M28),"")</f>
        <v/>
      </c>
      <c r="F32" s="23" t="inlineStr"/>
      <c r="G32" s="23" t="n"/>
      <c r="H32" s="23" t="n"/>
      <c r="I32" s="23" t="n"/>
      <c r="J32" s="23" t="n"/>
      <c r="K32" s="23" t="n"/>
      <c r="L32" s="23" t="n"/>
      <c r="M32" s="23" t="n"/>
    </row>
    <row r="33">
      <c r="B33" s="41" t="inlineStr">
        <is>
          <t>第 10 年以后的终值</t>
        </is>
      </c>
      <c r="C33" s="39" t="str">
        <f>IF(AND(ISNUMBER(M23),C18&gt;C17),M23*(1+C17)/(C18-C17),"")</f>
        <v/>
      </c>
      <c r="D33" s="39" t="str">
        <f>IF(AND(ISNUMBER(M25),D18&gt;D17),M25*(1+D17)/(D18-D17),"")</f>
        <v/>
      </c>
      <c r="E33" s="39" t="str">
        <f>IF(AND(ISNUMBER(M27),E18&gt;E17),M27*(1+E17)/(E18-E17),"")</f>
        <v/>
      </c>
      <c r="F33" s="23" t="inlineStr">
        <is>
          <t>终值 = 第 10 年现金流 ×（1 + 永续增长率）÷（折现率 − 永续增长率）。</t>
        </is>
      </c>
      <c r="G33" s="23" t="n"/>
      <c r="H33" s="23" t="n"/>
      <c r="I33" s="23" t="n"/>
      <c r="J33" s="23" t="n"/>
      <c r="K33" s="23" t="n"/>
      <c r="L33" s="23" t="n"/>
      <c r="M33" s="23" t="n"/>
    </row>
    <row r="34">
      <c r="B34" s="41" t="inlineStr">
        <is>
          <t>终值折现到今天</t>
        </is>
      </c>
      <c r="C34" s="39" t="str">
        <f>IF(ISNUMBER(C33),C33/(1+C18)^10,"")</f>
        <v/>
      </c>
      <c r="D34" s="39" t="str">
        <f>IF(ISNUMBER(D33),D33/(1+D18)^10,"")</f>
        <v/>
      </c>
      <c r="E34" s="39" t="str">
        <f>IF(ISNUMBER(E33),E33/(1+E18)^10,"")</f>
        <v/>
      </c>
      <c r="F34" s="23" t="inlineStr"/>
      <c r="G34" s="23" t="n"/>
      <c r="H34" s="23" t="n"/>
      <c r="I34" s="23" t="n"/>
      <c r="J34" s="23" t="n"/>
      <c r="K34" s="23" t="n"/>
      <c r="L34" s="23" t="n"/>
      <c r="M34" s="23" t="n"/>
    </row>
    <row r="35">
      <c r="B35" s="41" t="inlineStr">
        <is>
          <t>经营价值</t>
        </is>
      </c>
      <c r="C35" s="39" t="str">
        <f>IF(AND(ISNUMBER(C32),ISNUMBER(C34)),C32+C34,"")</f>
        <v/>
      </c>
      <c r="D35" s="39" t="str">
        <f>IF(AND(ISNUMBER(D32),ISNUMBER(D34)),D32+D34,"")</f>
        <v/>
      </c>
      <c r="E35" s="39" t="str">
        <f>IF(AND(ISNUMBER(E32),ISNUMBER(E34)),E32+E34,"")</f>
        <v/>
      </c>
      <c r="F35" s="23" t="inlineStr"/>
      <c r="G35" s="23" t="n"/>
      <c r="H35" s="23" t="n"/>
      <c r="I35" s="23" t="n"/>
      <c r="J35" s="23" t="n"/>
      <c r="K35" s="23" t="n"/>
      <c r="L35" s="23" t="n"/>
      <c r="M35" s="23" t="n"/>
    </row>
    <row r="36">
      <c r="B36" s="41" t="inlineStr">
        <is>
          <t>加：净现金</t>
        </is>
      </c>
      <c r="C36" s="39" t="str">
        <f>IF(AND(ISNUMBER(C35),ISNUMBER($C$9)),$C$9,"")</f>
        <v/>
      </c>
      <c r="D36" s="39" t="str">
        <f>IF(AND(ISNUMBER(D35),ISNUMBER($C$9)),$C$9,"")</f>
        <v/>
      </c>
      <c r="E36" s="39" t="str">
        <f>IF(AND(ISNUMBER(E35),ISNUMBER($C$9)),$C$9,"")</f>
        <v/>
      </c>
      <c r="F36" s="23" t="inlineStr">
        <is>
          <t>没算少数股东权益和期权稀释，差别大的公司要自己扣。</t>
        </is>
      </c>
      <c r="G36" s="23" t="n"/>
      <c r="H36" s="23" t="n"/>
      <c r="I36" s="23" t="n"/>
      <c r="J36" s="23" t="n"/>
      <c r="K36" s="23" t="n"/>
      <c r="L36" s="23" t="n"/>
      <c r="M36" s="23" t="n"/>
    </row>
    <row r="37">
      <c r="B37" s="41" t="inlineStr">
        <is>
          <t>股权价值</t>
        </is>
      </c>
      <c r="C37" s="39" t="str">
        <f>IF(AND(ISNUMBER(C35),ISNUMBER(C36)),C35+C36,"")</f>
        <v/>
      </c>
      <c r="D37" s="39" t="str">
        <f>IF(AND(ISNUMBER(D35),ISNUMBER(D36)),D35+D36,"")</f>
        <v/>
      </c>
      <c r="E37" s="39" t="str">
        <f>IF(AND(ISNUMBER(E35),ISNUMBER(E36)),E35+E36,"")</f>
        <v/>
      </c>
      <c r="F37" s="23" t="inlineStr"/>
      <c r="G37" s="23" t="n"/>
      <c r="H37" s="23" t="n"/>
      <c r="I37" s="23" t="n"/>
      <c r="J37" s="23" t="n"/>
      <c r="K37" s="23" t="n"/>
      <c r="L37" s="23" t="n"/>
      <c r="M37" s="23" t="n"/>
    </row>
    <row r="38">
      <c r="B38" s="15" t="inlineStr">
        <is>
          <t>每股价值</t>
        </is>
      </c>
      <c r="C38" s="53" t="str">
        <f>IF(AND(ISNUMBER(C37),N($C$6)&gt;0),C37/$C$6,"")</f>
        <v/>
      </c>
      <c r="D38" s="53" t="str">
        <f>IF(AND(ISNUMBER(D37),N($C$6)&gt;0),D37/$C$6,"")</f>
        <v/>
      </c>
      <c r="E38" s="53" t="str">
        <f>IF(AND(ISNUMBER(E37),N($C$6)&gt;0),E37/$C$6,"")</f>
        <v/>
      </c>
      <c r="F38" s="23" t="inlineStr"/>
      <c r="G38" s="23" t="n"/>
      <c r="H38" s="23" t="n"/>
      <c r="I38" s="23" t="n"/>
      <c r="J38" s="23" t="n"/>
      <c r="K38" s="23" t="n"/>
      <c r="L38" s="23" t="n"/>
      <c r="M38" s="23" t="n"/>
    </row>
    <row r="39">
      <c r="B39" s="41" t="inlineStr">
        <is>
          <t>终值占经营价值</t>
        </is>
      </c>
      <c r="C39" s="38" t="str">
        <f>IF(AND(ISNUMBER(C34),N(C35)&gt;0),C34/C35,"")</f>
        <v/>
      </c>
      <c r="D39" s="38" t="str">
        <f>IF(AND(ISNUMBER(D34),N(D35)&gt;0),D34/D35,"")</f>
        <v/>
      </c>
      <c r="E39" s="38" t="str">
        <f>IF(AND(ISNUMBER(E34),N(E35)&gt;0),E34/E35,"")</f>
        <v/>
      </c>
      <c r="F39" s="23" t="inlineStr">
        <is>
          <t>超过七成，说明估值主要押在 10 年以后，假设稍变结果就变很多。</t>
        </is>
      </c>
      <c r="G39" s="23" t="n"/>
      <c r="H39" s="23" t="n"/>
      <c r="I39" s="23" t="n"/>
      <c r="J39" s="23" t="n"/>
      <c r="K39" s="23" t="n"/>
      <c r="L39" s="23" t="n"/>
      <c r="M39" s="23" t="n"/>
    </row>
    <row r="40">
      <c r="B40" s="41" t="inlineStr">
        <is>
          <t>现价比每股价值高（+）或低（−）</t>
        </is>
      </c>
      <c r="C40" s="54" t="str">
        <f>IF(AND(ISNUMBER(C38),N(C38)&gt;0,ISNUMBER($C$5)),$C$5/C38-1,"")</f>
        <v/>
      </c>
      <c r="D40" s="54" t="str">
        <f>IF(AND(ISNUMBER(D38),N(D38)&gt;0,ISNUMBER($C$5)),$C$5/D38-1,"")</f>
        <v/>
      </c>
      <c r="E40" s="54" t="str">
        <f>IF(AND(ISNUMBER(E38),N(E38)&gt;0,ISNUMBER($C$5)),$C$5/E38-1,"")</f>
        <v/>
      </c>
      <c r="F40" s="23" t="inlineStr"/>
      <c r="G40" s="23" t="n"/>
      <c r="H40" s="23" t="n"/>
      <c r="I40" s="23" t="n"/>
      <c r="J40" s="23" t="n"/>
      <c r="K40" s="23" t="n"/>
      <c r="L40" s="23" t="n"/>
      <c r="M40" s="23" t="n"/>
    </row>
    <row r="41">
      <c r="B41" s="41" t="inlineStr">
        <is>
          <t>提示</t>
        </is>
      </c>
      <c r="C41" s="42" t="str">
        <f>IF(AND(ISNUMBER(C17),ISNUMBER(C18),C18&lt;=C17),"折现率要大于永续增长率",IF(N(C39)&gt;0.75,"终值占比过高",""))</f>
        <v/>
      </c>
      <c r="D41" s="42" t="str">
        <f>IF(AND(ISNUMBER(D17),ISNUMBER(D18),D18&lt;=D17),"折现率要大于永续增长率",IF(N(D39)&gt;0.75,"终值占比过高",""))</f>
        <v/>
      </c>
      <c r="E41" s="42" t="str">
        <f>IF(AND(ISNUMBER(E17),ISNUMBER(E18),E18&lt;=E17),"折现率要大于永续增长率",IF(N(E39)&gt;0.75,"终值占比过高",""))</f>
        <v/>
      </c>
      <c r="F41" s="23" t="inlineStr"/>
      <c r="G41" s="23" t="n"/>
      <c r="H41" s="23" t="n"/>
      <c r="I41" s="23" t="n"/>
      <c r="J41" s="23" t="n"/>
      <c r="K41" s="23" t="n"/>
      <c r="L41" s="23" t="n"/>
      <c r="M41" s="23" t="n"/>
    </row>
    <row r="43">
      <c r="B43" s="25" t="inlineStr">
        <is>
          <t>5. 买卖价位</t>
        </is>
      </c>
    </row>
    <row r="44" ht="18" customHeight="1">
      <c r="B44" s="41" t="inlineStr">
        <is>
          <t>要求的安全边际</t>
        </is>
      </c>
      <c r="C44" s="34" t="n"/>
      <c r="D44" s="23" t="inlineStr">
        <is>
          <t>价格比基准价值低多少才买。常见做法在两三成，按你对这家公司的把握定。</t>
        </is>
      </c>
      <c r="E44" s="23" t="n"/>
      <c r="F44" s="23" t="n"/>
      <c r="G44" s="23" t="n"/>
      <c r="H44" s="23" t="n"/>
      <c r="I44" s="23" t="n"/>
      <c r="J44" s="23" t="n"/>
      <c r="K44" s="23" t="n"/>
      <c r="L44" s="23" t="n"/>
      <c r="M44" s="23" t="n"/>
    </row>
    <row r="45" ht="18" customHeight="1">
      <c r="B45" s="15" t="inlineStr">
        <is>
          <t>买入价上限</t>
        </is>
      </c>
      <c r="C45" s="53" t="str">
        <f>IF(AND(ISNUMBER(D38),ISNUMBER(C44)),D38*(1-C44),"")</f>
        <v/>
      </c>
      <c r="D45" s="23" t="inlineStr">
        <is>
          <t>等于基准情景每股价值 ×（1 − 要求的安全边际）。</t>
        </is>
      </c>
      <c r="E45" s="23" t="n"/>
      <c r="F45" s="23" t="n"/>
      <c r="G45" s="23" t="n"/>
      <c r="H45" s="23" t="n"/>
      <c r="I45" s="23" t="n"/>
      <c r="J45" s="23" t="n"/>
      <c r="K45" s="23" t="n"/>
      <c r="L45" s="23" t="n"/>
      <c r="M45" s="23" t="n"/>
    </row>
    <row r="46" ht="18" customHeight="1">
      <c r="B46" s="41" t="inlineStr">
        <is>
          <t>现在的安全边际（按现价）</t>
        </is>
      </c>
      <c r="C46" s="38" t="str">
        <f>IF(AND(ISNUMBER(D38),N(D38)&gt;0,ISNUMBER(C5)),(D38-C5)/D38,"")</f>
        <v/>
      </c>
      <c r="D46" s="23" t="inlineStr">
        <is>
          <t>负数说明现价已经高过基准价值。</t>
        </is>
      </c>
      <c r="E46" s="23" t="n"/>
      <c r="F46" s="23" t="n"/>
      <c r="G46" s="23" t="n"/>
      <c r="H46" s="23" t="n"/>
      <c r="I46" s="23" t="n"/>
      <c r="J46" s="23" t="n"/>
      <c r="K46" s="23" t="n"/>
      <c r="L46" s="23" t="n"/>
      <c r="M46" s="23" t="n"/>
    </row>
    <row r="47" ht="18" customHeight="1">
      <c r="B47" s="41" t="inlineStr">
        <is>
          <t>高估参考价（乐观情景每股价值）</t>
        </is>
      </c>
      <c r="C47" s="49" t="str">
        <f>IF(ISNUMBER(E38),E38,"")</f>
        <v/>
      </c>
      <c r="D47" s="23" t="inlineStr">
        <is>
          <t>价格超过它，就是按最乐观的故事在定价了。</t>
        </is>
      </c>
      <c r="E47" s="23" t="n"/>
      <c r="F47" s="23" t="n"/>
      <c r="G47" s="23" t="n"/>
      <c r="H47" s="23" t="n"/>
      <c r="I47" s="23" t="n"/>
      <c r="J47" s="23" t="n"/>
      <c r="K47" s="23" t="n"/>
      <c r="L47" s="23" t="n"/>
      <c r="M47" s="23" t="n"/>
    </row>
    <row r="48" ht="29.2" customHeight="1">
      <c r="B48" s="15" t="inlineStr">
        <is>
          <t>现价大约押的前 5 年增速</t>
        </is>
      </c>
      <c r="C48" s="55" t="str">
        <f>IF(OR(NOT(ISNUMBER($C$5)),NOT(ISNUMBER($C$74))),"",IF(N($C$11)&lt;=0,"基期现金流不为正，不适用",IF($C$5&lt;$C$74,"低于 -10%",IF($C$5&gt;=$AQ$74,"高于 30%",TEXT(INDEX($C$73:$AQ$73,MATCH($C$5,$C$74:$AQ$74,1)),"0%")&amp;"～"&amp;TEXT(INDEX($C$73:$AQ$73,MATCH($C$5,$C$74:$AQ$74,1))+0.01,"0%")))))</f>
        <v/>
      </c>
      <c r="D48" s="23" t="inlineStr">
        <is>
          <t>保持基准情景的其他假设不变，前 5 年增速要多少，每股价值才等于现价。问自己：它能连续 5 年做到吗？</t>
        </is>
      </c>
      <c r="E48" s="23" t="n"/>
      <c r="F48" s="23" t="n"/>
      <c r="G48" s="23" t="n"/>
      <c r="H48" s="23" t="n"/>
      <c r="I48" s="23" t="n"/>
      <c r="J48" s="23" t="n"/>
      <c r="K48" s="23" t="n"/>
      <c r="L48" s="23" t="n"/>
      <c r="M48" s="23" t="n"/>
    </row>
    <row r="49" ht="18" customHeight="1">
      <c r="B49" s="41" t="inlineStr">
        <is>
          <t>核对：敏感性表中心格和基准一致</t>
        </is>
      </c>
      <c r="C49" s="42" t="str">
        <f>IF(AND(ISNUMBER(E55),ISNUMBER(D38)),IF(ABS(E55-D38)&lt;0.005,"一致","不一致，检查公式"),"")</f>
        <v/>
      </c>
      <c r="D49" s="23" t="inlineStr">
        <is>
          <t>两种算法算同一个数，用来查公式有没有被改坏。</t>
        </is>
      </c>
      <c r="E49" s="23" t="n"/>
      <c r="F49" s="23" t="n"/>
      <c r="G49" s="23" t="n"/>
      <c r="H49" s="23" t="n"/>
      <c r="I49" s="23" t="n"/>
      <c r="J49" s="23" t="n"/>
      <c r="K49" s="23" t="n"/>
      <c r="L49" s="23" t="n"/>
      <c r="M49" s="23" t="n"/>
    </row>
    <row r="51">
      <c r="B51" s="25" t="inlineStr">
        <is>
          <t>6. 敏感性：基准情景的每股价值（行：前 5 年增速；列：折现率）</t>
        </is>
      </c>
    </row>
    <row r="52">
      <c r="B52" s="26" t="inlineStr">
        <is>
          <t>前 5 年增速 ＼ 折现率</t>
        </is>
      </c>
      <c r="C52" s="45" t="str">
        <f>IF(ISNUMBER($D$18),$D$18-0.01,"")</f>
        <v/>
      </c>
      <c r="D52" s="45" t="str">
        <f>IF(ISNUMBER($D$18),$D$18-0.005,"")</f>
        <v/>
      </c>
      <c r="E52" s="45" t="str">
        <f>IF(ISNUMBER($D$18),$D$18,"")</f>
        <v/>
      </c>
      <c r="F52" s="45" t="str">
        <f>IF(ISNUMBER($D$18),$D$18+0.005,"")</f>
        <v/>
      </c>
      <c r="G52" s="45" t="str">
        <f>IF(ISNUMBER($D$18),$D$18+0.01,"")</f>
        <v/>
      </c>
      <c r="H52" s="23" t="inlineStr">
        <is>
          <t>数字落在现价上下一成以内的格子标了底色：现在的价格，大致对应这几组增速和折现率。中间那一格就是基准情景。增速或折现率差一两个点，价值能差出一大截，所以只看区间，不看一个数。</t>
        </is>
      </c>
      <c r="I52" s="23" t="n"/>
      <c r="J52" s="23" t="n"/>
      <c r="K52" s="23" t="n"/>
      <c r="L52" s="23" t="n"/>
      <c r="M52" s="23" t="n"/>
    </row>
    <row r="53">
      <c r="B53" s="45" t="str">
        <f>IF(ISNUMBER($D$15),$D$15-0.06,"")</f>
        <v/>
      </c>
      <c r="C53" s="49" t="str">
        <f>IF(OR(NOT(ISNUMBER($C$11)),N($C$6)&lt;=0,C$52&lt;=$D$17),"",($C$11*(IF(ABS(((1+$B53)/(1+C$52))-1)&lt;1E-9,5,((1+$B53)/(1+C$52))*(1-((1+$B53)/(1+C$52))^5)/(1-((1+$B53)/(1+C$52))))+((1+$B53)/(1+C$52))^5*IF(ABS(((1+$D$16)/(1+C$52))-1)&lt;1E-9,5,((1+$D$16)/(1+C$52))*(1-((1+$D$16)/(1+C$52))^5)/(1-((1+$D$16)/(1+C$52))))+((1+$B53)/(1+C$52))^5*((1+$D$16)/(1+C$52))^5*(1+$D$17)/(C$52-$D$17))+$C$9)/$C$6)</f>
        <v/>
      </c>
      <c r="D53" s="49" t="str">
        <f>IF(OR(NOT(ISNUMBER($C$11)),N($C$6)&lt;=0,D$52&lt;=$D$17),"",($C$11*(IF(ABS(((1+$B53)/(1+D$52))-1)&lt;1E-9,5,((1+$B53)/(1+D$52))*(1-((1+$B53)/(1+D$52))^5)/(1-((1+$B53)/(1+D$52))))+((1+$B53)/(1+D$52))^5*IF(ABS(((1+$D$16)/(1+D$52))-1)&lt;1E-9,5,((1+$D$16)/(1+D$52))*(1-((1+$D$16)/(1+D$52))^5)/(1-((1+$D$16)/(1+D$52))))+((1+$B53)/(1+D$52))^5*((1+$D$16)/(1+D$52))^5*(1+$D$17)/(D$52-$D$17))+$C$9)/$C$6)</f>
        <v/>
      </c>
      <c r="E53" s="49" t="str">
        <f>IF(OR(NOT(ISNUMBER($C$11)),N($C$6)&lt;=0,E$52&lt;=$D$17),"",($C$11*(IF(ABS(((1+$B53)/(1+E$52))-1)&lt;1E-9,5,((1+$B53)/(1+E$52))*(1-((1+$B53)/(1+E$52))^5)/(1-((1+$B53)/(1+E$52))))+((1+$B53)/(1+E$52))^5*IF(ABS(((1+$D$16)/(1+E$52))-1)&lt;1E-9,5,((1+$D$16)/(1+E$52))*(1-((1+$D$16)/(1+E$52))^5)/(1-((1+$D$16)/(1+E$52))))+((1+$B53)/(1+E$52))^5*((1+$D$16)/(1+E$52))^5*(1+$D$17)/(E$52-$D$17))+$C$9)/$C$6)</f>
        <v/>
      </c>
      <c r="F53" s="49" t="str">
        <f>IF(OR(NOT(ISNUMBER($C$11)),N($C$6)&lt;=0,F$52&lt;=$D$17),"",($C$11*(IF(ABS(((1+$B53)/(1+F$52))-1)&lt;1E-9,5,((1+$B53)/(1+F$52))*(1-((1+$B53)/(1+F$52))^5)/(1-((1+$B53)/(1+F$52))))+((1+$B53)/(1+F$52))^5*IF(ABS(((1+$D$16)/(1+F$52))-1)&lt;1E-9,5,((1+$D$16)/(1+F$52))*(1-((1+$D$16)/(1+F$52))^5)/(1-((1+$D$16)/(1+F$52))))+((1+$B53)/(1+F$52))^5*((1+$D$16)/(1+F$52))^5*(1+$D$17)/(F$52-$D$17))+$C$9)/$C$6)</f>
        <v/>
      </c>
      <c r="G53" s="49" t="str">
        <f>IF(OR(NOT(ISNUMBER($C$11)),N($C$6)&lt;=0,G$52&lt;=$D$17),"",($C$11*(IF(ABS(((1+$B53)/(1+G$52))-1)&lt;1E-9,5,((1+$B53)/(1+G$52))*(1-((1+$B53)/(1+G$52))^5)/(1-((1+$B53)/(1+G$52))))+((1+$B53)/(1+G$52))^5*IF(ABS(((1+$D$16)/(1+G$52))-1)&lt;1E-9,5,((1+$D$16)/(1+G$52))*(1-((1+$D$16)/(1+G$52))^5)/(1-((1+$D$16)/(1+G$52))))+((1+$B53)/(1+G$52))^5*((1+$D$16)/(1+G$52))^5*(1+$D$17)/(G$52-$D$17))+$C$9)/$C$6)</f>
        <v/>
      </c>
      <c r="H53" s="23" t="n"/>
      <c r="I53" s="23" t="n"/>
      <c r="J53" s="23" t="n"/>
      <c r="K53" s="23" t="n"/>
      <c r="L53" s="23" t="n"/>
      <c r="M53" s="23" t="n"/>
    </row>
    <row r="54">
      <c r="B54" s="45" t="str">
        <f>IF(ISNUMBER($D$15),$D$15-0.03,"")</f>
        <v/>
      </c>
      <c r="C54" s="49" t="str">
        <f>IF(OR(NOT(ISNUMBER($C$11)),N($C$6)&lt;=0,C$52&lt;=$D$17),"",($C$11*(IF(ABS(((1+$B54)/(1+C$52))-1)&lt;1E-9,5,((1+$B54)/(1+C$52))*(1-((1+$B54)/(1+C$52))^5)/(1-((1+$B54)/(1+C$52))))+((1+$B54)/(1+C$52))^5*IF(ABS(((1+$D$16)/(1+C$52))-1)&lt;1E-9,5,((1+$D$16)/(1+C$52))*(1-((1+$D$16)/(1+C$52))^5)/(1-((1+$D$16)/(1+C$52))))+((1+$B54)/(1+C$52))^5*((1+$D$16)/(1+C$52))^5*(1+$D$17)/(C$52-$D$17))+$C$9)/$C$6)</f>
        <v/>
      </c>
      <c r="D54" s="49" t="str">
        <f>IF(OR(NOT(ISNUMBER($C$11)),N($C$6)&lt;=0,D$52&lt;=$D$17),"",($C$11*(IF(ABS(((1+$B54)/(1+D$52))-1)&lt;1E-9,5,((1+$B54)/(1+D$52))*(1-((1+$B54)/(1+D$52))^5)/(1-((1+$B54)/(1+D$52))))+((1+$B54)/(1+D$52))^5*IF(ABS(((1+$D$16)/(1+D$52))-1)&lt;1E-9,5,((1+$D$16)/(1+D$52))*(1-((1+$D$16)/(1+D$52))^5)/(1-((1+$D$16)/(1+D$52))))+((1+$B54)/(1+D$52))^5*((1+$D$16)/(1+D$52))^5*(1+$D$17)/(D$52-$D$17))+$C$9)/$C$6)</f>
        <v/>
      </c>
      <c r="E54" s="49" t="str">
        <f>IF(OR(NOT(ISNUMBER($C$11)),N($C$6)&lt;=0,E$52&lt;=$D$17),"",($C$11*(IF(ABS(((1+$B54)/(1+E$52))-1)&lt;1E-9,5,((1+$B54)/(1+E$52))*(1-((1+$B54)/(1+E$52))^5)/(1-((1+$B54)/(1+E$52))))+((1+$B54)/(1+E$52))^5*IF(ABS(((1+$D$16)/(1+E$52))-1)&lt;1E-9,5,((1+$D$16)/(1+E$52))*(1-((1+$D$16)/(1+E$52))^5)/(1-((1+$D$16)/(1+E$52))))+((1+$B54)/(1+E$52))^5*((1+$D$16)/(1+E$52))^5*(1+$D$17)/(E$52-$D$17))+$C$9)/$C$6)</f>
        <v/>
      </c>
      <c r="F54" s="49" t="str">
        <f>IF(OR(NOT(ISNUMBER($C$11)),N($C$6)&lt;=0,F$52&lt;=$D$17),"",($C$11*(IF(ABS(((1+$B54)/(1+F$52))-1)&lt;1E-9,5,((1+$B54)/(1+F$52))*(1-((1+$B54)/(1+F$52))^5)/(1-((1+$B54)/(1+F$52))))+((1+$B54)/(1+F$52))^5*IF(ABS(((1+$D$16)/(1+F$52))-1)&lt;1E-9,5,((1+$D$16)/(1+F$52))*(1-((1+$D$16)/(1+F$52))^5)/(1-((1+$D$16)/(1+F$52))))+((1+$B54)/(1+F$52))^5*((1+$D$16)/(1+F$52))^5*(1+$D$17)/(F$52-$D$17))+$C$9)/$C$6)</f>
        <v/>
      </c>
      <c r="G54" s="49" t="str">
        <f>IF(OR(NOT(ISNUMBER($C$11)),N($C$6)&lt;=0,G$52&lt;=$D$17),"",($C$11*(IF(ABS(((1+$B54)/(1+G$52))-1)&lt;1E-9,5,((1+$B54)/(1+G$52))*(1-((1+$B54)/(1+G$52))^5)/(1-((1+$B54)/(1+G$52))))+((1+$B54)/(1+G$52))^5*IF(ABS(((1+$D$16)/(1+G$52))-1)&lt;1E-9,5,((1+$D$16)/(1+G$52))*(1-((1+$D$16)/(1+G$52))^5)/(1-((1+$D$16)/(1+G$52))))+((1+$B54)/(1+G$52))^5*((1+$D$16)/(1+G$52))^5*(1+$D$17)/(G$52-$D$17))+$C$9)/$C$6)</f>
        <v/>
      </c>
      <c r="H54" s="23" t="n"/>
      <c r="I54" s="23" t="n"/>
      <c r="J54" s="23" t="n"/>
      <c r="K54" s="23" t="n"/>
      <c r="L54" s="23" t="n"/>
      <c r="M54" s="23" t="n"/>
    </row>
    <row r="55">
      <c r="B55" s="45" t="str">
        <f>IF(ISNUMBER($D$15),$D$15,"")</f>
        <v/>
      </c>
      <c r="C55" s="49" t="str">
        <f>IF(OR(NOT(ISNUMBER($C$11)),N($C$6)&lt;=0,C$52&lt;=$D$17),"",($C$11*(IF(ABS(((1+$B55)/(1+C$52))-1)&lt;1E-9,5,((1+$B55)/(1+C$52))*(1-((1+$B55)/(1+C$52))^5)/(1-((1+$B55)/(1+C$52))))+((1+$B55)/(1+C$52))^5*IF(ABS(((1+$D$16)/(1+C$52))-1)&lt;1E-9,5,((1+$D$16)/(1+C$52))*(1-((1+$D$16)/(1+C$52))^5)/(1-((1+$D$16)/(1+C$52))))+((1+$B55)/(1+C$52))^5*((1+$D$16)/(1+C$52))^5*(1+$D$17)/(C$52-$D$17))+$C$9)/$C$6)</f>
        <v/>
      </c>
      <c r="D55" s="49" t="str">
        <f>IF(OR(NOT(ISNUMBER($C$11)),N($C$6)&lt;=0,D$52&lt;=$D$17),"",($C$11*(IF(ABS(((1+$B55)/(1+D$52))-1)&lt;1E-9,5,((1+$B55)/(1+D$52))*(1-((1+$B55)/(1+D$52))^5)/(1-((1+$B55)/(1+D$52))))+((1+$B55)/(1+D$52))^5*IF(ABS(((1+$D$16)/(1+D$52))-1)&lt;1E-9,5,((1+$D$16)/(1+D$52))*(1-((1+$D$16)/(1+D$52))^5)/(1-((1+$D$16)/(1+D$52))))+((1+$B55)/(1+D$52))^5*((1+$D$16)/(1+D$52))^5*(1+$D$17)/(D$52-$D$17))+$C$9)/$C$6)</f>
        <v/>
      </c>
      <c r="E55" s="56" t="str">
        <f>IF(OR(NOT(ISNUMBER($C$11)),N($C$6)&lt;=0,E$52&lt;=$D$17),"",($C$11*(IF(ABS(((1+$B55)/(1+E$52))-1)&lt;1E-9,5,((1+$B55)/(1+E$52))*(1-((1+$B55)/(1+E$52))^5)/(1-((1+$B55)/(1+E$52))))+((1+$B55)/(1+E$52))^5*IF(ABS(((1+$D$16)/(1+E$52))-1)&lt;1E-9,5,((1+$D$16)/(1+E$52))*(1-((1+$D$16)/(1+E$52))^5)/(1-((1+$D$16)/(1+E$52))))+((1+$B55)/(1+E$52))^5*((1+$D$16)/(1+E$52))^5*(1+$D$17)/(E$52-$D$17))+$C$9)/$C$6)</f>
        <v/>
      </c>
      <c r="F55" s="49" t="str">
        <f>IF(OR(NOT(ISNUMBER($C$11)),N($C$6)&lt;=0,F$52&lt;=$D$17),"",($C$11*(IF(ABS(((1+$B55)/(1+F$52))-1)&lt;1E-9,5,((1+$B55)/(1+F$52))*(1-((1+$B55)/(1+F$52))^5)/(1-((1+$B55)/(1+F$52))))+((1+$B55)/(1+F$52))^5*IF(ABS(((1+$D$16)/(1+F$52))-1)&lt;1E-9,5,((1+$D$16)/(1+F$52))*(1-((1+$D$16)/(1+F$52))^5)/(1-((1+$D$16)/(1+F$52))))+((1+$B55)/(1+F$52))^5*((1+$D$16)/(1+F$52))^5*(1+$D$17)/(F$52-$D$17))+$C$9)/$C$6)</f>
        <v/>
      </c>
      <c r="G55" s="49" t="str">
        <f>IF(OR(NOT(ISNUMBER($C$11)),N($C$6)&lt;=0,G$52&lt;=$D$17),"",($C$11*(IF(ABS(((1+$B55)/(1+G$52))-1)&lt;1E-9,5,((1+$B55)/(1+G$52))*(1-((1+$B55)/(1+G$52))^5)/(1-((1+$B55)/(1+G$52))))+((1+$B55)/(1+G$52))^5*IF(ABS(((1+$D$16)/(1+G$52))-1)&lt;1E-9,5,((1+$D$16)/(1+G$52))*(1-((1+$D$16)/(1+G$52))^5)/(1-((1+$D$16)/(1+G$52))))+((1+$B55)/(1+G$52))^5*((1+$D$16)/(1+G$52))^5*(1+$D$17)/(G$52-$D$17))+$C$9)/$C$6)</f>
        <v/>
      </c>
      <c r="H55" s="23" t="n"/>
      <c r="I55" s="23" t="n"/>
      <c r="J55" s="23" t="n"/>
      <c r="K55" s="23" t="n"/>
      <c r="L55" s="23" t="n"/>
      <c r="M55" s="23" t="n"/>
    </row>
    <row r="56">
      <c r="B56" s="45" t="str">
        <f>IF(ISNUMBER($D$15),$D$15+0.03,"")</f>
        <v/>
      </c>
      <c r="C56" s="49" t="str">
        <f>IF(OR(NOT(ISNUMBER($C$11)),N($C$6)&lt;=0,C$52&lt;=$D$17),"",($C$11*(IF(ABS(((1+$B56)/(1+C$52))-1)&lt;1E-9,5,((1+$B56)/(1+C$52))*(1-((1+$B56)/(1+C$52))^5)/(1-((1+$B56)/(1+C$52))))+((1+$B56)/(1+C$52))^5*IF(ABS(((1+$D$16)/(1+C$52))-1)&lt;1E-9,5,((1+$D$16)/(1+C$52))*(1-((1+$D$16)/(1+C$52))^5)/(1-((1+$D$16)/(1+C$52))))+((1+$B56)/(1+C$52))^5*((1+$D$16)/(1+C$52))^5*(1+$D$17)/(C$52-$D$17))+$C$9)/$C$6)</f>
        <v/>
      </c>
      <c r="D56" s="49" t="str">
        <f>IF(OR(NOT(ISNUMBER($C$11)),N($C$6)&lt;=0,D$52&lt;=$D$17),"",($C$11*(IF(ABS(((1+$B56)/(1+D$52))-1)&lt;1E-9,5,((1+$B56)/(1+D$52))*(1-((1+$B56)/(1+D$52))^5)/(1-((1+$B56)/(1+D$52))))+((1+$B56)/(1+D$52))^5*IF(ABS(((1+$D$16)/(1+D$52))-1)&lt;1E-9,5,((1+$D$16)/(1+D$52))*(1-((1+$D$16)/(1+D$52))^5)/(1-((1+$D$16)/(1+D$52))))+((1+$B56)/(1+D$52))^5*((1+$D$16)/(1+D$52))^5*(1+$D$17)/(D$52-$D$17))+$C$9)/$C$6)</f>
        <v/>
      </c>
      <c r="E56" s="49" t="str">
        <f>IF(OR(NOT(ISNUMBER($C$11)),N($C$6)&lt;=0,E$52&lt;=$D$17),"",($C$11*(IF(ABS(((1+$B56)/(1+E$52))-1)&lt;1E-9,5,((1+$B56)/(1+E$52))*(1-((1+$B56)/(1+E$52))^5)/(1-((1+$B56)/(1+E$52))))+((1+$B56)/(1+E$52))^5*IF(ABS(((1+$D$16)/(1+E$52))-1)&lt;1E-9,5,((1+$D$16)/(1+E$52))*(1-((1+$D$16)/(1+E$52))^5)/(1-((1+$D$16)/(1+E$52))))+((1+$B56)/(1+E$52))^5*((1+$D$16)/(1+E$52))^5*(1+$D$17)/(E$52-$D$17))+$C$9)/$C$6)</f>
        <v/>
      </c>
      <c r="F56" s="49" t="str">
        <f>IF(OR(NOT(ISNUMBER($C$11)),N($C$6)&lt;=0,F$52&lt;=$D$17),"",($C$11*(IF(ABS(((1+$B56)/(1+F$52))-1)&lt;1E-9,5,((1+$B56)/(1+F$52))*(1-((1+$B56)/(1+F$52))^5)/(1-((1+$B56)/(1+F$52))))+((1+$B56)/(1+F$52))^5*IF(ABS(((1+$D$16)/(1+F$52))-1)&lt;1E-9,5,((1+$D$16)/(1+F$52))*(1-((1+$D$16)/(1+F$52))^5)/(1-((1+$D$16)/(1+F$52))))+((1+$B56)/(1+F$52))^5*((1+$D$16)/(1+F$52))^5*(1+$D$17)/(F$52-$D$17))+$C$9)/$C$6)</f>
        <v/>
      </c>
      <c r="G56" s="49" t="str">
        <f>IF(OR(NOT(ISNUMBER($C$11)),N($C$6)&lt;=0,G$52&lt;=$D$17),"",($C$11*(IF(ABS(((1+$B56)/(1+G$52))-1)&lt;1E-9,5,((1+$B56)/(1+G$52))*(1-((1+$B56)/(1+G$52))^5)/(1-((1+$B56)/(1+G$52))))+((1+$B56)/(1+G$52))^5*IF(ABS(((1+$D$16)/(1+G$52))-1)&lt;1E-9,5,((1+$D$16)/(1+G$52))*(1-((1+$D$16)/(1+G$52))^5)/(1-((1+$D$16)/(1+G$52))))+((1+$B56)/(1+G$52))^5*((1+$D$16)/(1+G$52))^5*(1+$D$17)/(G$52-$D$17))+$C$9)/$C$6)</f>
        <v/>
      </c>
      <c r="H56" s="23" t="n"/>
      <c r="I56" s="23" t="n"/>
      <c r="J56" s="23" t="n"/>
      <c r="K56" s="23" t="n"/>
      <c r="L56" s="23" t="n"/>
      <c r="M56" s="23" t="n"/>
    </row>
    <row r="57">
      <c r="B57" s="45" t="str">
        <f>IF(ISNUMBER($D$15),$D$15+0.06,"")</f>
        <v/>
      </c>
      <c r="C57" s="49" t="str">
        <f>IF(OR(NOT(ISNUMBER($C$11)),N($C$6)&lt;=0,C$52&lt;=$D$17),"",($C$11*(IF(ABS(((1+$B57)/(1+C$52))-1)&lt;1E-9,5,((1+$B57)/(1+C$52))*(1-((1+$B57)/(1+C$52))^5)/(1-((1+$B57)/(1+C$52))))+((1+$B57)/(1+C$52))^5*IF(ABS(((1+$D$16)/(1+C$52))-1)&lt;1E-9,5,((1+$D$16)/(1+C$52))*(1-((1+$D$16)/(1+C$52))^5)/(1-((1+$D$16)/(1+C$52))))+((1+$B57)/(1+C$52))^5*((1+$D$16)/(1+C$52))^5*(1+$D$17)/(C$52-$D$17))+$C$9)/$C$6)</f>
        <v/>
      </c>
      <c r="D57" s="49" t="str">
        <f>IF(OR(NOT(ISNUMBER($C$11)),N($C$6)&lt;=0,D$52&lt;=$D$17),"",($C$11*(IF(ABS(((1+$B57)/(1+D$52))-1)&lt;1E-9,5,((1+$B57)/(1+D$52))*(1-((1+$B57)/(1+D$52))^5)/(1-((1+$B57)/(1+D$52))))+((1+$B57)/(1+D$52))^5*IF(ABS(((1+$D$16)/(1+D$52))-1)&lt;1E-9,5,((1+$D$16)/(1+D$52))*(1-((1+$D$16)/(1+D$52))^5)/(1-((1+$D$16)/(1+D$52))))+((1+$B57)/(1+D$52))^5*((1+$D$16)/(1+D$52))^5*(1+$D$17)/(D$52-$D$17))+$C$9)/$C$6)</f>
        <v/>
      </c>
      <c r="E57" s="49" t="str">
        <f>IF(OR(NOT(ISNUMBER($C$11)),N($C$6)&lt;=0,E$52&lt;=$D$17),"",($C$11*(IF(ABS(((1+$B57)/(1+E$52))-1)&lt;1E-9,5,((1+$B57)/(1+E$52))*(1-((1+$B57)/(1+E$52))^5)/(1-((1+$B57)/(1+E$52))))+((1+$B57)/(1+E$52))^5*IF(ABS(((1+$D$16)/(1+E$52))-1)&lt;1E-9,5,((1+$D$16)/(1+E$52))*(1-((1+$D$16)/(1+E$52))^5)/(1-((1+$D$16)/(1+E$52))))+((1+$B57)/(1+E$52))^5*((1+$D$16)/(1+E$52))^5*(1+$D$17)/(E$52-$D$17))+$C$9)/$C$6)</f>
        <v/>
      </c>
      <c r="F57" s="49" t="str">
        <f>IF(OR(NOT(ISNUMBER($C$11)),N($C$6)&lt;=0,F$52&lt;=$D$17),"",($C$11*(IF(ABS(((1+$B57)/(1+F$52))-1)&lt;1E-9,5,((1+$B57)/(1+F$52))*(1-((1+$B57)/(1+F$52))^5)/(1-((1+$B57)/(1+F$52))))+((1+$B57)/(1+F$52))^5*IF(ABS(((1+$D$16)/(1+F$52))-1)&lt;1E-9,5,((1+$D$16)/(1+F$52))*(1-((1+$D$16)/(1+F$52))^5)/(1-((1+$D$16)/(1+F$52))))+((1+$B57)/(1+F$52))^5*((1+$D$16)/(1+F$52))^5*(1+$D$17)/(F$52-$D$17))+$C$9)/$C$6)</f>
        <v/>
      </c>
      <c r="G57" s="49" t="str">
        <f>IF(OR(NOT(ISNUMBER($C$11)),N($C$6)&lt;=0,G$52&lt;=$D$17),"",($C$11*(IF(ABS(((1+$B57)/(1+G$52))-1)&lt;1E-9,5,((1+$B57)/(1+G$52))*(1-((1+$B57)/(1+G$52))^5)/(1-((1+$B57)/(1+G$52))))+((1+$B57)/(1+G$52))^5*IF(ABS(((1+$D$16)/(1+G$52))-1)&lt;1E-9,5,((1+$D$16)/(1+G$52))*(1-((1+$D$16)/(1+G$52))^5)/(1-((1+$D$16)/(1+G$52))))+((1+$B57)/(1+G$52))^5*((1+$D$16)/(1+G$52))^5*(1+$D$17)/(G$52-$D$17))+$C$9)/$C$6)</f>
        <v/>
      </c>
      <c r="H57" s="23" t="n"/>
      <c r="I57" s="23" t="n"/>
      <c r="J57" s="23" t="n"/>
      <c r="K57" s="23" t="n"/>
      <c r="L57" s="23" t="n"/>
      <c r="M57" s="23" t="n"/>
    </row>
    <row r="59">
      <c r="B59" s="25" t="inlineStr">
        <is>
          <t>7. 可比公司（相对估值）</t>
        </is>
      </c>
    </row>
    <row r="60">
      <c r="B60" s="26" t="inlineStr">
        <is>
          <t>公司</t>
        </is>
      </c>
      <c r="C60" s="26" t="inlineStr">
        <is>
          <t>市盈率 PE</t>
        </is>
      </c>
      <c r="D60" s="26" t="inlineStr">
        <is>
          <t>市净率 PB</t>
        </is>
      </c>
      <c r="E60" s="26" t="inlineStr">
        <is>
          <t>市销率 PS</t>
        </is>
      </c>
      <c r="F60" s="26" t="inlineStr">
        <is>
          <t>收入增速</t>
        </is>
      </c>
      <c r="G60" s="26" t="inlineStr">
        <is>
          <t>ROE</t>
        </is>
      </c>
      <c r="H60" s="26" t="inlineStr">
        <is>
          <t>为什么可比（业务、规模、增速）</t>
        </is>
      </c>
      <c r="I60" s="26" t="n"/>
      <c r="J60" s="26" t="n"/>
      <c r="K60" s="26" t="n"/>
      <c r="L60" s="26" t="n"/>
      <c r="M60" s="26" t="n"/>
    </row>
    <row r="61">
      <c r="B61" s="16" t="n"/>
      <c r="C61" s="57" t="n"/>
      <c r="D61" s="48" t="n"/>
      <c r="E61" s="48" t="n"/>
      <c r="F61" s="34" t="n"/>
      <c r="G61" s="34" t="n"/>
      <c r="H61" s="16" t="n"/>
      <c r="I61" s="16" t="n"/>
      <c r="J61" s="16" t="n"/>
      <c r="K61" s="16" t="n"/>
      <c r="L61" s="16" t="n"/>
      <c r="M61" s="16" t="n"/>
    </row>
    <row r="62">
      <c r="B62" s="16" t="n"/>
      <c r="C62" s="57" t="n"/>
      <c r="D62" s="48" t="n"/>
      <c r="E62" s="48" t="n"/>
      <c r="F62" s="34" t="n"/>
      <c r="G62" s="34" t="n"/>
      <c r="H62" s="16" t="n"/>
      <c r="I62" s="16" t="n"/>
      <c r="J62" s="16" t="n"/>
      <c r="K62" s="16" t="n"/>
      <c r="L62" s="16" t="n"/>
      <c r="M62" s="16" t="n"/>
    </row>
    <row r="63">
      <c r="B63" s="16" t="n"/>
      <c r="C63" s="57" t="n"/>
      <c r="D63" s="48" t="n"/>
      <c r="E63" s="48" t="n"/>
      <c r="F63" s="34" t="n"/>
      <c r="G63" s="34" t="n"/>
      <c r="H63" s="16" t="n"/>
      <c r="I63" s="16" t="n"/>
      <c r="J63" s="16" t="n"/>
      <c r="K63" s="16" t="n"/>
      <c r="L63" s="16" t="n"/>
      <c r="M63" s="16" t="n"/>
    </row>
    <row r="64">
      <c r="B64" s="16" t="n"/>
      <c r="C64" s="57" t="n"/>
      <c r="D64" s="48" t="n"/>
      <c r="E64" s="48" t="n"/>
      <c r="F64" s="34" t="n"/>
      <c r="G64" s="34" t="n"/>
      <c r="H64" s="16" t="n"/>
      <c r="I64" s="16" t="n"/>
      <c r="J64" s="16" t="n"/>
      <c r="K64" s="16" t="n"/>
      <c r="L64" s="16" t="n"/>
      <c r="M64" s="16" t="n"/>
    </row>
    <row r="65">
      <c r="B65" s="16" t="n"/>
      <c r="C65" s="57" t="n"/>
      <c r="D65" s="48" t="n"/>
      <c r="E65" s="48" t="n"/>
      <c r="F65" s="34" t="n"/>
      <c r="G65" s="34" t="n"/>
      <c r="H65" s="16" t="n"/>
      <c r="I65" s="16" t="n"/>
      <c r="J65" s="16" t="n"/>
      <c r="K65" s="16" t="n"/>
      <c r="L65" s="16" t="n"/>
      <c r="M65" s="16" t="n"/>
    </row>
    <row r="66">
      <c r="B66" s="15" t="inlineStr">
        <is>
          <t>中位数</t>
        </is>
      </c>
      <c r="C66" s="58" t="str">
        <f>IF(COUNT(C61:C65)=0,"",MEDIAN(C61:C65))</f>
        <v/>
      </c>
      <c r="D66" s="53" t="str">
        <f>IF(COUNT(D61:D65)=0,"",MEDIAN(D61:D65))</f>
        <v/>
      </c>
      <c r="E66" s="53" t="str">
        <f>IF(COUNT(E61:E65)=0,"",MEDIAN(E61:E65))</f>
        <v/>
      </c>
      <c r="F66" s="45" t="str">
        <f>IF(COUNT(F61:F65)=0,"",MEDIAN(F61:F65))</f>
        <v/>
      </c>
      <c r="G66" s="45" t="str">
        <f>IF(COUNT(G61:G65)=0,"",MEDIAN(G61:G65))</f>
        <v/>
      </c>
    </row>
    <row r="67">
      <c r="B67" s="41" t="inlineStr">
        <is>
          <t>本公司每股数（财务页最近一年）</t>
        </is>
      </c>
      <c r="C67" s="28" t="str">
        <f>IF(COUNT('财务'!$C$6:$G$6)=0,"",INDEX('财务'!$C$51:$G$51,COUNT('财务'!$C$6:$G$6)))</f>
        <v/>
      </c>
      <c r="D67" s="28" t="str">
        <f>IF(COUNT('财务'!$C$6:$G$6)=0,"",INDEX('财务'!$C$52:$G$52,COUNT('财务'!$C$6:$G$6)))</f>
        <v/>
      </c>
      <c r="E67" s="28" t="str">
        <f>IF(OR(IF(COUNT('财务'!$C$6:$G$6)=0,"",INDEX('财务'!$C$6:$G$6,COUNT('财务'!$C$6:$G$6)))="",N(IF(COUNT('财务'!$C$6:$G$6)=0,"",INDEX('财务'!$C$30:$G$30,COUNT('财务'!$C$6:$G$6))))=0),"",IF(COUNT('财务'!$C$6:$G$6)=0,"",INDEX('财务'!$C$6:$G$6,COUNT('财务'!$C$6:$G$6)))/IF(COUNT('财务'!$C$6:$G$6)=0,"",INDEX('财务'!$C$30:$G$30,COUNT('财务'!$C$6:$G$6))))</f>
        <v/>
      </c>
      <c r="F67" s="23" t="inlineStr">
        <is>
          <t>第 67 行依次是每股收益、每股净资产、每股收入。可比公司要真可比；整个行业都贵的时候，相对便宜不等于便宜。</t>
        </is>
      </c>
      <c r="G67" s="23" t="n"/>
      <c r="H67" s="23" t="n"/>
      <c r="I67" s="23" t="n"/>
      <c r="J67" s="23" t="n"/>
      <c r="K67" s="23" t="n"/>
      <c r="L67" s="23" t="n"/>
      <c r="M67" s="23" t="n"/>
    </row>
    <row r="68">
      <c r="B68" s="15" t="inlineStr">
        <is>
          <t>按中位数推算的每股价格</t>
        </is>
      </c>
      <c r="C68" s="53" t="str">
        <f>IF(AND(ISNUMBER(C66),ISNUMBER(C67)),C66*C67,"")</f>
        <v/>
      </c>
      <c r="D68" s="53" t="str">
        <f>IF(AND(ISNUMBER(D66),ISNUMBER(D67)),D66*D67,"")</f>
        <v/>
      </c>
      <c r="E68" s="53" t="str">
        <f>IF(AND(ISNUMBER(E66),ISNUMBER(E67)),E66*E67,"")</f>
        <v/>
      </c>
      <c r="F68" s="23" t="n"/>
      <c r="G68" s="23" t="n"/>
      <c r="H68" s="23" t="n"/>
      <c r="I68" s="23" t="n"/>
      <c r="J68" s="23" t="n"/>
      <c r="K68" s="23" t="n"/>
      <c r="L68" s="23" t="n"/>
      <c r="M68" s="23" t="n"/>
    </row>
    <row r="72" hidden="1">
      <c r="B72" s="23" t="inlineStr">
        <is>
          <t>反推用的辅助格（不用改）</t>
        </is>
      </c>
    </row>
    <row r="73" hidden="1">
      <c r="C73" s="38" t="n">
        <v>-0.1</v>
      </c>
      <c r="D73" s="38" t="n">
        <v>-0.09</v>
      </c>
      <c r="E73" s="38" t="n">
        <v>-0.08</v>
      </c>
      <c r="F73" s="38" t="n">
        <v>-0.07000000000000001</v>
      </c>
      <c r="G73" s="38" t="n">
        <v>-0.06</v>
      </c>
      <c r="H73" s="38" t="n">
        <v>-0.05</v>
      </c>
      <c r="I73" s="38" t="n">
        <v>-0.04</v>
      </c>
      <c r="J73" s="38" t="n">
        <v>-0.03</v>
      </c>
      <c r="K73" s="38" t="n">
        <v>-0.02</v>
      </c>
      <c r="L73" s="38" t="n">
        <v>-0.01</v>
      </c>
      <c r="M73" s="38" t="n">
        <v>0</v>
      </c>
      <c r="N73" s="38" t="n">
        <v>0.01</v>
      </c>
      <c r="O73" s="38" t="n">
        <v>0.02</v>
      </c>
      <c r="P73" s="38" t="n">
        <v>0.03</v>
      </c>
      <c r="Q73" s="38" t="n">
        <v>0.04</v>
      </c>
      <c r="R73" s="38" t="n">
        <v>0.05</v>
      </c>
      <c r="S73" s="38" t="n">
        <v>0.06</v>
      </c>
      <c r="T73" s="38" t="n">
        <v>0.07000000000000001</v>
      </c>
      <c r="U73" s="38" t="n">
        <v>0.08</v>
      </c>
      <c r="V73" s="38" t="n">
        <v>0.09</v>
      </c>
      <c r="W73" s="38" t="n">
        <v>0.1</v>
      </c>
      <c r="X73" s="38" t="n">
        <v>0.11</v>
      </c>
      <c r="Y73" s="38" t="n">
        <v>0.12</v>
      </c>
      <c r="Z73" s="38" t="n">
        <v>0.13</v>
      </c>
      <c r="AA73" s="38" t="n">
        <v>0.14</v>
      </c>
      <c r="AB73" s="38" t="n">
        <v>0.15</v>
      </c>
      <c r="AC73" s="38" t="n">
        <v>0.16</v>
      </c>
      <c r="AD73" s="38" t="n">
        <v>0.17</v>
      </c>
      <c r="AE73" s="38" t="n">
        <v>0.18</v>
      </c>
      <c r="AF73" s="38" t="n">
        <v>0.19</v>
      </c>
      <c r="AG73" s="38" t="n">
        <v>0.2</v>
      </c>
      <c r="AH73" s="38" t="n">
        <v>0.21</v>
      </c>
      <c r="AI73" s="38" t="n">
        <v>0.22</v>
      </c>
      <c r="AJ73" s="38" t="n">
        <v>0.23</v>
      </c>
      <c r="AK73" s="38" t="n">
        <v>0.24</v>
      </c>
      <c r="AL73" s="38" t="n">
        <v>0.25</v>
      </c>
      <c r="AM73" s="38" t="n">
        <v>0.26</v>
      </c>
      <c r="AN73" s="38" t="n">
        <v>0.27</v>
      </c>
      <c r="AO73" s="38" t="n">
        <v>0.28</v>
      </c>
      <c r="AP73" s="38" t="n">
        <v>0.29</v>
      </c>
      <c r="AQ73" s="38" t="n">
        <v>0.3</v>
      </c>
    </row>
    <row r="74" hidden="1">
      <c r="C74" s="49" t="str">
        <f>IF(OR(NOT(ISNUMBER($C$11)),N($C$6)&lt;=0,$D$18&lt;=$D$17),"",($C$11*(IF(ABS(((1+C$73)/(1+$D$18))-1)&lt;1E-9,5,((1+C$73)/(1+$D$18))*(1-((1+C$73)/(1+$D$18))^5)/(1-((1+C$73)/(1+$D$18))))+((1+C$73)/(1+$D$18))^5*IF(ABS(((1+$D$16)/(1+$D$18))-1)&lt;1E-9,5,((1+$D$16)/(1+$D$18))*(1-((1+$D$16)/(1+$D$18))^5)/(1-((1+$D$16)/(1+$D$18))))+((1+C$73)/(1+$D$18))^5*((1+$D$16)/(1+$D$18))^5*(1+$D$17)/($D$18-$D$17))+$C$9)/$C$6)</f>
        <v/>
      </c>
      <c r="D74" s="49" t="str">
        <f>IF(OR(NOT(ISNUMBER($C$11)),N($C$6)&lt;=0,$D$18&lt;=$D$17),"",($C$11*(IF(ABS(((1+D$73)/(1+$D$18))-1)&lt;1E-9,5,((1+D$73)/(1+$D$18))*(1-((1+D$73)/(1+$D$18))^5)/(1-((1+D$73)/(1+$D$18))))+((1+D$73)/(1+$D$18))^5*IF(ABS(((1+$D$16)/(1+$D$18))-1)&lt;1E-9,5,((1+$D$16)/(1+$D$18))*(1-((1+$D$16)/(1+$D$18))^5)/(1-((1+$D$16)/(1+$D$18))))+((1+D$73)/(1+$D$18))^5*((1+$D$16)/(1+$D$18))^5*(1+$D$17)/($D$18-$D$17))+$C$9)/$C$6)</f>
        <v/>
      </c>
      <c r="E74" s="49" t="str">
        <f>IF(OR(NOT(ISNUMBER($C$11)),N($C$6)&lt;=0,$D$18&lt;=$D$17),"",($C$11*(IF(ABS(((1+E$73)/(1+$D$18))-1)&lt;1E-9,5,((1+E$73)/(1+$D$18))*(1-((1+E$73)/(1+$D$18))^5)/(1-((1+E$73)/(1+$D$18))))+((1+E$73)/(1+$D$18))^5*IF(ABS(((1+$D$16)/(1+$D$18))-1)&lt;1E-9,5,((1+$D$16)/(1+$D$18))*(1-((1+$D$16)/(1+$D$18))^5)/(1-((1+$D$16)/(1+$D$18))))+((1+E$73)/(1+$D$18))^5*((1+$D$16)/(1+$D$18))^5*(1+$D$17)/($D$18-$D$17))+$C$9)/$C$6)</f>
        <v/>
      </c>
      <c r="F74" s="49" t="str">
        <f>IF(OR(NOT(ISNUMBER($C$11)),N($C$6)&lt;=0,$D$18&lt;=$D$17),"",($C$11*(IF(ABS(((1+F$73)/(1+$D$18))-1)&lt;1E-9,5,((1+F$73)/(1+$D$18))*(1-((1+F$73)/(1+$D$18))^5)/(1-((1+F$73)/(1+$D$18))))+((1+F$73)/(1+$D$18))^5*IF(ABS(((1+$D$16)/(1+$D$18))-1)&lt;1E-9,5,((1+$D$16)/(1+$D$18))*(1-((1+$D$16)/(1+$D$18))^5)/(1-((1+$D$16)/(1+$D$18))))+((1+F$73)/(1+$D$18))^5*((1+$D$16)/(1+$D$18))^5*(1+$D$17)/($D$18-$D$17))+$C$9)/$C$6)</f>
        <v/>
      </c>
      <c r="G74" s="49" t="str">
        <f>IF(OR(NOT(ISNUMBER($C$11)),N($C$6)&lt;=0,$D$18&lt;=$D$17),"",($C$11*(IF(ABS(((1+G$73)/(1+$D$18))-1)&lt;1E-9,5,((1+G$73)/(1+$D$18))*(1-((1+G$73)/(1+$D$18))^5)/(1-((1+G$73)/(1+$D$18))))+((1+G$73)/(1+$D$18))^5*IF(ABS(((1+$D$16)/(1+$D$18))-1)&lt;1E-9,5,((1+$D$16)/(1+$D$18))*(1-((1+$D$16)/(1+$D$18))^5)/(1-((1+$D$16)/(1+$D$18))))+((1+G$73)/(1+$D$18))^5*((1+$D$16)/(1+$D$18))^5*(1+$D$17)/($D$18-$D$17))+$C$9)/$C$6)</f>
        <v/>
      </c>
      <c r="H74" s="49" t="str">
        <f>IF(OR(NOT(ISNUMBER($C$11)),N($C$6)&lt;=0,$D$18&lt;=$D$17),"",($C$11*(IF(ABS(((1+H$73)/(1+$D$18))-1)&lt;1E-9,5,((1+H$73)/(1+$D$18))*(1-((1+H$73)/(1+$D$18))^5)/(1-((1+H$73)/(1+$D$18))))+((1+H$73)/(1+$D$18))^5*IF(ABS(((1+$D$16)/(1+$D$18))-1)&lt;1E-9,5,((1+$D$16)/(1+$D$18))*(1-((1+$D$16)/(1+$D$18))^5)/(1-((1+$D$16)/(1+$D$18))))+((1+H$73)/(1+$D$18))^5*((1+$D$16)/(1+$D$18))^5*(1+$D$17)/($D$18-$D$17))+$C$9)/$C$6)</f>
        <v/>
      </c>
      <c r="I74" s="49" t="str">
        <f>IF(OR(NOT(ISNUMBER($C$11)),N($C$6)&lt;=0,$D$18&lt;=$D$17),"",($C$11*(IF(ABS(((1+I$73)/(1+$D$18))-1)&lt;1E-9,5,((1+I$73)/(1+$D$18))*(1-((1+I$73)/(1+$D$18))^5)/(1-((1+I$73)/(1+$D$18))))+((1+I$73)/(1+$D$18))^5*IF(ABS(((1+$D$16)/(1+$D$18))-1)&lt;1E-9,5,((1+$D$16)/(1+$D$18))*(1-((1+$D$16)/(1+$D$18))^5)/(1-((1+$D$16)/(1+$D$18))))+((1+I$73)/(1+$D$18))^5*((1+$D$16)/(1+$D$18))^5*(1+$D$17)/($D$18-$D$17))+$C$9)/$C$6)</f>
        <v/>
      </c>
      <c r="J74" s="49" t="str">
        <f>IF(OR(NOT(ISNUMBER($C$11)),N($C$6)&lt;=0,$D$18&lt;=$D$17),"",($C$11*(IF(ABS(((1+J$73)/(1+$D$18))-1)&lt;1E-9,5,((1+J$73)/(1+$D$18))*(1-((1+J$73)/(1+$D$18))^5)/(1-((1+J$73)/(1+$D$18))))+((1+J$73)/(1+$D$18))^5*IF(ABS(((1+$D$16)/(1+$D$18))-1)&lt;1E-9,5,((1+$D$16)/(1+$D$18))*(1-((1+$D$16)/(1+$D$18))^5)/(1-((1+$D$16)/(1+$D$18))))+((1+J$73)/(1+$D$18))^5*((1+$D$16)/(1+$D$18))^5*(1+$D$17)/($D$18-$D$17))+$C$9)/$C$6)</f>
        <v/>
      </c>
      <c r="K74" s="49" t="str">
        <f>IF(OR(NOT(ISNUMBER($C$11)),N($C$6)&lt;=0,$D$18&lt;=$D$17),"",($C$11*(IF(ABS(((1+K$73)/(1+$D$18))-1)&lt;1E-9,5,((1+K$73)/(1+$D$18))*(1-((1+K$73)/(1+$D$18))^5)/(1-((1+K$73)/(1+$D$18))))+((1+K$73)/(1+$D$18))^5*IF(ABS(((1+$D$16)/(1+$D$18))-1)&lt;1E-9,5,((1+$D$16)/(1+$D$18))*(1-((1+$D$16)/(1+$D$18))^5)/(1-((1+$D$16)/(1+$D$18))))+((1+K$73)/(1+$D$18))^5*((1+$D$16)/(1+$D$18))^5*(1+$D$17)/($D$18-$D$17))+$C$9)/$C$6)</f>
        <v/>
      </c>
      <c r="L74" s="49" t="str">
        <f>IF(OR(NOT(ISNUMBER($C$11)),N($C$6)&lt;=0,$D$18&lt;=$D$17),"",($C$11*(IF(ABS(((1+L$73)/(1+$D$18))-1)&lt;1E-9,5,((1+L$73)/(1+$D$18))*(1-((1+L$73)/(1+$D$18))^5)/(1-((1+L$73)/(1+$D$18))))+((1+L$73)/(1+$D$18))^5*IF(ABS(((1+$D$16)/(1+$D$18))-1)&lt;1E-9,5,((1+$D$16)/(1+$D$18))*(1-((1+$D$16)/(1+$D$18))^5)/(1-((1+$D$16)/(1+$D$18))))+((1+L$73)/(1+$D$18))^5*((1+$D$16)/(1+$D$18))^5*(1+$D$17)/($D$18-$D$17))+$C$9)/$C$6)</f>
        <v/>
      </c>
      <c r="M74" s="49" t="str">
        <f>IF(OR(NOT(ISNUMBER($C$11)),N($C$6)&lt;=0,$D$18&lt;=$D$17),"",($C$11*(IF(ABS(((1+M$73)/(1+$D$18))-1)&lt;1E-9,5,((1+M$73)/(1+$D$18))*(1-((1+M$73)/(1+$D$18))^5)/(1-((1+M$73)/(1+$D$18))))+((1+M$73)/(1+$D$18))^5*IF(ABS(((1+$D$16)/(1+$D$18))-1)&lt;1E-9,5,((1+$D$16)/(1+$D$18))*(1-((1+$D$16)/(1+$D$18))^5)/(1-((1+$D$16)/(1+$D$18))))+((1+M$73)/(1+$D$18))^5*((1+$D$16)/(1+$D$18))^5*(1+$D$17)/($D$18-$D$17))+$C$9)/$C$6)</f>
        <v/>
      </c>
      <c r="N74" s="49" t="str">
        <f>IF(OR(NOT(ISNUMBER($C$11)),N($C$6)&lt;=0,$D$18&lt;=$D$17),"",($C$11*(IF(ABS(((1+N$73)/(1+$D$18))-1)&lt;1E-9,5,((1+N$73)/(1+$D$18))*(1-((1+N$73)/(1+$D$18))^5)/(1-((1+N$73)/(1+$D$18))))+((1+N$73)/(1+$D$18))^5*IF(ABS(((1+$D$16)/(1+$D$18))-1)&lt;1E-9,5,((1+$D$16)/(1+$D$18))*(1-((1+$D$16)/(1+$D$18))^5)/(1-((1+$D$16)/(1+$D$18))))+((1+N$73)/(1+$D$18))^5*((1+$D$16)/(1+$D$18))^5*(1+$D$17)/($D$18-$D$17))+$C$9)/$C$6)</f>
        <v/>
      </c>
      <c r="O74" s="49" t="str">
        <f>IF(OR(NOT(ISNUMBER($C$11)),N($C$6)&lt;=0,$D$18&lt;=$D$17),"",($C$11*(IF(ABS(((1+O$73)/(1+$D$18))-1)&lt;1E-9,5,((1+O$73)/(1+$D$18))*(1-((1+O$73)/(1+$D$18))^5)/(1-((1+O$73)/(1+$D$18))))+((1+O$73)/(1+$D$18))^5*IF(ABS(((1+$D$16)/(1+$D$18))-1)&lt;1E-9,5,((1+$D$16)/(1+$D$18))*(1-((1+$D$16)/(1+$D$18))^5)/(1-((1+$D$16)/(1+$D$18))))+((1+O$73)/(1+$D$18))^5*((1+$D$16)/(1+$D$18))^5*(1+$D$17)/($D$18-$D$17))+$C$9)/$C$6)</f>
        <v/>
      </c>
      <c r="P74" s="49" t="str">
        <f>IF(OR(NOT(ISNUMBER($C$11)),N($C$6)&lt;=0,$D$18&lt;=$D$17),"",($C$11*(IF(ABS(((1+P$73)/(1+$D$18))-1)&lt;1E-9,5,((1+P$73)/(1+$D$18))*(1-((1+P$73)/(1+$D$18))^5)/(1-((1+P$73)/(1+$D$18))))+((1+P$73)/(1+$D$18))^5*IF(ABS(((1+$D$16)/(1+$D$18))-1)&lt;1E-9,5,((1+$D$16)/(1+$D$18))*(1-((1+$D$16)/(1+$D$18))^5)/(1-((1+$D$16)/(1+$D$18))))+((1+P$73)/(1+$D$18))^5*((1+$D$16)/(1+$D$18))^5*(1+$D$17)/($D$18-$D$17))+$C$9)/$C$6)</f>
        <v/>
      </c>
      <c r="Q74" s="49" t="str">
        <f>IF(OR(NOT(ISNUMBER($C$11)),N($C$6)&lt;=0,$D$18&lt;=$D$17),"",($C$11*(IF(ABS(((1+Q$73)/(1+$D$18))-1)&lt;1E-9,5,((1+Q$73)/(1+$D$18))*(1-((1+Q$73)/(1+$D$18))^5)/(1-((1+Q$73)/(1+$D$18))))+((1+Q$73)/(1+$D$18))^5*IF(ABS(((1+$D$16)/(1+$D$18))-1)&lt;1E-9,5,((1+$D$16)/(1+$D$18))*(1-((1+$D$16)/(1+$D$18))^5)/(1-((1+$D$16)/(1+$D$18))))+((1+Q$73)/(1+$D$18))^5*((1+$D$16)/(1+$D$18))^5*(1+$D$17)/($D$18-$D$17))+$C$9)/$C$6)</f>
        <v/>
      </c>
      <c r="R74" s="49" t="str">
        <f>IF(OR(NOT(ISNUMBER($C$11)),N($C$6)&lt;=0,$D$18&lt;=$D$17),"",($C$11*(IF(ABS(((1+R$73)/(1+$D$18))-1)&lt;1E-9,5,((1+R$73)/(1+$D$18))*(1-((1+R$73)/(1+$D$18))^5)/(1-((1+R$73)/(1+$D$18))))+((1+R$73)/(1+$D$18))^5*IF(ABS(((1+$D$16)/(1+$D$18))-1)&lt;1E-9,5,((1+$D$16)/(1+$D$18))*(1-((1+$D$16)/(1+$D$18))^5)/(1-((1+$D$16)/(1+$D$18))))+((1+R$73)/(1+$D$18))^5*((1+$D$16)/(1+$D$18))^5*(1+$D$17)/($D$18-$D$17))+$C$9)/$C$6)</f>
        <v/>
      </c>
      <c r="S74" s="49" t="str">
        <f>IF(OR(NOT(ISNUMBER($C$11)),N($C$6)&lt;=0,$D$18&lt;=$D$17),"",($C$11*(IF(ABS(((1+S$73)/(1+$D$18))-1)&lt;1E-9,5,((1+S$73)/(1+$D$18))*(1-((1+S$73)/(1+$D$18))^5)/(1-((1+S$73)/(1+$D$18))))+((1+S$73)/(1+$D$18))^5*IF(ABS(((1+$D$16)/(1+$D$18))-1)&lt;1E-9,5,((1+$D$16)/(1+$D$18))*(1-((1+$D$16)/(1+$D$18))^5)/(1-((1+$D$16)/(1+$D$18))))+((1+S$73)/(1+$D$18))^5*((1+$D$16)/(1+$D$18))^5*(1+$D$17)/($D$18-$D$17))+$C$9)/$C$6)</f>
        <v/>
      </c>
      <c r="T74" s="49" t="str">
        <f>IF(OR(NOT(ISNUMBER($C$11)),N($C$6)&lt;=0,$D$18&lt;=$D$17),"",($C$11*(IF(ABS(((1+T$73)/(1+$D$18))-1)&lt;1E-9,5,((1+T$73)/(1+$D$18))*(1-((1+T$73)/(1+$D$18))^5)/(1-((1+T$73)/(1+$D$18))))+((1+T$73)/(1+$D$18))^5*IF(ABS(((1+$D$16)/(1+$D$18))-1)&lt;1E-9,5,((1+$D$16)/(1+$D$18))*(1-((1+$D$16)/(1+$D$18))^5)/(1-((1+$D$16)/(1+$D$18))))+((1+T$73)/(1+$D$18))^5*((1+$D$16)/(1+$D$18))^5*(1+$D$17)/($D$18-$D$17))+$C$9)/$C$6)</f>
        <v/>
      </c>
      <c r="U74" s="49" t="str">
        <f>IF(OR(NOT(ISNUMBER($C$11)),N($C$6)&lt;=0,$D$18&lt;=$D$17),"",($C$11*(IF(ABS(((1+U$73)/(1+$D$18))-1)&lt;1E-9,5,((1+U$73)/(1+$D$18))*(1-((1+U$73)/(1+$D$18))^5)/(1-((1+U$73)/(1+$D$18))))+((1+U$73)/(1+$D$18))^5*IF(ABS(((1+$D$16)/(1+$D$18))-1)&lt;1E-9,5,((1+$D$16)/(1+$D$18))*(1-((1+$D$16)/(1+$D$18))^5)/(1-((1+$D$16)/(1+$D$18))))+((1+U$73)/(1+$D$18))^5*((1+$D$16)/(1+$D$18))^5*(1+$D$17)/($D$18-$D$17))+$C$9)/$C$6)</f>
        <v/>
      </c>
      <c r="V74" s="49" t="str">
        <f>IF(OR(NOT(ISNUMBER($C$11)),N($C$6)&lt;=0,$D$18&lt;=$D$17),"",($C$11*(IF(ABS(((1+V$73)/(1+$D$18))-1)&lt;1E-9,5,((1+V$73)/(1+$D$18))*(1-((1+V$73)/(1+$D$18))^5)/(1-((1+V$73)/(1+$D$18))))+((1+V$73)/(1+$D$18))^5*IF(ABS(((1+$D$16)/(1+$D$18))-1)&lt;1E-9,5,((1+$D$16)/(1+$D$18))*(1-((1+$D$16)/(1+$D$18))^5)/(1-((1+$D$16)/(1+$D$18))))+((1+V$73)/(1+$D$18))^5*((1+$D$16)/(1+$D$18))^5*(1+$D$17)/($D$18-$D$17))+$C$9)/$C$6)</f>
        <v/>
      </c>
      <c r="W74" s="49" t="str">
        <f>IF(OR(NOT(ISNUMBER($C$11)),N($C$6)&lt;=0,$D$18&lt;=$D$17),"",($C$11*(IF(ABS(((1+W$73)/(1+$D$18))-1)&lt;1E-9,5,((1+W$73)/(1+$D$18))*(1-((1+W$73)/(1+$D$18))^5)/(1-((1+W$73)/(1+$D$18))))+((1+W$73)/(1+$D$18))^5*IF(ABS(((1+$D$16)/(1+$D$18))-1)&lt;1E-9,5,((1+$D$16)/(1+$D$18))*(1-((1+$D$16)/(1+$D$18))^5)/(1-((1+$D$16)/(1+$D$18))))+((1+W$73)/(1+$D$18))^5*((1+$D$16)/(1+$D$18))^5*(1+$D$17)/($D$18-$D$17))+$C$9)/$C$6)</f>
        <v/>
      </c>
      <c r="X74" s="49" t="str">
        <f>IF(OR(NOT(ISNUMBER($C$11)),N($C$6)&lt;=0,$D$18&lt;=$D$17),"",($C$11*(IF(ABS(((1+X$73)/(1+$D$18))-1)&lt;1E-9,5,((1+X$73)/(1+$D$18))*(1-((1+X$73)/(1+$D$18))^5)/(1-((1+X$73)/(1+$D$18))))+((1+X$73)/(1+$D$18))^5*IF(ABS(((1+$D$16)/(1+$D$18))-1)&lt;1E-9,5,((1+$D$16)/(1+$D$18))*(1-((1+$D$16)/(1+$D$18))^5)/(1-((1+$D$16)/(1+$D$18))))+((1+X$73)/(1+$D$18))^5*((1+$D$16)/(1+$D$18))^5*(1+$D$17)/($D$18-$D$17))+$C$9)/$C$6)</f>
        <v/>
      </c>
      <c r="Y74" s="49" t="str">
        <f>IF(OR(NOT(ISNUMBER($C$11)),N($C$6)&lt;=0,$D$18&lt;=$D$17),"",($C$11*(IF(ABS(((1+Y$73)/(1+$D$18))-1)&lt;1E-9,5,((1+Y$73)/(1+$D$18))*(1-((1+Y$73)/(1+$D$18))^5)/(1-((1+Y$73)/(1+$D$18))))+((1+Y$73)/(1+$D$18))^5*IF(ABS(((1+$D$16)/(1+$D$18))-1)&lt;1E-9,5,((1+$D$16)/(1+$D$18))*(1-((1+$D$16)/(1+$D$18))^5)/(1-((1+$D$16)/(1+$D$18))))+((1+Y$73)/(1+$D$18))^5*((1+$D$16)/(1+$D$18))^5*(1+$D$17)/($D$18-$D$17))+$C$9)/$C$6)</f>
        <v/>
      </c>
      <c r="Z74" s="49" t="str">
        <f>IF(OR(NOT(ISNUMBER($C$11)),N($C$6)&lt;=0,$D$18&lt;=$D$17),"",($C$11*(IF(ABS(((1+Z$73)/(1+$D$18))-1)&lt;1E-9,5,((1+Z$73)/(1+$D$18))*(1-((1+Z$73)/(1+$D$18))^5)/(1-((1+Z$73)/(1+$D$18))))+((1+Z$73)/(1+$D$18))^5*IF(ABS(((1+$D$16)/(1+$D$18))-1)&lt;1E-9,5,((1+$D$16)/(1+$D$18))*(1-((1+$D$16)/(1+$D$18))^5)/(1-((1+$D$16)/(1+$D$18))))+((1+Z$73)/(1+$D$18))^5*((1+$D$16)/(1+$D$18))^5*(1+$D$17)/($D$18-$D$17))+$C$9)/$C$6)</f>
        <v/>
      </c>
      <c r="AA74" s="49" t="str">
        <f>IF(OR(NOT(ISNUMBER($C$11)),N($C$6)&lt;=0,$D$18&lt;=$D$17),"",($C$11*(IF(ABS(((1+AA$73)/(1+$D$18))-1)&lt;1E-9,5,((1+AA$73)/(1+$D$18))*(1-((1+AA$73)/(1+$D$18))^5)/(1-((1+AA$73)/(1+$D$18))))+((1+AA$73)/(1+$D$18))^5*IF(ABS(((1+$D$16)/(1+$D$18))-1)&lt;1E-9,5,((1+$D$16)/(1+$D$18))*(1-((1+$D$16)/(1+$D$18))^5)/(1-((1+$D$16)/(1+$D$18))))+((1+AA$73)/(1+$D$18))^5*((1+$D$16)/(1+$D$18))^5*(1+$D$17)/($D$18-$D$17))+$C$9)/$C$6)</f>
        <v/>
      </c>
      <c r="AB74" s="49" t="str">
        <f>IF(OR(NOT(ISNUMBER($C$11)),N($C$6)&lt;=0,$D$18&lt;=$D$17),"",($C$11*(IF(ABS(((1+AB$73)/(1+$D$18))-1)&lt;1E-9,5,((1+AB$73)/(1+$D$18))*(1-((1+AB$73)/(1+$D$18))^5)/(1-((1+AB$73)/(1+$D$18))))+((1+AB$73)/(1+$D$18))^5*IF(ABS(((1+$D$16)/(1+$D$18))-1)&lt;1E-9,5,((1+$D$16)/(1+$D$18))*(1-((1+$D$16)/(1+$D$18))^5)/(1-((1+$D$16)/(1+$D$18))))+((1+AB$73)/(1+$D$18))^5*((1+$D$16)/(1+$D$18))^5*(1+$D$17)/($D$18-$D$17))+$C$9)/$C$6)</f>
        <v/>
      </c>
      <c r="AC74" s="49" t="str">
        <f>IF(OR(NOT(ISNUMBER($C$11)),N($C$6)&lt;=0,$D$18&lt;=$D$17),"",($C$11*(IF(ABS(((1+AC$73)/(1+$D$18))-1)&lt;1E-9,5,((1+AC$73)/(1+$D$18))*(1-((1+AC$73)/(1+$D$18))^5)/(1-((1+AC$73)/(1+$D$18))))+((1+AC$73)/(1+$D$18))^5*IF(ABS(((1+$D$16)/(1+$D$18))-1)&lt;1E-9,5,((1+$D$16)/(1+$D$18))*(1-((1+$D$16)/(1+$D$18))^5)/(1-((1+$D$16)/(1+$D$18))))+((1+AC$73)/(1+$D$18))^5*((1+$D$16)/(1+$D$18))^5*(1+$D$17)/($D$18-$D$17))+$C$9)/$C$6)</f>
        <v/>
      </c>
      <c r="AD74" s="49" t="str">
        <f>IF(OR(NOT(ISNUMBER($C$11)),N($C$6)&lt;=0,$D$18&lt;=$D$17),"",($C$11*(IF(ABS(((1+AD$73)/(1+$D$18))-1)&lt;1E-9,5,((1+AD$73)/(1+$D$18))*(1-((1+AD$73)/(1+$D$18))^5)/(1-((1+AD$73)/(1+$D$18))))+((1+AD$73)/(1+$D$18))^5*IF(ABS(((1+$D$16)/(1+$D$18))-1)&lt;1E-9,5,((1+$D$16)/(1+$D$18))*(1-((1+$D$16)/(1+$D$18))^5)/(1-((1+$D$16)/(1+$D$18))))+((1+AD$73)/(1+$D$18))^5*((1+$D$16)/(1+$D$18))^5*(1+$D$17)/($D$18-$D$17))+$C$9)/$C$6)</f>
        <v/>
      </c>
      <c r="AE74" s="49" t="str">
        <f>IF(OR(NOT(ISNUMBER($C$11)),N($C$6)&lt;=0,$D$18&lt;=$D$17),"",($C$11*(IF(ABS(((1+AE$73)/(1+$D$18))-1)&lt;1E-9,5,((1+AE$73)/(1+$D$18))*(1-((1+AE$73)/(1+$D$18))^5)/(1-((1+AE$73)/(1+$D$18))))+((1+AE$73)/(1+$D$18))^5*IF(ABS(((1+$D$16)/(1+$D$18))-1)&lt;1E-9,5,((1+$D$16)/(1+$D$18))*(1-((1+$D$16)/(1+$D$18))^5)/(1-((1+$D$16)/(1+$D$18))))+((1+AE$73)/(1+$D$18))^5*((1+$D$16)/(1+$D$18))^5*(1+$D$17)/($D$18-$D$17))+$C$9)/$C$6)</f>
        <v/>
      </c>
      <c r="AF74" s="49" t="str">
        <f>IF(OR(NOT(ISNUMBER($C$11)),N($C$6)&lt;=0,$D$18&lt;=$D$17),"",($C$11*(IF(ABS(((1+AF$73)/(1+$D$18))-1)&lt;1E-9,5,((1+AF$73)/(1+$D$18))*(1-((1+AF$73)/(1+$D$18))^5)/(1-((1+AF$73)/(1+$D$18))))+((1+AF$73)/(1+$D$18))^5*IF(ABS(((1+$D$16)/(1+$D$18))-1)&lt;1E-9,5,((1+$D$16)/(1+$D$18))*(1-((1+$D$16)/(1+$D$18))^5)/(1-((1+$D$16)/(1+$D$18))))+((1+AF$73)/(1+$D$18))^5*((1+$D$16)/(1+$D$18))^5*(1+$D$17)/($D$18-$D$17))+$C$9)/$C$6)</f>
        <v/>
      </c>
      <c r="AG74" s="49" t="str">
        <f>IF(OR(NOT(ISNUMBER($C$11)),N($C$6)&lt;=0,$D$18&lt;=$D$17),"",($C$11*(IF(ABS(((1+AG$73)/(1+$D$18))-1)&lt;1E-9,5,((1+AG$73)/(1+$D$18))*(1-((1+AG$73)/(1+$D$18))^5)/(1-((1+AG$73)/(1+$D$18))))+((1+AG$73)/(1+$D$18))^5*IF(ABS(((1+$D$16)/(1+$D$18))-1)&lt;1E-9,5,((1+$D$16)/(1+$D$18))*(1-((1+$D$16)/(1+$D$18))^5)/(1-((1+$D$16)/(1+$D$18))))+((1+AG$73)/(1+$D$18))^5*((1+$D$16)/(1+$D$18))^5*(1+$D$17)/($D$18-$D$17))+$C$9)/$C$6)</f>
        <v/>
      </c>
      <c r="AH74" s="49" t="str">
        <f>IF(OR(NOT(ISNUMBER($C$11)),N($C$6)&lt;=0,$D$18&lt;=$D$17),"",($C$11*(IF(ABS(((1+AH$73)/(1+$D$18))-1)&lt;1E-9,5,((1+AH$73)/(1+$D$18))*(1-((1+AH$73)/(1+$D$18))^5)/(1-((1+AH$73)/(1+$D$18))))+((1+AH$73)/(1+$D$18))^5*IF(ABS(((1+$D$16)/(1+$D$18))-1)&lt;1E-9,5,((1+$D$16)/(1+$D$18))*(1-((1+$D$16)/(1+$D$18))^5)/(1-((1+$D$16)/(1+$D$18))))+((1+AH$73)/(1+$D$18))^5*((1+$D$16)/(1+$D$18))^5*(1+$D$17)/($D$18-$D$17))+$C$9)/$C$6)</f>
        <v/>
      </c>
      <c r="AI74" s="49" t="str">
        <f>IF(OR(NOT(ISNUMBER($C$11)),N($C$6)&lt;=0,$D$18&lt;=$D$17),"",($C$11*(IF(ABS(((1+AI$73)/(1+$D$18))-1)&lt;1E-9,5,((1+AI$73)/(1+$D$18))*(1-((1+AI$73)/(1+$D$18))^5)/(1-((1+AI$73)/(1+$D$18))))+((1+AI$73)/(1+$D$18))^5*IF(ABS(((1+$D$16)/(1+$D$18))-1)&lt;1E-9,5,((1+$D$16)/(1+$D$18))*(1-((1+$D$16)/(1+$D$18))^5)/(1-((1+$D$16)/(1+$D$18))))+((1+AI$73)/(1+$D$18))^5*((1+$D$16)/(1+$D$18))^5*(1+$D$17)/($D$18-$D$17))+$C$9)/$C$6)</f>
        <v/>
      </c>
      <c r="AJ74" s="49" t="str">
        <f>IF(OR(NOT(ISNUMBER($C$11)),N($C$6)&lt;=0,$D$18&lt;=$D$17),"",($C$11*(IF(ABS(((1+AJ$73)/(1+$D$18))-1)&lt;1E-9,5,((1+AJ$73)/(1+$D$18))*(1-((1+AJ$73)/(1+$D$18))^5)/(1-((1+AJ$73)/(1+$D$18))))+((1+AJ$73)/(1+$D$18))^5*IF(ABS(((1+$D$16)/(1+$D$18))-1)&lt;1E-9,5,((1+$D$16)/(1+$D$18))*(1-((1+$D$16)/(1+$D$18))^5)/(1-((1+$D$16)/(1+$D$18))))+((1+AJ$73)/(1+$D$18))^5*((1+$D$16)/(1+$D$18))^5*(1+$D$17)/($D$18-$D$17))+$C$9)/$C$6)</f>
        <v/>
      </c>
      <c r="AK74" s="49" t="str">
        <f>IF(OR(NOT(ISNUMBER($C$11)),N($C$6)&lt;=0,$D$18&lt;=$D$17),"",($C$11*(IF(ABS(((1+AK$73)/(1+$D$18))-1)&lt;1E-9,5,((1+AK$73)/(1+$D$18))*(1-((1+AK$73)/(1+$D$18))^5)/(1-((1+AK$73)/(1+$D$18))))+((1+AK$73)/(1+$D$18))^5*IF(ABS(((1+$D$16)/(1+$D$18))-1)&lt;1E-9,5,((1+$D$16)/(1+$D$18))*(1-((1+$D$16)/(1+$D$18))^5)/(1-((1+$D$16)/(1+$D$18))))+((1+AK$73)/(1+$D$18))^5*((1+$D$16)/(1+$D$18))^5*(1+$D$17)/($D$18-$D$17))+$C$9)/$C$6)</f>
        <v/>
      </c>
      <c r="AL74" s="49" t="str">
        <f>IF(OR(NOT(ISNUMBER($C$11)),N($C$6)&lt;=0,$D$18&lt;=$D$17),"",($C$11*(IF(ABS(((1+AL$73)/(1+$D$18))-1)&lt;1E-9,5,((1+AL$73)/(1+$D$18))*(1-((1+AL$73)/(1+$D$18))^5)/(1-((1+AL$73)/(1+$D$18))))+((1+AL$73)/(1+$D$18))^5*IF(ABS(((1+$D$16)/(1+$D$18))-1)&lt;1E-9,5,((1+$D$16)/(1+$D$18))*(1-((1+$D$16)/(1+$D$18))^5)/(1-((1+$D$16)/(1+$D$18))))+((1+AL$73)/(1+$D$18))^5*((1+$D$16)/(1+$D$18))^5*(1+$D$17)/($D$18-$D$17))+$C$9)/$C$6)</f>
        <v/>
      </c>
      <c r="AM74" s="49" t="str">
        <f>IF(OR(NOT(ISNUMBER($C$11)),N($C$6)&lt;=0,$D$18&lt;=$D$17),"",($C$11*(IF(ABS(((1+AM$73)/(1+$D$18))-1)&lt;1E-9,5,((1+AM$73)/(1+$D$18))*(1-((1+AM$73)/(1+$D$18))^5)/(1-((1+AM$73)/(1+$D$18))))+((1+AM$73)/(1+$D$18))^5*IF(ABS(((1+$D$16)/(1+$D$18))-1)&lt;1E-9,5,((1+$D$16)/(1+$D$18))*(1-((1+$D$16)/(1+$D$18))^5)/(1-((1+$D$16)/(1+$D$18))))+((1+AM$73)/(1+$D$18))^5*((1+$D$16)/(1+$D$18))^5*(1+$D$17)/($D$18-$D$17))+$C$9)/$C$6)</f>
        <v/>
      </c>
      <c r="AN74" s="49" t="str">
        <f>IF(OR(NOT(ISNUMBER($C$11)),N($C$6)&lt;=0,$D$18&lt;=$D$17),"",($C$11*(IF(ABS(((1+AN$73)/(1+$D$18))-1)&lt;1E-9,5,((1+AN$73)/(1+$D$18))*(1-((1+AN$73)/(1+$D$18))^5)/(1-((1+AN$73)/(1+$D$18))))+((1+AN$73)/(1+$D$18))^5*IF(ABS(((1+$D$16)/(1+$D$18))-1)&lt;1E-9,5,((1+$D$16)/(1+$D$18))*(1-((1+$D$16)/(1+$D$18))^5)/(1-((1+$D$16)/(1+$D$18))))+((1+AN$73)/(1+$D$18))^5*((1+$D$16)/(1+$D$18))^5*(1+$D$17)/($D$18-$D$17))+$C$9)/$C$6)</f>
        <v/>
      </c>
      <c r="AO74" s="49" t="str">
        <f>IF(OR(NOT(ISNUMBER($C$11)),N($C$6)&lt;=0,$D$18&lt;=$D$17),"",($C$11*(IF(ABS(((1+AO$73)/(1+$D$18))-1)&lt;1E-9,5,((1+AO$73)/(1+$D$18))*(1-((1+AO$73)/(1+$D$18))^5)/(1-((1+AO$73)/(1+$D$18))))+((1+AO$73)/(1+$D$18))^5*IF(ABS(((1+$D$16)/(1+$D$18))-1)&lt;1E-9,5,((1+$D$16)/(1+$D$18))*(1-((1+$D$16)/(1+$D$18))^5)/(1-((1+$D$16)/(1+$D$18))))+((1+AO$73)/(1+$D$18))^5*((1+$D$16)/(1+$D$18))^5*(1+$D$17)/($D$18-$D$17))+$C$9)/$C$6)</f>
        <v/>
      </c>
      <c r="AP74" s="49" t="str">
        <f>IF(OR(NOT(ISNUMBER($C$11)),N($C$6)&lt;=0,$D$18&lt;=$D$17),"",($C$11*(IF(ABS(((1+AP$73)/(1+$D$18))-1)&lt;1E-9,5,((1+AP$73)/(1+$D$18))*(1-((1+AP$73)/(1+$D$18))^5)/(1-((1+AP$73)/(1+$D$18))))+((1+AP$73)/(1+$D$18))^5*IF(ABS(((1+$D$16)/(1+$D$18))-1)&lt;1E-9,5,((1+$D$16)/(1+$D$18))*(1-((1+$D$16)/(1+$D$18))^5)/(1-((1+$D$16)/(1+$D$18))))+((1+AP$73)/(1+$D$18))^5*((1+$D$16)/(1+$D$18))^5*(1+$D$17)/($D$18-$D$17))+$C$9)/$C$6)</f>
        <v/>
      </c>
      <c r="AQ74" s="49" t="str">
        <f>IF(OR(NOT(ISNUMBER($C$11)),N($C$6)&lt;=0,$D$18&lt;=$D$17),"",($C$11*(IF(ABS(((1+AQ$73)/(1+$D$18))-1)&lt;1E-9,5,((1+AQ$73)/(1+$D$18))*(1-((1+AQ$73)/(1+$D$18))^5)/(1-((1+AQ$73)/(1+$D$18))))+((1+AQ$73)/(1+$D$18))^5*IF(ABS(((1+$D$16)/(1+$D$18))-1)&lt;1E-9,5,((1+$D$16)/(1+$D$18))*(1-((1+$D$16)/(1+$D$18))^5)/(1-((1+$D$16)/(1+$D$18))))+((1+AQ$73)/(1+$D$18))^5*((1+$D$16)/(1+$D$18))^5*(1+$D$17)/($D$18-$D$17))+$C$9)/$C$6)</f>
        <v/>
      </c>
    </row>
  </sheetData>
  <mergeCells count="42">
    <mergeCell ref="H64:M64"/>
    <mergeCell ref="F4:M4"/>
    <mergeCell ref="H60:M60"/>
    <mergeCell ref="F11:M11"/>
    <mergeCell ref="F19:M19"/>
    <mergeCell ref="F34:M34"/>
    <mergeCell ref="F10:M10"/>
    <mergeCell ref="F16:M16"/>
    <mergeCell ref="F6:M6"/>
    <mergeCell ref="H61:M61"/>
    <mergeCell ref="F7:M7"/>
    <mergeCell ref="F40:M40"/>
    <mergeCell ref="F15:M15"/>
    <mergeCell ref="D44:M44"/>
    <mergeCell ref="F33:M33"/>
    <mergeCell ref="H65:M65"/>
    <mergeCell ref="F5:M5"/>
    <mergeCell ref="F36:M36"/>
    <mergeCell ref="F18:M18"/>
    <mergeCell ref="F67:M68"/>
    <mergeCell ref="F41:M41"/>
    <mergeCell ref="F32:M32"/>
    <mergeCell ref="F35:M35"/>
    <mergeCell ref="F8:M8"/>
    <mergeCell ref="A1:J1"/>
    <mergeCell ref="F17:M17"/>
    <mergeCell ref="D46:M46"/>
    <mergeCell ref="H62:M62"/>
    <mergeCell ref="D45:M45"/>
    <mergeCell ref="F38:M38"/>
    <mergeCell ref="F31:M31"/>
    <mergeCell ref="D49:M49"/>
    <mergeCell ref="F9:M9"/>
    <mergeCell ref="H63:M63"/>
    <mergeCell ref="F37:M37"/>
    <mergeCell ref="F39:M39"/>
    <mergeCell ref="D48:M48"/>
    <mergeCell ref="H52:M57"/>
    <mergeCell ref="D47:M47"/>
    <mergeCell ref="F14:M14"/>
    <mergeCell ref="A2:M2"/>
    <mergeCell ref="K1:M1"/>
  </mergeCells>
  <conditionalFormatting sqref="C41:E41">
    <cfRule type="cellIs" priority="1" operator="notEqual" dxfId="5">
      <formula>""</formula>
    </cfRule>
  </conditionalFormatting>
  <conditionalFormatting sqref="C53:G57">
    <cfRule type="expression" priority="2" dxfId="6">
      <formula>AND(ISNUMBER(C53),ISNUMBER($C$5),ABS(C53/$C$5-1)&lt;=0.1)</formula>
    </cfRule>
  </conditionalFormatting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  <rowBreaks count="2" manualBreakCount="2">
    <brk id="29" min="0" max="16383" man="1"/>
    <brk id="58" min="0" max="16383" man="1"/>
  </rowBreaks>
</worksheet>
</file>

<file path=xl/worksheets/sheet6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O4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11" customWidth="1" min="2" max="2"/>
    <col width="30" customWidth="1" min="3" max="3"/>
    <col width="10" customWidth="1" min="4" max="4"/>
    <col width="21" customWidth="1" min="5" max="5"/>
    <col width="19" customWidth="1" min="6" max="6"/>
    <col width="10" customWidth="1" min="7" max="7"/>
    <col width="12" customWidth="1" min="8" max="8"/>
    <col width="11" customWidth="1" min="9" max="9"/>
    <col width="11" customWidth="1" min="10" max="10"/>
    <col width="10" customWidth="1" min="11" max="11"/>
    <col hidden="1" width="8" customWidth="1" min="14" max="14"/>
    <col hidden="1" width="10" customWidth="1" min="15" max="15"/>
  </cols>
  <sheetData>
    <row r="1" ht="30" customHeight="1">
      <c r="A1" s="13" t="inlineStr">
        <is>
          <t>风险与跟踪：先写会怎么错，再定什么时候看</t>
        </is>
      </c>
      <c r="I1" s="14" t="inlineStr">
        <is>
          <t>TradeLearn · XtradingTime 交易内训</t>
        </is>
      </c>
    </row>
    <row r="2" ht="20" customHeight="1">
      <c r="A2" s="2" t="inlineStr">
        <is>
          <t>风险写到能观察的程度；跟踪日历里写清你预期看到的数字；每次复核或买卖都在最下面记一行。</t>
        </is>
      </c>
    </row>
    <row r="4">
      <c r="B4" s="25" t="inlineStr">
        <is>
          <t>1. 风险清单</t>
        </is>
      </c>
    </row>
    <row r="5">
      <c r="B5" s="26" t="inlineStr">
        <is>
          <t>编号</t>
        </is>
      </c>
      <c r="C5" s="26" t="inlineStr">
        <is>
          <t>风险（具体到能观察）</t>
        </is>
      </c>
      <c r="D5" s="26" t="inlineStr">
        <is>
          <t>类别</t>
        </is>
      </c>
      <c r="E5" s="26" t="inlineStr">
        <is>
          <t>早期信号（先看到什么）</t>
        </is>
      </c>
      <c r="F5" s="26" t="inlineStr">
        <is>
          <t>应对</t>
        </is>
      </c>
      <c r="G5" s="26" t="inlineStr">
        <is>
          <t>可能性</t>
        </is>
      </c>
      <c r="H5" s="26" t="inlineStr">
        <is>
          <t>影响</t>
        </is>
      </c>
      <c r="I5" s="26" t="inlineStr">
        <is>
          <t>分数</t>
        </is>
      </c>
      <c r="J5" s="26" t="inlineStr">
        <is>
          <t>上次检查</t>
        </is>
      </c>
      <c r="K5" s="26" t="inlineStr">
        <is>
          <t>状态</t>
        </is>
      </c>
    </row>
    <row r="6">
      <c r="B6" s="18" t="n"/>
      <c r="C6" s="16" t="n"/>
      <c r="D6" s="18" t="n"/>
      <c r="E6" s="16" t="n"/>
      <c r="F6" s="16" t="n"/>
      <c r="G6" s="18" t="n"/>
      <c r="H6" s="18" t="n"/>
      <c r="I6" s="50" t="str">
        <f>IF(OR(G6="",H6=""),"",((G6="高")*3+(G6="中")*2+(G6="低")*1)*((H6="高")*3+(H6="中")*2+(H6="低")*1))</f>
        <v/>
      </c>
      <c r="J6" s="20" t="n"/>
      <c r="K6" s="18" t="n"/>
      <c r="N6" s="59" t="str">
        <f>IF(OR(I6="",C6=""),"",I6+(100-ROW())/1000)</f>
        <v/>
      </c>
    </row>
    <row r="7">
      <c r="B7" s="18" t="n"/>
      <c r="C7" s="16" t="n"/>
      <c r="D7" s="18" t="n"/>
      <c r="E7" s="16" t="n"/>
      <c r="F7" s="16" t="n"/>
      <c r="G7" s="18" t="n"/>
      <c r="H7" s="18" t="n"/>
      <c r="I7" s="50" t="str">
        <f>IF(OR(G7="",H7=""),"",((G7="高")*3+(G7="中")*2+(G7="低")*1)*((H7="高")*3+(H7="中")*2+(H7="低")*1))</f>
        <v/>
      </c>
      <c r="J7" s="20" t="n"/>
      <c r="K7" s="18" t="n"/>
      <c r="N7" s="59" t="str">
        <f>IF(OR(I7="",C7=""),"",I7+(100-ROW())/1000)</f>
        <v/>
      </c>
    </row>
    <row r="8">
      <c r="B8" s="18" t="n"/>
      <c r="C8" s="16" t="n"/>
      <c r="D8" s="18" t="n"/>
      <c r="E8" s="16" t="n"/>
      <c r="F8" s="16" t="n"/>
      <c r="G8" s="18" t="n"/>
      <c r="H8" s="18" t="n"/>
      <c r="I8" s="50" t="str">
        <f>IF(OR(G8="",H8=""),"",((G8="高")*3+(G8="中")*2+(G8="低")*1)*((H8="高")*3+(H8="中")*2+(H8="低")*1))</f>
        <v/>
      </c>
      <c r="J8" s="20" t="n"/>
      <c r="K8" s="18" t="n"/>
      <c r="N8" s="59" t="str">
        <f>IF(OR(I8="",C8=""),"",I8+(100-ROW())/1000)</f>
        <v/>
      </c>
    </row>
    <row r="9">
      <c r="B9" s="18" t="n"/>
      <c r="C9" s="16" t="n"/>
      <c r="D9" s="18" t="n"/>
      <c r="E9" s="16" t="n"/>
      <c r="F9" s="16" t="n"/>
      <c r="G9" s="18" t="n"/>
      <c r="H9" s="18" t="n"/>
      <c r="I9" s="50" t="str">
        <f>IF(OR(G9="",H9=""),"",((G9="高")*3+(G9="中")*2+(G9="低")*1)*((H9="高")*3+(H9="中")*2+(H9="低")*1))</f>
        <v/>
      </c>
      <c r="J9" s="20" t="n"/>
      <c r="K9" s="18" t="n"/>
      <c r="N9" s="59" t="str">
        <f>IF(OR(I9="",C9=""),"",I9+(100-ROW())/1000)</f>
        <v/>
      </c>
    </row>
    <row r="10">
      <c r="B10" s="18" t="n"/>
      <c r="C10" s="16" t="n"/>
      <c r="D10" s="18" t="n"/>
      <c r="E10" s="16" t="n"/>
      <c r="F10" s="16" t="n"/>
      <c r="G10" s="18" t="n"/>
      <c r="H10" s="18" t="n"/>
      <c r="I10" s="50" t="str">
        <f>IF(OR(G10="",H10=""),"",((G10="高")*3+(G10="中")*2+(G10="低")*1)*((H10="高")*3+(H10="中")*2+(H10="低")*1))</f>
        <v/>
      </c>
      <c r="J10" s="20" t="n"/>
      <c r="K10" s="18" t="n"/>
      <c r="N10" s="59" t="str">
        <f>IF(OR(I10="",C10=""),"",I10+(100-ROW())/1000)</f>
        <v/>
      </c>
    </row>
    <row r="11">
      <c r="B11" s="18" t="n"/>
      <c r="C11" s="16" t="n"/>
      <c r="D11" s="18" t="n"/>
      <c r="E11" s="16" t="n"/>
      <c r="F11" s="16" t="n"/>
      <c r="G11" s="18" t="n"/>
      <c r="H11" s="18" t="n"/>
      <c r="I11" s="50" t="str">
        <f>IF(OR(G11="",H11=""),"",((G11="高")*3+(G11="中")*2+(G11="低")*1)*((H11="高")*3+(H11="中")*2+(H11="低")*1))</f>
        <v/>
      </c>
      <c r="J11" s="20" t="n"/>
      <c r="K11" s="18" t="n"/>
      <c r="N11" s="59" t="str">
        <f>IF(OR(I11="",C11=""),"",I11+(100-ROW())/1000)</f>
        <v/>
      </c>
    </row>
    <row r="12">
      <c r="B12" s="18" t="n"/>
      <c r="C12" s="16" t="n"/>
      <c r="D12" s="18" t="n"/>
      <c r="E12" s="16" t="n"/>
      <c r="F12" s="16" t="n"/>
      <c r="G12" s="18" t="n"/>
      <c r="H12" s="18" t="n"/>
      <c r="I12" s="50" t="str">
        <f>IF(OR(G12="",H12=""),"",((G12="高")*3+(G12="中")*2+(G12="低")*1)*((H12="高")*3+(H12="中")*2+(H12="低")*1))</f>
        <v/>
      </c>
      <c r="J12" s="20" t="n"/>
      <c r="K12" s="18" t="n"/>
      <c r="N12" s="59" t="str">
        <f>IF(OR(I12="",C12=""),"",I12+(100-ROW())/1000)</f>
        <v/>
      </c>
    </row>
    <row r="13">
      <c r="B13" s="18" t="n"/>
      <c r="C13" s="16" t="n"/>
      <c r="D13" s="18" t="n"/>
      <c r="E13" s="16" t="n"/>
      <c r="F13" s="16" t="n"/>
      <c r="G13" s="18" t="n"/>
      <c r="H13" s="18" t="n"/>
      <c r="I13" s="50" t="str">
        <f>IF(OR(G13="",H13=""),"",((G13="高")*3+(G13="中")*2+(G13="低")*1)*((H13="高")*3+(H13="中")*2+(H13="低")*1))</f>
        <v/>
      </c>
      <c r="J13" s="20" t="n"/>
      <c r="K13" s="18" t="n"/>
      <c r="N13" s="59" t="str">
        <f>IF(OR(I13="",C13=""),"",I13+(100-ROW())/1000)</f>
        <v/>
      </c>
    </row>
    <row r="14">
      <c r="B14" s="18" t="n"/>
      <c r="C14" s="16" t="n"/>
      <c r="D14" s="18" t="n"/>
      <c r="E14" s="16" t="n"/>
      <c r="F14" s="16" t="n"/>
      <c r="G14" s="18" t="n"/>
      <c r="H14" s="18" t="n"/>
      <c r="I14" s="50" t="str">
        <f>IF(OR(G14="",H14=""),"",((G14="高")*3+(G14="中")*2+(G14="低")*1)*((H14="高")*3+(H14="中")*2+(H14="低")*1))</f>
        <v/>
      </c>
      <c r="J14" s="20" t="n"/>
      <c r="K14" s="18" t="n"/>
      <c r="N14" s="59" t="str">
        <f>IF(OR(I14="",C14=""),"",I14+(100-ROW())/1000)</f>
        <v/>
      </c>
    </row>
    <row r="15">
      <c r="B15" s="18" t="n"/>
      <c r="C15" s="16" t="n"/>
      <c r="D15" s="18" t="n"/>
      <c r="E15" s="16" t="n"/>
      <c r="F15" s="16" t="n"/>
      <c r="G15" s="18" t="n"/>
      <c r="H15" s="18" t="n"/>
      <c r="I15" s="50" t="str">
        <f>IF(OR(G15="",H15=""),"",((G15="高")*3+(G15="中")*2+(G15="低")*1)*((H15="高")*3+(H15="中")*2+(H15="低")*1))</f>
        <v/>
      </c>
      <c r="J15" s="20" t="n"/>
      <c r="K15" s="18" t="n"/>
      <c r="N15" s="59" t="str">
        <f>IF(OR(I15="",C15=""),"",I15+(100-ROW())/1000)</f>
        <v/>
      </c>
    </row>
    <row r="16">
      <c r="B16" s="23" t="inlineStr">
        <is>
          <t>分数 = 可能性 × 影响（高 3、中 2、低 1），6 分以上标红。备忘录会按分数自动取前三条。</t>
        </is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</row>
    <row r="18">
      <c r="B18" s="25" t="inlineStr">
        <is>
          <t>2. 跟踪日历（财报、分红、解禁、行业数据）</t>
        </is>
      </c>
    </row>
    <row r="19">
      <c r="B19" s="26" t="inlineStr">
        <is>
          <t>日期</t>
        </is>
      </c>
      <c r="C19" s="26" t="inlineStr">
        <is>
          <t>事件</t>
        </is>
      </c>
      <c r="D19" s="26" t="inlineStr">
        <is>
          <t>验证哪一条</t>
        </is>
      </c>
      <c r="E19" s="26" t="inlineStr">
        <is>
          <t>我预期看到什么（写数字）</t>
        </is>
      </c>
      <c r="F19" s="26" t="inlineStr">
        <is>
          <t>实际看到什么</t>
        </is>
      </c>
      <c r="G19" s="26" t="inlineStr">
        <is>
          <t>符合吗</t>
        </is>
      </c>
      <c r="H19" s="26" t="inlineStr">
        <is>
          <t>对结论的影响</t>
        </is>
      </c>
      <c r="I19" s="26" t="inlineStr">
        <is>
          <t>距今天数</t>
        </is>
      </c>
    </row>
    <row r="20">
      <c r="B20" s="20" t="n"/>
      <c r="C20" s="60" t="n"/>
      <c r="D20" s="18" t="n"/>
      <c r="E20" s="16" t="n"/>
      <c r="F20" s="16" t="n"/>
      <c r="G20" s="18" t="n"/>
      <c r="H20" s="18" t="n"/>
      <c r="I20" s="50" t="str">
        <f>IF(ISNUMBER(B20),B20-TODAY(),"")</f>
        <v/>
      </c>
      <c r="O20" s="61" t="str">
        <f>IF(AND(ISNUMBER(B20),B20&gt;=TODAY()),B20,"")</f>
        <v/>
      </c>
    </row>
    <row r="21">
      <c r="B21" s="20" t="n"/>
      <c r="C21" s="60" t="n"/>
      <c r="D21" s="18" t="n"/>
      <c r="E21" s="16" t="n"/>
      <c r="F21" s="16" t="n"/>
      <c r="G21" s="18" t="n"/>
      <c r="H21" s="18" t="n"/>
      <c r="I21" s="50" t="str">
        <f>IF(ISNUMBER(B21),B21-TODAY(),"")</f>
        <v/>
      </c>
      <c r="O21" s="61" t="str">
        <f>IF(AND(ISNUMBER(B21),B21&gt;=TODAY()),B21,"")</f>
        <v/>
      </c>
    </row>
    <row r="22">
      <c r="B22" s="20" t="n"/>
      <c r="C22" s="60" t="n"/>
      <c r="D22" s="18" t="n"/>
      <c r="E22" s="16" t="n"/>
      <c r="F22" s="16" t="n"/>
      <c r="G22" s="18" t="n"/>
      <c r="H22" s="18" t="n"/>
      <c r="I22" s="50" t="str">
        <f>IF(ISNUMBER(B22),B22-TODAY(),"")</f>
        <v/>
      </c>
      <c r="O22" s="61" t="str">
        <f>IF(AND(ISNUMBER(B22),B22&gt;=TODAY()),B22,"")</f>
        <v/>
      </c>
    </row>
    <row r="23">
      <c r="B23" s="20" t="n"/>
      <c r="C23" s="60" t="n"/>
      <c r="D23" s="18" t="n"/>
      <c r="E23" s="16" t="n"/>
      <c r="F23" s="16" t="n"/>
      <c r="G23" s="18" t="n"/>
      <c r="H23" s="18" t="n"/>
      <c r="I23" s="50" t="str">
        <f>IF(ISNUMBER(B23),B23-TODAY(),"")</f>
        <v/>
      </c>
      <c r="O23" s="61" t="str">
        <f>IF(AND(ISNUMBER(B23),B23&gt;=TODAY()),B23,"")</f>
        <v/>
      </c>
    </row>
    <row r="24">
      <c r="B24" s="20" t="n"/>
      <c r="C24" s="60" t="n"/>
      <c r="D24" s="18" t="n"/>
      <c r="E24" s="16" t="n"/>
      <c r="F24" s="16" t="n"/>
      <c r="G24" s="18" t="n"/>
      <c r="H24" s="18" t="n"/>
      <c r="I24" s="50" t="str">
        <f>IF(ISNUMBER(B24),B24-TODAY(),"")</f>
        <v/>
      </c>
      <c r="O24" s="61" t="str">
        <f>IF(AND(ISNUMBER(B24),B24&gt;=TODAY()),B24,"")</f>
        <v/>
      </c>
    </row>
    <row r="25">
      <c r="B25" s="20" t="n"/>
      <c r="C25" s="60" t="n"/>
      <c r="D25" s="18" t="n"/>
      <c r="E25" s="16" t="n"/>
      <c r="F25" s="16" t="n"/>
      <c r="G25" s="18" t="n"/>
      <c r="H25" s="18" t="n"/>
      <c r="I25" s="50" t="str">
        <f>IF(ISNUMBER(B25),B25-TODAY(),"")</f>
        <v/>
      </c>
      <c r="O25" s="61" t="str">
        <f>IF(AND(ISNUMBER(B25),B25&gt;=TODAY()),B25,"")</f>
        <v/>
      </c>
    </row>
    <row r="26">
      <c r="B26" s="20" t="n"/>
      <c r="C26" s="60" t="n"/>
      <c r="D26" s="18" t="n"/>
      <c r="E26" s="16" t="n"/>
      <c r="F26" s="16" t="n"/>
      <c r="G26" s="18" t="n"/>
      <c r="H26" s="18" t="n"/>
      <c r="I26" s="50" t="str">
        <f>IF(ISNUMBER(B26),B26-TODAY(),"")</f>
        <v/>
      </c>
      <c r="O26" s="61" t="str">
        <f>IF(AND(ISNUMBER(B26),B26&gt;=TODAY()),B26,"")</f>
        <v/>
      </c>
    </row>
    <row r="27">
      <c r="B27" s="20" t="n"/>
      <c r="C27" s="60" t="n"/>
      <c r="D27" s="18" t="n"/>
      <c r="E27" s="16" t="n"/>
      <c r="F27" s="16" t="n"/>
      <c r="G27" s="18" t="n"/>
      <c r="H27" s="18" t="n"/>
      <c r="I27" s="50" t="str">
        <f>IF(ISNUMBER(B27),B27-TODAY(),"")</f>
        <v/>
      </c>
      <c r="O27" s="61" t="str">
        <f>IF(AND(ISNUMBER(B27),B27&gt;=TODAY()),B27,"")</f>
        <v/>
      </c>
    </row>
    <row r="28">
      <c r="B28" s="20" t="n"/>
      <c r="C28" s="60" t="n"/>
      <c r="D28" s="18" t="n"/>
      <c r="E28" s="16" t="n"/>
      <c r="F28" s="16" t="n"/>
      <c r="G28" s="18" t="n"/>
      <c r="H28" s="18" t="n"/>
      <c r="I28" s="50" t="str">
        <f>IF(ISNUMBER(B28),B28-TODAY(),"")</f>
        <v/>
      </c>
      <c r="O28" s="61" t="str">
        <f>IF(AND(ISNUMBER(B28),B28&gt;=TODAY()),B28,"")</f>
        <v/>
      </c>
    </row>
    <row r="29">
      <c r="B29" s="20" t="n"/>
      <c r="C29" s="60" t="n"/>
      <c r="D29" s="18" t="n"/>
      <c r="E29" s="16" t="n"/>
      <c r="F29" s="16" t="n"/>
      <c r="G29" s="18" t="n"/>
      <c r="H29" s="18" t="n"/>
      <c r="I29" s="50" t="str">
        <f>IF(ISNUMBER(B29),B29-TODAY(),"")</f>
        <v/>
      </c>
      <c r="O29" s="61" t="str">
        <f>IF(AND(ISNUMBER(B29),B29&gt;=TODAY()),B29,"")</f>
        <v/>
      </c>
    </row>
    <row r="30">
      <c r="B30" s="20" t="n"/>
      <c r="C30" s="60" t="n"/>
      <c r="D30" s="18" t="n"/>
      <c r="E30" s="16" t="n"/>
      <c r="F30" s="16" t="n"/>
      <c r="G30" s="18" t="n"/>
      <c r="H30" s="18" t="n"/>
      <c r="I30" s="50" t="str">
        <f>IF(ISNUMBER(B30),B30-TODAY(),"")</f>
        <v/>
      </c>
      <c r="O30" s="61" t="str">
        <f>IF(AND(ISNUMBER(B30),B30&gt;=TODAY()),B30,"")</f>
        <v/>
      </c>
    </row>
    <row r="31">
      <c r="B31" s="20" t="n"/>
      <c r="C31" s="60" t="n"/>
      <c r="D31" s="18" t="n"/>
      <c r="E31" s="16" t="n"/>
      <c r="F31" s="16" t="n"/>
      <c r="G31" s="18" t="n"/>
      <c r="H31" s="18" t="n"/>
      <c r="I31" s="50" t="str">
        <f>IF(ISNUMBER(B31),B31-TODAY(),"")</f>
        <v/>
      </c>
      <c r="O31" s="61" t="str">
        <f>IF(AND(ISNUMBER(B31),B31&gt;=TODAY()),B31,"")</f>
        <v/>
      </c>
    </row>
    <row r="32">
      <c r="B32" s="23" t="inlineStr">
        <is>
          <t>距今天数在 0 到 14 天之间的标黄：两周内要看的事。备忘录的「下一个要验证的事」和「下次复核」自动取今天以后最近的一件。</t>
        </is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</row>
    <row r="34">
      <c r="B34" s="25" t="inlineStr">
        <is>
          <t>3. 复核记录（每次复核或买卖都记一行）</t>
        </is>
      </c>
    </row>
    <row r="35">
      <c r="B35" s="26" t="inlineStr">
        <is>
          <t>日期</t>
        </is>
      </c>
      <c r="C35" s="26" t="inlineStr">
        <is>
          <t>为什么（引用哪条纪律或证据）</t>
        </is>
      </c>
      <c r="D35" s="26" t="inlineStr">
        <is>
          <t>结论</t>
        </is>
      </c>
      <c r="E35" s="26" t="inlineStr">
        <is>
          <t>改了哪个假设</t>
        </is>
      </c>
      <c r="F35" s="26" t="inlineStr">
        <is>
          <t>当时股价</t>
        </is>
      </c>
      <c r="G35" s="26" t="inlineStr">
        <is>
          <t>基准每股价值</t>
        </is>
      </c>
      <c r="H35" s="26" t="inlineStr">
        <is>
          <t>安全边际</t>
        </is>
      </c>
      <c r="I35" s="26" t="inlineStr">
        <is>
          <t>版本</t>
        </is>
      </c>
    </row>
    <row r="36">
      <c r="B36" s="20" t="n"/>
      <c r="C36" s="16" t="n"/>
      <c r="D36" s="18" t="n"/>
      <c r="E36" s="16" t="n"/>
      <c r="F36" s="48" t="n"/>
      <c r="G36" s="48" t="n"/>
      <c r="H36" s="38" t="str">
        <f>IF(AND(ISNUMBER(F36),ISNUMBER(G36),N(G36)&gt;0),(G36-F36)/G36,"")</f>
        <v/>
      </c>
      <c r="I36" s="18" t="n"/>
    </row>
    <row r="37">
      <c r="B37" s="20" t="n"/>
      <c r="C37" s="16" t="n"/>
      <c r="D37" s="18" t="n"/>
      <c r="E37" s="16" t="n"/>
      <c r="F37" s="48" t="n"/>
      <c r="G37" s="48" t="n"/>
      <c r="H37" s="38" t="str">
        <f>IF(AND(ISNUMBER(F37),ISNUMBER(G37),N(G37)&gt;0),(G37-F37)/G37,"")</f>
        <v/>
      </c>
      <c r="I37" s="18" t="n"/>
    </row>
    <row r="38">
      <c r="B38" s="20" t="n"/>
      <c r="C38" s="16" t="n"/>
      <c r="D38" s="18" t="n"/>
      <c r="E38" s="16" t="n"/>
      <c r="F38" s="48" t="n"/>
      <c r="G38" s="48" t="n"/>
      <c r="H38" s="38" t="str">
        <f>IF(AND(ISNUMBER(F38),ISNUMBER(G38),N(G38)&gt;0),(G38-F38)/G38,"")</f>
        <v/>
      </c>
      <c r="I38" s="18" t="n"/>
    </row>
    <row r="39">
      <c r="B39" s="20" t="n"/>
      <c r="C39" s="16" t="n"/>
      <c r="D39" s="18" t="n"/>
      <c r="E39" s="16" t="n"/>
      <c r="F39" s="48" t="n"/>
      <c r="G39" s="48" t="n"/>
      <c r="H39" s="38" t="str">
        <f>IF(AND(ISNUMBER(F39),ISNUMBER(G39),N(G39)&gt;0),(G39-F39)/G39,"")</f>
        <v/>
      </c>
      <c r="I39" s="18" t="n"/>
    </row>
    <row r="40">
      <c r="B40" s="20" t="n"/>
      <c r="C40" s="16" t="n"/>
      <c r="D40" s="18" t="n"/>
      <c r="E40" s="16" t="n"/>
      <c r="F40" s="48" t="n"/>
      <c r="G40" s="48" t="n"/>
      <c r="H40" s="38" t="str">
        <f>IF(AND(ISNUMBER(F40),ISNUMBER(G40),N(G40)&gt;0),(G40-F40)/G40,"")</f>
        <v/>
      </c>
      <c r="I40" s="18" t="n"/>
    </row>
    <row r="41">
      <c r="B41" s="20" t="n"/>
      <c r="C41" s="16" t="n"/>
      <c r="D41" s="18" t="n"/>
      <c r="E41" s="16" t="n"/>
      <c r="F41" s="48" t="n"/>
      <c r="G41" s="48" t="n"/>
      <c r="H41" s="38" t="str">
        <f>IF(AND(ISNUMBER(F41),ISNUMBER(G41),N(G41)&gt;0),(G41-F41)/G41,"")</f>
        <v/>
      </c>
      <c r="I41" s="18" t="n"/>
    </row>
    <row r="42">
      <c r="B42" s="20" t="n"/>
      <c r="C42" s="16" t="n"/>
      <c r="D42" s="18" t="n"/>
      <c r="E42" s="16" t="n"/>
      <c r="F42" s="48" t="n"/>
      <c r="G42" s="48" t="n"/>
      <c r="H42" s="38" t="str">
        <f>IF(AND(ISNUMBER(F42),ISNUMBER(G42),N(G42)&gt;0),(G42-F42)/G42,"")</f>
        <v/>
      </c>
      <c r="I42" s="18" t="n"/>
    </row>
    <row r="43">
      <c r="B43" s="20" t="n"/>
      <c r="C43" s="16" t="n"/>
      <c r="D43" s="18" t="n"/>
      <c r="E43" s="16" t="n"/>
      <c r="F43" s="48" t="n"/>
      <c r="G43" s="48" t="n"/>
      <c r="H43" s="38" t="str">
        <f>IF(AND(ISNUMBER(F43),ISNUMBER(G43),N(G43)&gt;0),(G43-F43)/G43,"")</f>
        <v/>
      </c>
      <c r="I43" s="18" t="n"/>
    </row>
    <row r="44">
      <c r="B44" s="20" t="n"/>
      <c r="C44" s="16" t="n"/>
      <c r="D44" s="18" t="n"/>
      <c r="E44" s="16" t="n"/>
      <c r="F44" s="48" t="n"/>
      <c r="G44" s="48" t="n"/>
      <c r="H44" s="38" t="str">
        <f>IF(AND(ISNUMBER(F44),ISNUMBER(G44),N(G44)&gt;0),(G44-F44)/G44,"")</f>
        <v/>
      </c>
      <c r="I44" s="18" t="n"/>
    </row>
    <row r="45">
      <c r="B45" s="20" t="n"/>
      <c r="C45" s="16" t="n"/>
      <c r="D45" s="18" t="n"/>
      <c r="E45" s="16" t="n"/>
      <c r="F45" s="48" t="n"/>
      <c r="G45" s="48" t="n"/>
      <c r="H45" s="38" t="str">
        <f>IF(AND(ISNUMBER(F45),ISNUMBER(G45),N(G45)&gt;0),(G45-F45)/G45,"")</f>
        <v/>
      </c>
      <c r="I45" s="18" t="n"/>
    </row>
    <row r="46">
      <c r="B46" s="20" t="n"/>
      <c r="C46" s="16" t="n"/>
      <c r="D46" s="18" t="n"/>
      <c r="E46" s="16" t="n"/>
      <c r="F46" s="48" t="n"/>
      <c r="G46" s="48" t="n"/>
      <c r="H46" s="38" t="str">
        <f>IF(AND(ISNUMBER(F46),ISNUMBER(G46),N(G46)&gt;0),(G46-F46)/G46,"")</f>
        <v/>
      </c>
      <c r="I46" s="18" t="n"/>
    </row>
    <row r="47">
      <c r="B47" s="20" t="n"/>
      <c r="C47" s="16" t="n"/>
      <c r="D47" s="18" t="n"/>
      <c r="E47" s="16" t="n"/>
      <c r="F47" s="48" t="n"/>
      <c r="G47" s="48" t="n"/>
      <c r="H47" s="38" t="str">
        <f>IF(AND(ISNUMBER(F47),ISNUMBER(G47),N(G47)&gt;0),(G47-F47)/G47,"")</f>
        <v/>
      </c>
      <c r="I47" s="18" t="n"/>
    </row>
  </sheetData>
  <mergeCells count="5">
    <mergeCell ref="A1:H1"/>
    <mergeCell ref="B32:K32"/>
    <mergeCell ref="I1:K1"/>
    <mergeCell ref="A2:K2"/>
    <mergeCell ref="B16:K16"/>
  </mergeCells>
  <conditionalFormatting sqref="I6:I15">
    <cfRule type="cellIs" priority="1" operator="greaterThanOrEqual" dxfId="7">
      <formula>6</formula>
    </cfRule>
    <cfRule type="cellIs" priority="2" operator="between" dxfId="5">
      <formula>3</formula>
      <formula>5</formula>
    </cfRule>
  </conditionalFormatting>
  <conditionalFormatting sqref="K6:K15">
    <cfRule type="cellIs" priority="3" operator="equal" dxfId="2">
      <formula>"出现苗头"</formula>
    </cfRule>
    <cfRule type="cellIs" priority="4" operator="equal" dxfId="1">
      <formula>"已发生"</formula>
    </cfRule>
  </conditionalFormatting>
  <conditionalFormatting sqref="I20:I31">
    <cfRule type="cellIs" priority="5" operator="between" dxfId="6">
      <formula>0</formula>
      <formula>14</formula>
    </cfRule>
  </conditionalFormatting>
  <conditionalFormatting sqref="G20:G31">
    <cfRule type="cellIs" priority="6" operator="equal" dxfId="1">
      <formula>"不符合"</formula>
    </cfRule>
  </conditionalFormatting>
  <dataValidations count="10">
    <dataValidation sqref="D6:D15" showDropDown="0" showInputMessage="0" showErrorMessage="1" allowBlank="1" errorTitle="不在选项里" error="请从下拉里选；要加新选项，先去参数页的下拉选项里加。" type="list" errorStyle="warning">
      <formula1>"经营,财务,治理,行业,估值,政策,汇率,其他"</formula1>
    </dataValidation>
    <dataValidation sqref="G6:H15" showDropDown="0" showInputMessage="0" showErrorMessage="1" allowBlank="1" errorTitle="不在选项里" error="请从下拉里选；要加新选项，先去参数页的下拉选项里加。" type="list" errorStyle="stop">
      <formula1>"高,中,低"</formula1>
    </dataValidation>
    <dataValidation sqref="K6:K15" showDropDown="0" showInputMessage="0" showErrorMessage="1" allowBlank="1" errorTitle="不在选项里" error="请从下拉里选；要加新选项，先去参数页的下拉选项里加。" type="list" errorStyle="stop">
      <formula1>"没发生,出现苗头,已发生"</formula1>
    </dataValidation>
    <dataValidation sqref="J6:J15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B20:B31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20:C31" showDropDown="0" showInputMessage="0" showErrorMessage="1" allowBlank="1" errorTitle="不在选项里" error="请从下拉里选；要加新选项，先去参数页的下拉选项里加。" type="list" errorStyle="warning">
      <formula1>"季报,中报,年报,业绩预告,股东大会,分红除权,解禁,行业数据,产品发布,其他"</formula1>
    </dataValidation>
    <dataValidation sqref="G20:G31" showDropDown="0" showInputMessage="0" showErrorMessage="1" allowBlank="1" errorTitle="不在选项里" error="请从下拉里选；要加新选项，先去参数页的下拉选项里加。" type="list" errorStyle="stop">
      <formula1>"符合,部分符合,不符合"</formula1>
    </dataValidation>
    <dataValidation sqref="H20:H31" showDropDown="0" showInputMessage="0" showErrorMessage="1" allowBlank="1" errorTitle="不在选项里" error="请从下拉里选；要加新选项，先去参数页的下拉选项里加。" type="list" errorStyle="stop">
      <formula1>"维持,上调,下调,触发卖出"</formula1>
    </dataValidation>
    <dataValidation sqref="B36:B47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36:D47" showDropDown="0" showInputMessage="0" showErrorMessage="1" allowBlank="1" errorTitle="不在选项里" error="请从下拉里选；要加新选项，先去参数页的下拉选项里加。" type="list" errorStyle="stop">
      <formula1>"观察,等价格,买入,加仓,持有,减仓,卖出"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</worksheet>
</file>

<file path=xl/worksheets/sheet7.xml><?xml version="1.0" encoding="utf-8"?>
<worksheet xmlns="http://schemas.openxmlformats.org/spreadsheetml/2006/main">
  <sheetPr>
    <tabColor rgb="007C350E"/>
    <outlinePr summaryBelow="1" summaryRight="1"/>
    <pageSetUpPr fitToPage="1"/>
  </sheetPr>
  <dimension ref="A1:Q2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0" customWidth="1" min="2" max="2"/>
    <col width="7" customWidth="1" min="3" max="3"/>
    <col width="7" customWidth="1" min="4" max="4"/>
    <col width="16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.5" customWidth="1" min="11" max="11"/>
    <col width="8" customWidth="1" min="12" max="12"/>
    <col width="9" customWidth="1" min="13" max="13"/>
    <col width="10.5" customWidth="1" min="14" max="14"/>
    <col width="7" customWidth="1" min="15" max="15"/>
    <col width="7" customWidth="1" min="16" max="16"/>
    <col width="30" customWidth="1" min="17" max="17"/>
  </cols>
  <sheetData>
    <row r="1" ht="30" customHeight="1">
      <c r="A1" s="13" t="inlineStr">
        <is>
          <t>研究池：同时看的几家公司</t>
        </is>
      </c>
      <c r="O1" s="14" t="inlineStr">
        <is>
          <t>TradeLearn · XtradingTime 交易内训</t>
        </is>
      </c>
    </row>
    <row r="2" ht="20" customHeight="1">
      <c r="A2" s="2" t="inlineStr">
        <is>
          <t>一行一家。第一行自动取本文件的公司，其余手填（从各家的备忘录抄）。到买入线的标绿，有证伪苗头的标黄，已证伪的标红，复核过期的标橙。</t>
        </is>
      </c>
    </row>
    <row r="4" ht="24" customHeight="1">
      <c r="B4" s="62" t="inlineStr">
        <is>
          <t>公司数</t>
        </is>
      </c>
      <c r="C4" s="63">
        <f>COUNTIF(B8:B27,"?*")</f>
        <v>0</v>
      </c>
      <c r="D4" s="62" t="inlineStr">
        <is>
          <t>到买入线</t>
        </is>
      </c>
      <c r="F4" s="63">
        <f>COUNTIF(K8:K27,"&lt;=0")</f>
        <v>0</v>
      </c>
      <c r="G4" s="62" t="inlineStr">
        <is>
          <t>有苗头或已证伪</t>
        </is>
      </c>
      <c r="I4" s="63">
        <f>COUNTIF(M8:M27,"出现苗头")+COUNTIF(M8:M27,"已证伪")</f>
        <v>0</v>
      </c>
      <c r="J4" s="62" t="inlineStr">
        <is>
          <t>两周内复核</t>
        </is>
      </c>
      <c r="L4" s="63">
        <f>COUNTIFS(O8:O27,"&gt;=0",O8:O27,"&lt;=14")</f>
        <v>0</v>
      </c>
      <c r="M4" s="62" t="inlineStr">
        <is>
          <t>合计仓位</t>
        </is>
      </c>
      <c r="N4" s="64" t="str">
        <f>IF(COUNT(P8:P27)=0,"",SUM(P8:P27))</f>
        <v/>
      </c>
    </row>
    <row r="6">
      <c r="B6" s="23" t="inlineStr">
        <is>
          <t>第 8 行来自本文件的备忘录和估值页（绿字）；第 9 行起手填。</t>
        </is>
      </c>
      <c r="C6" s="23" t="n"/>
      <c r="D6" s="23" t="n"/>
      <c r="E6" s="23" t="n"/>
      <c r="F6" s="23" t="n"/>
      <c r="G6" s="23" t="n"/>
      <c r="H6" s="23" t="n"/>
      <c r="I6" s="23" t="n"/>
      <c r="J6" s="23" t="n"/>
      <c r="K6" s="23" t="n"/>
      <c r="L6" s="23" t="n"/>
      <c r="M6" s="23" t="n"/>
      <c r="N6" s="23" t="n"/>
      <c r="O6" s="23" t="n"/>
      <c r="P6" s="23" t="n"/>
      <c r="Q6" s="23" t="n"/>
    </row>
    <row r="7" ht="30" customHeight="1">
      <c r="B7" s="26" t="inlineStr">
        <is>
          <t>公司</t>
        </is>
      </c>
      <c r="C7" s="26" t="inlineStr">
        <is>
          <t>代码</t>
        </is>
      </c>
      <c r="D7" s="26" t="inlineStr">
        <is>
          <t>市场</t>
        </is>
      </c>
      <c r="E7" s="26" t="inlineStr">
        <is>
          <t>行业</t>
        </is>
      </c>
      <c r="F7" s="26" t="inlineStr">
        <is>
          <t>当前动作</t>
        </is>
      </c>
      <c r="G7" s="26" t="inlineStr">
        <is>
          <t>现价</t>
        </is>
      </c>
      <c r="H7" s="26" t="inlineStr">
        <is>
          <t>基准价值</t>
        </is>
      </c>
      <c r="I7" s="26" t="inlineStr">
        <is>
          <t>安全边际</t>
        </is>
      </c>
      <c r="J7" s="26" t="inlineStr">
        <is>
          <t>买入价上限</t>
        </is>
      </c>
      <c r="K7" s="26" t="inlineStr">
        <is>
          <t>距买入线</t>
        </is>
      </c>
      <c r="L7" s="26" t="inlineStr">
        <is>
          <t>乐观价值</t>
        </is>
      </c>
      <c r="M7" s="26" t="inlineStr">
        <is>
          <t>证伪状态</t>
        </is>
      </c>
      <c r="N7" s="26" t="inlineStr">
        <is>
          <t>下次复核</t>
        </is>
      </c>
      <c r="O7" s="26" t="inlineStr">
        <is>
          <t>距今天数</t>
        </is>
      </c>
      <c r="P7" s="26" t="inlineStr">
        <is>
          <t>仓位</t>
        </is>
      </c>
      <c r="Q7" s="26" t="inlineStr">
        <is>
          <t>备注</t>
        </is>
      </c>
    </row>
    <row r="8">
      <c r="B8" s="65" t="str">
        <f>IF('备忘录'!C4="","",'备忘录'!C4)</f>
        <v/>
      </c>
      <c r="C8" s="19" t="str">
        <f>IF('备忘录'!F4="","",'备忘录'!F4)</f>
        <v/>
      </c>
      <c r="D8" s="19" t="str">
        <f>IF('备忘录'!H4="","",'备忘录'!H4)</f>
        <v/>
      </c>
      <c r="E8" s="65" t="str">
        <f>IF('备忘录'!C5="","",'备忘录'!C5)</f>
        <v/>
      </c>
      <c r="F8" s="19" t="str">
        <f>IF('备忘录'!E6="","",'备忘录'!E6)</f>
        <v/>
      </c>
      <c r="G8" s="28" t="str">
        <f>IF('估值'!$C$5="","",'估值'!$C$5)</f>
        <v/>
      </c>
      <c r="H8" s="28" t="str">
        <f>IF('估值'!$D$38="","",'估值'!$D$38)</f>
        <v/>
      </c>
      <c r="I8" s="38" t="str">
        <f>IF(AND(ISNUMBER(G8),ISNUMBER(H8),N(H8)&gt;0),(H8-G8)/H8,"")</f>
        <v/>
      </c>
      <c r="J8" s="28" t="str">
        <f>IF('估值'!$C$45="","",'估值'!$C$45)</f>
        <v/>
      </c>
      <c r="K8" s="54" t="str">
        <f>IF(AND(ISNUMBER(G8),N(J8)&gt;0),G8/J8-1,"")</f>
        <v/>
      </c>
      <c r="L8" s="28" t="str">
        <f>IF('估值'!$E$38="","",'估值'!$E$38)</f>
        <v/>
      </c>
      <c r="M8" s="19" t="str">
        <f>IF(COUNTIF('备忘录'!I20:I22,"已证伪")&gt;0,"已证伪",IF(COUNTIF('备忘录'!I20:I22,"出现苗头")&gt;0,"出现苗头",IF(COUNTA('备忘录'!I20:I22)&gt;0,"没有","")))</f>
        <v/>
      </c>
      <c r="N8" s="22" t="str">
        <f>IF(ISNUMBER('备忘录'!G6),'备忘录'!G6,"")</f>
        <v/>
      </c>
      <c r="O8" s="50" t="str">
        <f>IF(ISNUMBER(N8),N8-TODAY(),"")</f>
        <v/>
      </c>
      <c r="P8" s="34" t="n"/>
      <c r="Q8" s="16" t="n"/>
    </row>
    <row r="9">
      <c r="B9" s="16" t="n"/>
      <c r="C9" s="18" t="n"/>
      <c r="D9" s="18" t="n"/>
      <c r="E9" s="16" t="n"/>
      <c r="F9" s="18" t="n"/>
      <c r="G9" s="48" t="n"/>
      <c r="H9" s="48" t="n"/>
      <c r="I9" s="38" t="str">
        <f>IF(AND(ISNUMBER(G9),ISNUMBER(H9),N(H9)&gt;0),(H9-G9)/H9,"")</f>
        <v/>
      </c>
      <c r="J9" s="48" t="n"/>
      <c r="K9" s="54" t="str">
        <f>IF(AND(ISNUMBER(G9),N(J9)&gt;0),G9/J9-1,"")</f>
        <v/>
      </c>
      <c r="L9" s="48" t="n"/>
      <c r="M9" s="18" t="n"/>
      <c r="N9" s="20" t="n"/>
      <c r="O9" s="50" t="str">
        <f>IF(ISNUMBER(N9),N9-TODAY(),"")</f>
        <v/>
      </c>
      <c r="P9" s="34" t="n"/>
      <c r="Q9" s="16" t="n"/>
    </row>
    <row r="10">
      <c r="B10" s="16" t="n"/>
      <c r="C10" s="18" t="n"/>
      <c r="D10" s="18" t="n"/>
      <c r="E10" s="16" t="n"/>
      <c r="F10" s="18" t="n"/>
      <c r="G10" s="48" t="n"/>
      <c r="H10" s="48" t="n"/>
      <c r="I10" s="38" t="str">
        <f>IF(AND(ISNUMBER(G10),ISNUMBER(H10),N(H10)&gt;0),(H10-G10)/H10,"")</f>
        <v/>
      </c>
      <c r="J10" s="48" t="n"/>
      <c r="K10" s="54" t="str">
        <f>IF(AND(ISNUMBER(G10),N(J10)&gt;0),G10/J10-1,"")</f>
        <v/>
      </c>
      <c r="L10" s="48" t="n"/>
      <c r="M10" s="18" t="n"/>
      <c r="N10" s="20" t="n"/>
      <c r="O10" s="50" t="str">
        <f>IF(ISNUMBER(N10),N10-TODAY(),"")</f>
        <v/>
      </c>
      <c r="P10" s="34" t="n"/>
      <c r="Q10" s="16" t="n"/>
    </row>
    <row r="11">
      <c r="B11" s="16" t="n"/>
      <c r="C11" s="18" t="n"/>
      <c r="D11" s="18" t="n"/>
      <c r="E11" s="16" t="n"/>
      <c r="F11" s="18" t="n"/>
      <c r="G11" s="48" t="n"/>
      <c r="H11" s="48" t="n"/>
      <c r="I11" s="38" t="str">
        <f>IF(AND(ISNUMBER(G11),ISNUMBER(H11),N(H11)&gt;0),(H11-G11)/H11,"")</f>
        <v/>
      </c>
      <c r="J11" s="48" t="n"/>
      <c r="K11" s="54" t="str">
        <f>IF(AND(ISNUMBER(G11),N(J11)&gt;0),G11/J11-1,"")</f>
        <v/>
      </c>
      <c r="L11" s="48" t="n"/>
      <c r="M11" s="18" t="n"/>
      <c r="N11" s="20" t="n"/>
      <c r="O11" s="50" t="str">
        <f>IF(ISNUMBER(N11),N11-TODAY(),"")</f>
        <v/>
      </c>
      <c r="P11" s="34" t="n"/>
      <c r="Q11" s="16" t="n"/>
    </row>
    <row r="12">
      <c r="B12" s="16" t="n"/>
      <c r="C12" s="18" t="n"/>
      <c r="D12" s="18" t="n"/>
      <c r="E12" s="16" t="n"/>
      <c r="F12" s="18" t="n"/>
      <c r="G12" s="48" t="n"/>
      <c r="H12" s="48" t="n"/>
      <c r="I12" s="38" t="str">
        <f>IF(AND(ISNUMBER(G12),ISNUMBER(H12),N(H12)&gt;0),(H12-G12)/H12,"")</f>
        <v/>
      </c>
      <c r="J12" s="48" t="n"/>
      <c r="K12" s="54" t="str">
        <f>IF(AND(ISNUMBER(G12),N(J12)&gt;0),G12/J12-1,"")</f>
        <v/>
      </c>
      <c r="L12" s="48" t="n"/>
      <c r="M12" s="18" t="n"/>
      <c r="N12" s="20" t="n"/>
      <c r="O12" s="50" t="str">
        <f>IF(ISNUMBER(N12),N12-TODAY(),"")</f>
        <v/>
      </c>
      <c r="P12" s="34" t="n"/>
      <c r="Q12" s="16" t="n"/>
    </row>
    <row r="13">
      <c r="B13" s="16" t="n"/>
      <c r="C13" s="18" t="n"/>
      <c r="D13" s="18" t="n"/>
      <c r="E13" s="16" t="n"/>
      <c r="F13" s="18" t="n"/>
      <c r="G13" s="48" t="n"/>
      <c r="H13" s="48" t="n"/>
      <c r="I13" s="38" t="str">
        <f>IF(AND(ISNUMBER(G13),ISNUMBER(H13),N(H13)&gt;0),(H13-G13)/H13,"")</f>
        <v/>
      </c>
      <c r="J13" s="48" t="n"/>
      <c r="K13" s="54" t="str">
        <f>IF(AND(ISNUMBER(G13),N(J13)&gt;0),G13/J13-1,"")</f>
        <v/>
      </c>
      <c r="L13" s="48" t="n"/>
      <c r="M13" s="18" t="n"/>
      <c r="N13" s="20" t="n"/>
      <c r="O13" s="50" t="str">
        <f>IF(ISNUMBER(N13),N13-TODAY(),"")</f>
        <v/>
      </c>
      <c r="P13" s="34" t="n"/>
      <c r="Q13" s="16" t="n"/>
    </row>
    <row r="14">
      <c r="B14" s="16" t="n"/>
      <c r="C14" s="18" t="n"/>
      <c r="D14" s="18" t="n"/>
      <c r="E14" s="16" t="n"/>
      <c r="F14" s="18" t="n"/>
      <c r="G14" s="48" t="n"/>
      <c r="H14" s="48" t="n"/>
      <c r="I14" s="38" t="str">
        <f>IF(AND(ISNUMBER(G14),ISNUMBER(H14),N(H14)&gt;0),(H14-G14)/H14,"")</f>
        <v/>
      </c>
      <c r="J14" s="48" t="n"/>
      <c r="K14" s="54" t="str">
        <f>IF(AND(ISNUMBER(G14),N(J14)&gt;0),G14/J14-1,"")</f>
        <v/>
      </c>
      <c r="L14" s="48" t="n"/>
      <c r="M14" s="18" t="n"/>
      <c r="N14" s="20" t="n"/>
      <c r="O14" s="50" t="str">
        <f>IF(ISNUMBER(N14),N14-TODAY(),"")</f>
        <v/>
      </c>
      <c r="P14" s="34" t="n"/>
      <c r="Q14" s="16" t="n"/>
    </row>
    <row r="15">
      <c r="B15" s="16" t="n"/>
      <c r="C15" s="18" t="n"/>
      <c r="D15" s="18" t="n"/>
      <c r="E15" s="16" t="n"/>
      <c r="F15" s="18" t="n"/>
      <c r="G15" s="48" t="n"/>
      <c r="H15" s="48" t="n"/>
      <c r="I15" s="38" t="str">
        <f>IF(AND(ISNUMBER(G15),ISNUMBER(H15),N(H15)&gt;0),(H15-G15)/H15,"")</f>
        <v/>
      </c>
      <c r="J15" s="48" t="n"/>
      <c r="K15" s="54" t="str">
        <f>IF(AND(ISNUMBER(G15),N(J15)&gt;0),G15/J15-1,"")</f>
        <v/>
      </c>
      <c r="L15" s="48" t="n"/>
      <c r="M15" s="18" t="n"/>
      <c r="N15" s="20" t="n"/>
      <c r="O15" s="50" t="str">
        <f>IF(ISNUMBER(N15),N15-TODAY(),"")</f>
        <v/>
      </c>
      <c r="P15" s="34" t="n"/>
      <c r="Q15" s="16" t="n"/>
    </row>
    <row r="16">
      <c r="B16" s="16" t="n"/>
      <c r="C16" s="18" t="n"/>
      <c r="D16" s="18" t="n"/>
      <c r="E16" s="16" t="n"/>
      <c r="F16" s="18" t="n"/>
      <c r="G16" s="48" t="n"/>
      <c r="H16" s="48" t="n"/>
      <c r="I16" s="38" t="str">
        <f>IF(AND(ISNUMBER(G16),ISNUMBER(H16),N(H16)&gt;0),(H16-G16)/H16,"")</f>
        <v/>
      </c>
      <c r="J16" s="48" t="n"/>
      <c r="K16" s="54" t="str">
        <f>IF(AND(ISNUMBER(G16),N(J16)&gt;0),G16/J16-1,"")</f>
        <v/>
      </c>
      <c r="L16" s="48" t="n"/>
      <c r="M16" s="18" t="n"/>
      <c r="N16" s="20" t="n"/>
      <c r="O16" s="50" t="str">
        <f>IF(ISNUMBER(N16),N16-TODAY(),"")</f>
        <v/>
      </c>
      <c r="P16" s="34" t="n"/>
      <c r="Q16" s="16" t="n"/>
    </row>
    <row r="17">
      <c r="B17" s="16" t="n"/>
      <c r="C17" s="18" t="n"/>
      <c r="D17" s="18" t="n"/>
      <c r="E17" s="16" t="n"/>
      <c r="F17" s="18" t="n"/>
      <c r="G17" s="48" t="n"/>
      <c r="H17" s="48" t="n"/>
      <c r="I17" s="38" t="str">
        <f>IF(AND(ISNUMBER(G17),ISNUMBER(H17),N(H17)&gt;0),(H17-G17)/H17,"")</f>
        <v/>
      </c>
      <c r="J17" s="48" t="n"/>
      <c r="K17" s="54" t="str">
        <f>IF(AND(ISNUMBER(G17),N(J17)&gt;0),G17/J17-1,"")</f>
        <v/>
      </c>
      <c r="L17" s="48" t="n"/>
      <c r="M17" s="18" t="n"/>
      <c r="N17" s="20" t="n"/>
      <c r="O17" s="50" t="str">
        <f>IF(ISNUMBER(N17),N17-TODAY(),"")</f>
        <v/>
      </c>
      <c r="P17" s="34" t="n"/>
      <c r="Q17" s="16" t="n"/>
    </row>
    <row r="18">
      <c r="B18" s="16" t="n"/>
      <c r="C18" s="18" t="n"/>
      <c r="D18" s="18" t="n"/>
      <c r="E18" s="16" t="n"/>
      <c r="F18" s="18" t="n"/>
      <c r="G18" s="48" t="n"/>
      <c r="H18" s="48" t="n"/>
      <c r="I18" s="38" t="str">
        <f>IF(AND(ISNUMBER(G18),ISNUMBER(H18),N(H18)&gt;0),(H18-G18)/H18,"")</f>
        <v/>
      </c>
      <c r="J18" s="48" t="n"/>
      <c r="K18" s="54" t="str">
        <f>IF(AND(ISNUMBER(G18),N(J18)&gt;0),G18/J18-1,"")</f>
        <v/>
      </c>
      <c r="L18" s="48" t="n"/>
      <c r="M18" s="18" t="n"/>
      <c r="N18" s="20" t="n"/>
      <c r="O18" s="50" t="str">
        <f>IF(ISNUMBER(N18),N18-TODAY(),"")</f>
        <v/>
      </c>
      <c r="P18" s="34" t="n"/>
      <c r="Q18" s="16" t="n"/>
    </row>
    <row r="19">
      <c r="B19" s="16" t="n"/>
      <c r="C19" s="18" t="n"/>
      <c r="D19" s="18" t="n"/>
      <c r="E19" s="16" t="n"/>
      <c r="F19" s="18" t="n"/>
      <c r="G19" s="48" t="n"/>
      <c r="H19" s="48" t="n"/>
      <c r="I19" s="38" t="str">
        <f>IF(AND(ISNUMBER(G19),ISNUMBER(H19),N(H19)&gt;0),(H19-G19)/H19,"")</f>
        <v/>
      </c>
      <c r="J19" s="48" t="n"/>
      <c r="K19" s="54" t="str">
        <f>IF(AND(ISNUMBER(G19),N(J19)&gt;0),G19/J19-1,"")</f>
        <v/>
      </c>
      <c r="L19" s="48" t="n"/>
      <c r="M19" s="18" t="n"/>
      <c r="N19" s="20" t="n"/>
      <c r="O19" s="50" t="str">
        <f>IF(ISNUMBER(N19),N19-TODAY(),"")</f>
        <v/>
      </c>
      <c r="P19" s="34" t="n"/>
      <c r="Q19" s="16" t="n"/>
    </row>
    <row r="20">
      <c r="B20" s="16" t="n"/>
      <c r="C20" s="18" t="n"/>
      <c r="D20" s="18" t="n"/>
      <c r="E20" s="16" t="n"/>
      <c r="F20" s="18" t="n"/>
      <c r="G20" s="48" t="n"/>
      <c r="H20" s="48" t="n"/>
      <c r="I20" s="38" t="str">
        <f>IF(AND(ISNUMBER(G20),ISNUMBER(H20),N(H20)&gt;0),(H20-G20)/H20,"")</f>
        <v/>
      </c>
      <c r="J20" s="48" t="n"/>
      <c r="K20" s="54" t="str">
        <f>IF(AND(ISNUMBER(G20),N(J20)&gt;0),G20/J20-1,"")</f>
        <v/>
      </c>
      <c r="L20" s="48" t="n"/>
      <c r="M20" s="18" t="n"/>
      <c r="N20" s="20" t="n"/>
      <c r="O20" s="50" t="str">
        <f>IF(ISNUMBER(N20),N20-TODAY(),"")</f>
        <v/>
      </c>
      <c r="P20" s="34" t="n"/>
      <c r="Q20" s="16" t="n"/>
    </row>
    <row r="21">
      <c r="B21" s="16" t="n"/>
      <c r="C21" s="18" t="n"/>
      <c r="D21" s="18" t="n"/>
      <c r="E21" s="16" t="n"/>
      <c r="F21" s="18" t="n"/>
      <c r="G21" s="48" t="n"/>
      <c r="H21" s="48" t="n"/>
      <c r="I21" s="38" t="str">
        <f>IF(AND(ISNUMBER(G21),ISNUMBER(H21),N(H21)&gt;0),(H21-G21)/H21,"")</f>
        <v/>
      </c>
      <c r="J21" s="48" t="n"/>
      <c r="K21" s="54" t="str">
        <f>IF(AND(ISNUMBER(G21),N(J21)&gt;0),G21/J21-1,"")</f>
        <v/>
      </c>
      <c r="L21" s="48" t="n"/>
      <c r="M21" s="18" t="n"/>
      <c r="N21" s="20" t="n"/>
      <c r="O21" s="50" t="str">
        <f>IF(ISNUMBER(N21),N21-TODAY(),"")</f>
        <v/>
      </c>
      <c r="P21" s="34" t="n"/>
      <c r="Q21" s="16" t="n"/>
    </row>
    <row r="22">
      <c r="B22" s="16" t="n"/>
      <c r="C22" s="18" t="n"/>
      <c r="D22" s="18" t="n"/>
      <c r="E22" s="16" t="n"/>
      <c r="F22" s="18" t="n"/>
      <c r="G22" s="48" t="n"/>
      <c r="H22" s="48" t="n"/>
      <c r="I22" s="38" t="str">
        <f>IF(AND(ISNUMBER(G22),ISNUMBER(H22),N(H22)&gt;0),(H22-G22)/H22,"")</f>
        <v/>
      </c>
      <c r="J22" s="48" t="n"/>
      <c r="K22" s="54" t="str">
        <f>IF(AND(ISNUMBER(G22),N(J22)&gt;0),G22/J22-1,"")</f>
        <v/>
      </c>
      <c r="L22" s="48" t="n"/>
      <c r="M22" s="18" t="n"/>
      <c r="N22" s="20" t="n"/>
      <c r="O22" s="50" t="str">
        <f>IF(ISNUMBER(N22),N22-TODAY(),"")</f>
        <v/>
      </c>
      <c r="P22" s="34" t="n"/>
      <c r="Q22" s="16" t="n"/>
    </row>
    <row r="23">
      <c r="B23" s="16" t="n"/>
      <c r="C23" s="18" t="n"/>
      <c r="D23" s="18" t="n"/>
      <c r="E23" s="16" t="n"/>
      <c r="F23" s="18" t="n"/>
      <c r="G23" s="48" t="n"/>
      <c r="H23" s="48" t="n"/>
      <c r="I23" s="38" t="str">
        <f>IF(AND(ISNUMBER(G23),ISNUMBER(H23),N(H23)&gt;0),(H23-G23)/H23,"")</f>
        <v/>
      </c>
      <c r="J23" s="48" t="n"/>
      <c r="K23" s="54" t="str">
        <f>IF(AND(ISNUMBER(G23),N(J23)&gt;0),G23/J23-1,"")</f>
        <v/>
      </c>
      <c r="L23" s="48" t="n"/>
      <c r="M23" s="18" t="n"/>
      <c r="N23" s="20" t="n"/>
      <c r="O23" s="50" t="str">
        <f>IF(ISNUMBER(N23),N23-TODAY(),"")</f>
        <v/>
      </c>
      <c r="P23" s="34" t="n"/>
      <c r="Q23" s="16" t="n"/>
    </row>
    <row r="24">
      <c r="B24" s="16" t="n"/>
      <c r="C24" s="18" t="n"/>
      <c r="D24" s="18" t="n"/>
      <c r="E24" s="16" t="n"/>
      <c r="F24" s="18" t="n"/>
      <c r="G24" s="48" t="n"/>
      <c r="H24" s="48" t="n"/>
      <c r="I24" s="38" t="str">
        <f>IF(AND(ISNUMBER(G24),ISNUMBER(H24),N(H24)&gt;0),(H24-G24)/H24,"")</f>
        <v/>
      </c>
      <c r="J24" s="48" t="n"/>
      <c r="K24" s="54" t="str">
        <f>IF(AND(ISNUMBER(G24),N(J24)&gt;0),G24/J24-1,"")</f>
        <v/>
      </c>
      <c r="L24" s="48" t="n"/>
      <c r="M24" s="18" t="n"/>
      <c r="N24" s="20" t="n"/>
      <c r="O24" s="50" t="str">
        <f>IF(ISNUMBER(N24),N24-TODAY(),"")</f>
        <v/>
      </c>
      <c r="P24" s="34" t="n"/>
      <c r="Q24" s="16" t="n"/>
    </row>
    <row r="25">
      <c r="B25" s="16" t="n"/>
      <c r="C25" s="18" t="n"/>
      <c r="D25" s="18" t="n"/>
      <c r="E25" s="16" t="n"/>
      <c r="F25" s="18" t="n"/>
      <c r="G25" s="48" t="n"/>
      <c r="H25" s="48" t="n"/>
      <c r="I25" s="38" t="str">
        <f>IF(AND(ISNUMBER(G25),ISNUMBER(H25),N(H25)&gt;0),(H25-G25)/H25,"")</f>
        <v/>
      </c>
      <c r="J25" s="48" t="n"/>
      <c r="K25" s="54" t="str">
        <f>IF(AND(ISNUMBER(G25),N(J25)&gt;0),G25/J25-1,"")</f>
        <v/>
      </c>
      <c r="L25" s="48" t="n"/>
      <c r="M25" s="18" t="n"/>
      <c r="N25" s="20" t="n"/>
      <c r="O25" s="50" t="str">
        <f>IF(ISNUMBER(N25),N25-TODAY(),"")</f>
        <v/>
      </c>
      <c r="P25" s="34" t="n"/>
      <c r="Q25" s="16" t="n"/>
    </row>
    <row r="26">
      <c r="B26" s="16" t="n"/>
      <c r="C26" s="18" t="n"/>
      <c r="D26" s="18" t="n"/>
      <c r="E26" s="16" t="n"/>
      <c r="F26" s="18" t="n"/>
      <c r="G26" s="48" t="n"/>
      <c r="H26" s="48" t="n"/>
      <c r="I26" s="38" t="str">
        <f>IF(AND(ISNUMBER(G26),ISNUMBER(H26),N(H26)&gt;0),(H26-G26)/H26,"")</f>
        <v/>
      </c>
      <c r="J26" s="48" t="n"/>
      <c r="K26" s="54" t="str">
        <f>IF(AND(ISNUMBER(G26),N(J26)&gt;0),G26/J26-1,"")</f>
        <v/>
      </c>
      <c r="L26" s="48" t="n"/>
      <c r="M26" s="18" t="n"/>
      <c r="N26" s="20" t="n"/>
      <c r="O26" s="50" t="str">
        <f>IF(ISNUMBER(N26),N26-TODAY(),"")</f>
        <v/>
      </c>
      <c r="P26" s="34" t="n"/>
      <c r="Q26" s="16" t="n"/>
    </row>
    <row r="27">
      <c r="B27" s="16" t="n"/>
      <c r="C27" s="18" t="n"/>
      <c r="D27" s="18" t="n"/>
      <c r="E27" s="16" t="n"/>
      <c r="F27" s="18" t="n"/>
      <c r="G27" s="48" t="n"/>
      <c r="H27" s="48" t="n"/>
      <c r="I27" s="38" t="str">
        <f>IF(AND(ISNUMBER(G27),ISNUMBER(H27),N(H27)&gt;0),(H27-G27)/H27,"")</f>
        <v/>
      </c>
      <c r="J27" s="48" t="n"/>
      <c r="K27" s="54" t="str">
        <f>IF(AND(ISNUMBER(G27),N(J27)&gt;0),G27/J27-1,"")</f>
        <v/>
      </c>
      <c r="L27" s="48" t="n"/>
      <c r="M27" s="18" t="n"/>
      <c r="N27" s="20" t="n"/>
      <c r="O27" s="50" t="str">
        <f>IF(ISNUMBER(N27),N27-TODAY(),"")</f>
        <v/>
      </c>
      <c r="P27" s="34" t="n"/>
      <c r="Q27" s="16" t="n"/>
    </row>
  </sheetData>
  <mergeCells count="7">
    <mergeCell ref="G4:H4"/>
    <mergeCell ref="J4:K4"/>
    <mergeCell ref="O1:Q1"/>
    <mergeCell ref="A2:Q2"/>
    <mergeCell ref="D4:E4"/>
    <mergeCell ref="B6:Q6"/>
    <mergeCell ref="A1:N1"/>
  </mergeCells>
  <conditionalFormatting sqref="K8:K27">
    <cfRule type="cellIs" priority="1" operator="lessThanOrEqual" dxfId="0">
      <formula>0</formula>
    </cfRule>
  </conditionalFormatting>
  <conditionalFormatting sqref="M8:M27">
    <cfRule type="cellIs" priority="2" operator="equal" dxfId="8">
      <formula>"出现苗头"</formula>
    </cfRule>
    <cfRule type="cellIs" priority="3" operator="equal" dxfId="1">
      <formula>"已证伪"</formula>
    </cfRule>
  </conditionalFormatting>
  <conditionalFormatting sqref="O8:O27">
    <cfRule type="cellIs" priority="4" operator="lessThan" dxfId="9">
      <formula>0</formula>
    </cfRule>
    <cfRule type="cellIs" priority="5" operator="between" dxfId="5">
      <formula>0</formula>
      <formula>14</formula>
    </cfRule>
  </conditionalFormatting>
  <dataValidations count="4">
    <dataValidation sqref="D9:D27" showDropDown="0" showInputMessage="0" showErrorMessage="1" allowBlank="1" errorTitle="不在选项里" error="请从下拉里选；要加新选项，先去参数页的下拉选项里加。" type="list" errorStyle="warning">
      <formula1>"A股,港股,美股,其他"</formula1>
    </dataValidation>
    <dataValidation sqref="F9:F27" showDropDown="0" showInputMessage="0" showErrorMessage="1" allowBlank="1" errorTitle="不在选项里" error="请从下拉里选；要加新选项，先去参数页的下拉选项里加。" type="list" errorStyle="stop">
      <formula1>"观察,等价格,买入,持有,减仓,卖出"</formula1>
    </dataValidation>
    <dataValidation sqref="M9:M27" showDropDown="0" showInputMessage="0" showErrorMessage="1" allowBlank="1" errorTitle="不在选项里" error="请从下拉里选；要加新选项，先去参数页的下拉选项里加。" type="list" errorStyle="stop">
      <formula1>"没有,出现苗头,已证伪"</formula1>
    </dataValidation>
    <dataValidation sqref="N9:N27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</worksheet>
</file>

<file path=xl/worksheets/sheet8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I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7" customWidth="1" min="9" max="9"/>
  </cols>
  <sheetData>
    <row r="1" ht="30" customHeight="1">
      <c r="A1" s="13" t="inlineStr">
        <is>
          <t>示例 · 一页投资备忘录</t>
        </is>
      </c>
      <c r="G1" s="14" t="inlineStr">
        <is>
          <t>TradeLearn · XtradingTime 交易内训</t>
        </is>
      </c>
    </row>
    <row r="2" ht="20" customHeight="1">
      <c r="A2" s="66" t="inlineStr">
        <is>
          <t>虚构示例，仅演示填法：示例公司甲不存在，结论、理由和数字都只演示写法。</t>
        </is>
      </c>
    </row>
    <row r="4">
      <c r="B4" s="15" t="inlineStr">
        <is>
          <t>公司</t>
        </is>
      </c>
      <c r="C4" s="16" t="inlineStr">
        <is>
          <t>示例公司甲（虚构）</t>
        </is>
      </c>
      <c r="D4" s="16" t="n"/>
      <c r="E4" s="17" t="inlineStr">
        <is>
          <t>代码</t>
        </is>
      </c>
      <c r="F4" s="18" t="inlineStr">
        <is>
          <t>示例</t>
        </is>
      </c>
      <c r="G4" s="17" t="inlineStr">
        <is>
          <t>市场</t>
        </is>
      </c>
      <c r="H4" s="18" t="inlineStr">
        <is>
          <t>A股</t>
        </is>
      </c>
      <c r="I4" s="18" t="n"/>
    </row>
    <row r="5">
      <c r="B5" s="15" t="inlineStr">
        <is>
          <t>行业</t>
        </is>
      </c>
      <c r="C5" s="16" t="inlineStr">
        <is>
          <t>商用净水设备与滤芯</t>
        </is>
      </c>
      <c r="D5" s="16" t="n"/>
      <c r="E5" s="17" t="inlineStr">
        <is>
          <t>货币与单位</t>
        </is>
      </c>
      <c r="F5" s="19" t="str">
        <f>IF('例-财务'!C3="","",'例-财务'!C3)</f>
        <v>人民币 亿元</v>
      </c>
      <c r="G5" s="17" t="inlineStr">
        <is>
          <t>研究日期</t>
        </is>
      </c>
      <c r="H5" s="20">
        <f>TODAY()-3</f>
        <v>46305.0</v>
      </c>
      <c r="I5" s="20" t="n"/>
    </row>
    <row r="6">
      <c r="B6" s="15" t="inlineStr">
        <is>
          <t>版本</t>
        </is>
      </c>
      <c r="C6" s="18" t="inlineStr">
        <is>
          <t>v3</t>
        </is>
      </c>
      <c r="D6" s="17" t="inlineStr">
        <is>
          <t>当前动作</t>
        </is>
      </c>
      <c r="E6" s="21" t="inlineStr">
        <is>
          <t>等价格</t>
        </is>
      </c>
      <c r="F6" s="17" t="inlineStr">
        <is>
          <t>下次复核</t>
        </is>
      </c>
      <c r="G6" s="22">
        <f>IF(COUNT('例-风险与跟踪'!$O$20:$O$31)=0,"",MIN('例-风险与跟踪'!$O$20:$O$31))</f>
        <v>46323.0</v>
      </c>
      <c r="H6" s="23" t="inlineStr">
        <is>
          <t>按跟踪日历里最近的一件事</t>
        </is>
      </c>
      <c r="I6" s="23" t="n"/>
    </row>
    <row r="8" ht="48" customHeight="1">
      <c r="B8" s="15" t="inlineStr">
        <is>
          <t>一句话结论</t>
        </is>
      </c>
      <c r="C8" s="24" t="inlineStr">
        <is>
          <t>生意好懂，滤芯复购撑起一半以上的毛利，财务干净；但现价大约押了 8%～9% 的增长，和基准情景差不多，没有安全边际。等价格到买入价上限（现在约 12.3 元）以下再分批买。</t>
        </is>
      </c>
      <c r="D8" s="24" t="n"/>
      <c r="E8" s="24" t="n"/>
      <c r="F8" s="24" t="n"/>
      <c r="G8" s="24" t="n"/>
      <c r="H8" s="24" t="n"/>
      <c r="I8" s="24" t="n"/>
    </row>
    <row r="10">
      <c r="B10" s="25" t="inlineStr">
        <is>
          <t>估值与价格（从估值页自动取）</t>
        </is>
      </c>
    </row>
    <row r="11">
      <c r="B11" s="26" t="inlineStr">
        <is>
          <t>现价</t>
        </is>
      </c>
      <c r="C11" s="26" t="inlineStr">
        <is>
          <t>悲观价值</t>
        </is>
      </c>
      <c r="D11" s="26" t="inlineStr">
        <is>
          <t>基准价值</t>
        </is>
      </c>
      <c r="E11" s="26" t="inlineStr">
        <is>
          <t>乐观价值</t>
        </is>
      </c>
      <c r="F11" s="26" t="inlineStr">
        <is>
          <t>安全边际</t>
        </is>
      </c>
      <c r="G11" s="26" t="inlineStr">
        <is>
          <t>买入价上限</t>
        </is>
      </c>
      <c r="H11" s="26" t="inlineStr">
        <is>
          <t>押的增长</t>
        </is>
      </c>
      <c r="I11" s="26" t="inlineStr">
        <is>
          <t>位置</t>
        </is>
      </c>
    </row>
    <row r="12" ht="22" customHeight="1">
      <c r="B12" s="27">
        <f>IF('例-估值'!$C$5="","",'例-估值'!$C$5)</f>
        <v>17.2</v>
      </c>
      <c r="C12" s="28">
        <f>IF('例-估值'!C38="","",'例-估值'!C38)</f>
        <v>11.2563923383669</v>
      </c>
      <c r="D12" s="27">
        <f>IF('例-估值'!D38="","",'例-估值'!D38)</f>
        <v>17.6293747624531</v>
      </c>
      <c r="E12" s="28">
        <f>IF('例-估值'!E38="","",'例-估值'!E38)</f>
        <v>24.8968360337189</v>
      </c>
      <c r="F12" s="29">
        <f>IF('例-估值'!$C$46="","",'例-估值'!$C$46)</f>
        <v>0.0243556432510348</v>
      </c>
      <c r="G12" s="27">
        <f>IF('例-估值'!$C$45="","",'例-估值'!$C$45)</f>
        <v>12.3405623337172</v>
      </c>
      <c r="H12" s="19" t="str">
        <f>IF('例-估值'!$C$48="","",'例-估值'!$C$48)</f>
        <v>8%～9%</v>
      </c>
      <c r="I12" s="30" t="str">
        <f>IF(OR(NOT(ISNUMBER(B12)),NOT(ISNUMBER(G12))),"",IF(B12&lt;=G12,"到买入线",IF(B12&lt;=D12,"低于基准，边际不够",IF(B12&lt;=E12,"高于基准价值","高于乐观价值"))))</f>
        <v>低于基准，边际不够</v>
      </c>
    </row>
    <row r="14">
      <c r="B14" s="25" t="inlineStr">
        <is>
          <t>关键数字（财务页最近一年）</t>
        </is>
      </c>
    </row>
    <row r="15">
      <c r="B15" s="26" t="inlineStr">
        <is>
          <t>年份</t>
        </is>
      </c>
      <c r="C15" s="26" t="inlineStr">
        <is>
          <t>收入增速</t>
        </is>
      </c>
      <c r="D15" s="26" t="inlineStr">
        <is>
          <t>毛利率</t>
        </is>
      </c>
      <c r="E15" s="26" t="inlineStr">
        <is>
          <t>ROE</t>
        </is>
      </c>
      <c r="F15" s="26" t="inlineStr">
        <is>
          <t>收现比</t>
        </is>
      </c>
      <c r="G15" s="26" t="inlineStr">
        <is>
          <t>有息负债率</t>
        </is>
      </c>
      <c r="H15" s="26" t="inlineStr">
        <is>
          <t>自由现金流</t>
        </is>
      </c>
      <c r="I15" s="26" t="inlineStr">
        <is>
          <t>财报红旗</t>
        </is>
      </c>
    </row>
    <row r="16">
      <c r="B16" s="19" t="str">
        <f>IF(COUNT('例-财务'!$C$6:$G$6)=0,"",INDEX('例-财务'!$C$4:$G$4,COUNT('例-财务'!$C$6:$G$6)))</f>
        <v>2025</v>
      </c>
      <c r="C16" s="29">
        <f>IF(COUNT('例-财务'!$C$6:$G$6)=0,"",INDEX('例-财务'!$C$33:$G$33,COUNT('例-财务'!$C$6:$G$6)))</f>
        <v>0.110367892976589</v>
      </c>
      <c r="D16" s="29">
        <f>IF(COUNT('例-财务'!$C$6:$G$6)=0,"",INDEX('例-财务'!$C$34:$G$34,COUNT('例-财务'!$C$6:$G$6)))</f>
        <v>0.439759036144578</v>
      </c>
      <c r="E16" s="29">
        <f>IF(COUNT('例-财务'!$C$6:$G$6)=0,"",INDEX('例-财务'!$C$39:$G$39,COUNT('例-财务'!$C$6:$G$6)))</f>
        <v>0.182795698924731</v>
      </c>
      <c r="F16" s="28">
        <f>IF(COUNT('例-财务'!$C$6:$G$6)=0,"",INDEX('例-财务'!$C$43:$G$43,COUNT('例-财务'!$C$6:$G$6)))</f>
        <v>0.96078431372549</v>
      </c>
      <c r="G16" s="29">
        <f>IF(COUNT('例-财务'!$C$6:$G$6)=0,"",INDEX('例-财务'!$C$41:$G$41,COUNT('例-财务'!$C$6:$G$6)))</f>
        <v>0.0333333333333333</v>
      </c>
      <c r="H16" s="31">
        <f>IF(COUNT('例-财务'!$C$6:$G$6)=0,"",INDEX('例-财务'!$C$44:$G$44,COUNT('例-财务'!$C$6:$G$6)))</f>
        <v>3.5</v>
      </c>
      <c r="I16" s="19" t="str">
        <f>IF(COUNT('例-财务'!$C$6:$G$6)=0,"",'例-财务'!$E$67&amp;" 条")</f>
        <v>1 条</v>
      </c>
    </row>
    <row r="18">
      <c r="B18" s="25" t="inlineStr">
        <is>
          <t>买入理由与证伪条件（三条以内）</t>
        </is>
      </c>
    </row>
    <row r="19">
      <c r="B19" s="26" t="inlineStr">
        <is>
          <t>#</t>
        </is>
      </c>
      <c r="C19" s="26" t="inlineStr">
        <is>
          <t>理由</t>
        </is>
      </c>
      <c r="D19" s="26" t="n"/>
      <c r="E19" s="26" t="inlineStr">
        <is>
          <t>证据（数字、出处）</t>
        </is>
      </c>
      <c r="F19" s="26" t="n"/>
      <c r="G19" s="26" t="inlineStr">
        <is>
          <t>证伪条件（出现就说明我错了）</t>
        </is>
      </c>
      <c r="H19" s="26" t="n"/>
      <c r="I19" s="26" t="inlineStr">
        <is>
          <t>状态</t>
        </is>
      </c>
    </row>
    <row r="20" ht="46" customHeight="1">
      <c r="B20" s="17" t="n">
        <v>1</v>
      </c>
      <c r="C20" s="32" t="inlineStr">
        <is>
          <t>滤芯复购让收入越来越稳</t>
        </is>
      </c>
      <c r="D20" s="32" t="n"/>
      <c r="E20" s="32" t="inlineStr">
        <is>
          <t>滤芯收入占比从 2021 年约 31% 升到 2025 年 39.5%，复购率 85%（年报经营讨论）</t>
        </is>
      </c>
      <c r="F20" s="32" t="n"/>
      <c r="G20" s="32" t="inlineStr">
        <is>
          <t>滤芯收入增速连续两个季度低于设备收入增速</t>
        </is>
      </c>
      <c r="H20" s="32" t="n"/>
      <c r="I20" s="18" t="inlineStr">
        <is>
          <t>没有</t>
        </is>
      </c>
    </row>
    <row r="21" ht="46" customHeight="1">
      <c r="B21" s="17" t="n">
        <v>2</v>
      </c>
      <c r="C21" s="32" t="inlineStr">
        <is>
          <t>利润收得回现金</t>
        </is>
      </c>
      <c r="D21" s="32" t="n"/>
      <c r="E21" s="32" t="inlineStr">
        <is>
          <t>五年收现比都在 0.96 以上；自由现金流从 1.9 亿涨到 3.5 亿</t>
        </is>
      </c>
      <c r="F21" s="32" t="n"/>
      <c r="G21" s="32" t="inlineStr">
        <is>
          <t>收现比连续两年低于 0.9，或应收周转天数超过 70 天</t>
        </is>
      </c>
      <c r="H21" s="32" t="n"/>
      <c r="I21" s="18" t="inlineStr">
        <is>
          <t>出现苗头</t>
        </is>
      </c>
    </row>
    <row r="22" ht="46" customHeight="1">
      <c r="B22" s="17" t="n">
        <v>3</v>
      </c>
      <c r="C22" s="32" t="inlineStr">
        <is>
          <t>服务网点是同行短期追不上的</t>
        </is>
      </c>
      <c r="D22" s="32" t="n"/>
      <c r="E22" s="32" t="inlineStr">
        <is>
          <t>1,800 个网点，第二名约 900 个；维保收入五年翻倍</t>
        </is>
      </c>
      <c r="F22" s="32" t="n"/>
      <c r="G22" s="32" t="inlineStr">
        <is>
          <t>同行一年内把网点铺到 1,500 个以上，或维保毛利率跌破 35%</t>
        </is>
      </c>
      <c r="H22" s="32" t="n"/>
      <c r="I22" s="18" t="inlineStr">
        <is>
          <t>没有</t>
        </is>
      </c>
    </row>
    <row r="24">
      <c r="B24" s="25" t="inlineStr">
        <is>
          <t>买卖纪律（先写好，到时照做）</t>
        </is>
      </c>
    </row>
    <row r="25" ht="30" customHeight="1">
      <c r="B25" s="15" t="inlineStr">
        <is>
          <t>买入条件</t>
        </is>
      </c>
      <c r="C25" s="32" t="inlineStr">
        <is>
          <t>价格不高于买入价上限，而且三条证伪条件都没出现</t>
        </is>
      </c>
      <c r="D25" s="32" t="n"/>
      <c r="E25" s="32" t="n"/>
      <c r="F25" s="32" t="n"/>
      <c r="G25" s="32" t="n"/>
      <c r="H25" s="32" t="n"/>
      <c r="I25" s="32" t="n"/>
    </row>
    <row r="26">
      <c r="B26" s="15" t="inlineStr">
        <is>
          <t>现在满足吗</t>
        </is>
      </c>
      <c r="C26" s="33" t="str">
        <f>IF(OR(NOT(ISNUMBER(B12)),NOT(ISNUMBER(G12))),"",IF(COUNTIF(I20:I22,"已证伪")&gt;0,"不满足：有理由已经证伪，先按卖出条件处理",IF(B12&lt;=G12,"满足：价格到了买入线，证伪条件都没出现，按分批计划执行","不满足：价格还没到买入线，继续等")))</f>
        <v>不满足：价格还没到买入线，继续等</v>
      </c>
      <c r="D26" s="33" t="n"/>
      <c r="E26" s="33" t="n"/>
      <c r="F26" s="33" t="n"/>
      <c r="G26" s="33" t="n"/>
      <c r="H26" s="33" t="n"/>
      <c r="I26" s="33" t="n"/>
    </row>
    <row r="27" ht="30" customHeight="1">
      <c r="B27" s="15" t="inlineStr">
        <is>
          <t>分批计划</t>
        </is>
      </c>
      <c r="C27" s="32" t="inlineStr">
        <is>
          <t>分三次买，每次三分之一：到价买第一笔；下一份季报确认理由 2 后买第二笔；年报确认后买第三笔</t>
        </is>
      </c>
      <c r="D27" s="32" t="n"/>
      <c r="E27" s="32" t="n"/>
      <c r="F27" s="32" t="n"/>
      <c r="G27" s="32" t="n"/>
      <c r="H27" s="32" t="n"/>
      <c r="I27" s="32" t="n"/>
    </row>
    <row r="28">
      <c r="B28" s="15" t="inlineStr">
        <is>
          <t>单只仓位上限</t>
        </is>
      </c>
      <c r="C28" s="34" t="n">
        <v>0.15</v>
      </c>
      <c r="D28" s="23" t="inlineStr">
        <is>
          <t>按买入成本占总资金算；到上限不再加，涨多了超过上限按卖出条件处理。</t>
        </is>
      </c>
      <c r="E28" s="23" t="n"/>
      <c r="F28" s="23" t="n"/>
      <c r="G28" s="23" t="n"/>
      <c r="H28" s="23" t="n"/>
      <c r="I28" s="23" t="n"/>
    </row>
    <row r="29" ht="30" customHeight="1">
      <c r="B29" s="15" t="inlineStr">
        <is>
          <t>卖出条件</t>
        </is>
      </c>
      <c r="C29" s="32" t="inlineStr">
        <is>
          <t>任何一条证伪条件出现；价格超过乐观情景价值；有安全边际更大的同类机会；仓位超过上限</t>
        </is>
      </c>
      <c r="D29" s="32" t="n"/>
      <c r="E29" s="32" t="n"/>
      <c r="F29" s="32" t="n"/>
      <c r="G29" s="32" t="n"/>
      <c r="H29" s="32" t="n"/>
      <c r="I29" s="32" t="n"/>
    </row>
    <row r="30" ht="30" customHeight="1">
      <c r="B30" s="15" t="inlineStr">
        <is>
          <t>不做的情况</t>
        </is>
      </c>
      <c r="C30" s="32" t="inlineStr">
        <is>
          <t>财报红旗两条以上不买；看不懂的新业务占收入三成以上不买；不因为股价跌了就补仓</t>
        </is>
      </c>
      <c r="D30" s="32" t="n"/>
      <c r="E30" s="32" t="n"/>
      <c r="F30" s="32" t="n"/>
      <c r="G30" s="32" t="n"/>
      <c r="H30" s="32" t="n"/>
      <c r="I30" s="32" t="n"/>
    </row>
    <row r="32">
      <c r="B32" s="25" t="inlineStr">
        <is>
          <t>前三大风险（从风险清单按分数取）</t>
        </is>
      </c>
    </row>
    <row r="33">
      <c r="B33" s="26" t="inlineStr">
        <is>
          <t>排名</t>
        </is>
      </c>
      <c r="C33" s="26" t="inlineStr">
        <is>
          <t>风险</t>
        </is>
      </c>
      <c r="D33" s="26" t="n"/>
      <c r="E33" s="26" t="n"/>
      <c r="F33" s="26" t="n"/>
      <c r="G33" s="26" t="inlineStr">
        <is>
          <t>分数</t>
        </is>
      </c>
      <c r="H33" s="26" t="inlineStr">
        <is>
          <t>早期信号</t>
        </is>
      </c>
      <c r="I33" s="26" t="n"/>
    </row>
    <row r="34" ht="32" customHeight="1">
      <c r="B34" s="17" t="n">
        <v>1</v>
      </c>
      <c r="C34" s="35" t="str">
        <f>IFERROR(INDEX('例-风险与跟踪'!$C$6:$C$15,MATCH(LARGE('例-风险与跟踪'!$N$6:$N$15,1),'例-风险与跟踪'!$N$6:$N$15,0)),"")</f>
        <v>应收增速快过收入，可能在给经销商压货</v>
      </c>
      <c r="D34" s="35" t="n"/>
      <c r="E34" s="35" t="n"/>
      <c r="F34" s="35" t="n"/>
      <c r="G34" s="36">
        <f>IFERROR(INDEX('例-风险与跟踪'!$I$6:$I$15,MATCH(LARGE('例-风险与跟踪'!$N$6:$N$15,1),'例-风险与跟踪'!$N$6:$N$15,0)),"")</f>
        <v>6</v>
      </c>
      <c r="H34" s="35" t="str">
        <f>IFERROR(T(INDEX('例-风险与跟踪'!$E$6:$E$15,MATCH(LARGE('例-风险与跟踪'!$N$6:$N$15,1),'例-风险与跟踪'!$N$6:$N$15,0))),"")</f>
        <v>应收周转天数超过 70 天；收现比低于 0.9</v>
      </c>
      <c r="I34" s="35" t="n"/>
    </row>
    <row r="35" ht="32" customHeight="1">
      <c r="B35" s="17" t="n">
        <v>2</v>
      </c>
      <c r="C35" s="35" t="str">
        <f>IFERROR(INDEX('例-风险与跟踪'!$C$6:$C$15,MATCH(LARGE('例-风险与跟踪'!$N$6:$N$15,2),'例-风险与跟踪'!$N$6:$N$15,0)),"")</f>
        <v>兼容滤芯替代，复购率下降</v>
      </c>
      <c r="D35" s="35" t="n"/>
      <c r="E35" s="35" t="n"/>
      <c r="F35" s="35" t="n"/>
      <c r="G35" s="36">
        <f>IFERROR(INDEX('例-风险与跟踪'!$I$6:$I$15,MATCH(LARGE('例-风险与跟踪'!$N$6:$N$15,2),'例-风险与跟踪'!$N$6:$N$15,0)),"")</f>
        <v>6</v>
      </c>
      <c r="H35" s="35" t="str">
        <f>IFERROR(T(INDEX('例-风险与跟踪'!$E$6:$E$15,MATCH(LARGE('例-风险与跟踪'!$N$6:$N$15,2),'例-风险与跟踪'!$N$6:$N$15,0))),"")</f>
        <v>滤芯收入增速连续两个季度低于设备收入增速</v>
      </c>
      <c r="I35" s="35" t="n"/>
    </row>
    <row r="36" ht="32" customHeight="1">
      <c r="B36" s="17" t="n">
        <v>3</v>
      </c>
      <c r="C36" s="35" t="str">
        <f>IFERROR(INDEX('例-风险与跟踪'!$C$6:$C$15,MATCH(LARGE('例-风险与跟踪'!$N$6:$N$15,3),'例-风险与跟踪'!$N$6:$N$15,0)),"")</f>
        <v>原材料涨价挤压毛利</v>
      </c>
      <c r="D36" s="35" t="n"/>
      <c r="E36" s="35" t="n"/>
      <c r="F36" s="35" t="n"/>
      <c r="G36" s="36">
        <f>IFERROR(INDEX('例-风险与跟踪'!$I$6:$I$15,MATCH(LARGE('例-风险与跟踪'!$N$6:$N$15,3),'例-风险与跟踪'!$N$6:$N$15,0)),"")</f>
        <v>4</v>
      </c>
      <c r="H36" s="35" t="str">
        <f>IFERROR(T(INDEX('例-风险与跟踪'!$E$6:$E$15,MATCH(LARGE('例-风险与跟踪'!$N$6:$N$15,3),'例-风险与跟踪'!$N$6:$N$15,0))),"")</f>
        <v>毛利率连续两个季度下降超过 1 个点</v>
      </c>
      <c r="I36" s="35" t="n"/>
    </row>
    <row r="38">
      <c r="B38" s="25" t="inlineStr">
        <is>
          <t>下一个要验证的事（从跟踪日历取）</t>
        </is>
      </c>
    </row>
    <row r="39">
      <c r="B39" s="26" t="inlineStr">
        <is>
          <t>日期</t>
        </is>
      </c>
      <c r="C39" s="26" t="inlineStr">
        <is>
          <t>事件</t>
        </is>
      </c>
      <c r="D39" s="26" t="inlineStr">
        <is>
          <t>验证哪一条</t>
        </is>
      </c>
      <c r="E39" s="26" t="n"/>
      <c r="F39" s="26" t="inlineStr">
        <is>
          <t>我预期看到什么</t>
        </is>
      </c>
      <c r="G39" s="26" t="n"/>
      <c r="H39" s="26" t="n"/>
      <c r="I39" s="26" t="n"/>
    </row>
    <row r="40" ht="32" customHeight="1">
      <c r="B40" s="22">
        <f>IF(ISNUMBER(G6),G6,"")</f>
        <v>46323.0</v>
      </c>
      <c r="C40" s="19" t="str">
        <f>IF(ISNUMBER(G6),IFERROR(T(INDEX('例-风险与跟踪'!$C$20:$C$31,MATCH(G6,'例-风险与跟踪'!$O$20:$O$31,0))),""),"")</f>
        <v>季报</v>
      </c>
      <c r="D40" s="19" t="str">
        <f>IF(ISNUMBER(G6),IFERROR(T(INDEX('例-风险与跟踪'!$D$20:$D$31,MATCH(G6,'例-风险与跟踪'!$O$20:$O$31,0))),""),"")</f>
        <v>理由 2</v>
      </c>
      <c r="E40" s="19" t="n"/>
      <c r="F40" s="35" t="str">
        <f>IF(ISNUMBER(G6),IFERROR(T(INDEX('例-风险与跟踪'!$E$20:$E$31,MATCH(G6,'例-风险与跟踪'!$O$20:$O$31,0))),""),"")</f>
        <v>收现比 ≥ 0.9，应收周转天数 ≤ 70 天</v>
      </c>
      <c r="G40" s="35" t="n"/>
      <c r="H40" s="35" t="n"/>
      <c r="I40" s="35" t="n"/>
    </row>
    <row r="42" ht="36" customHeight="1">
      <c r="B42" s="15" t="inlineStr">
        <is>
          <t>和上一版比，变了什么</t>
        </is>
      </c>
      <c r="C42" s="32" t="inlineStr">
        <is>
          <t>基期现金流从 3.2 亿改成 3.5 亿；前 5 年增速从 8% 改成 9%；应收天数上升，理由 2 的状态改成「出现苗头」。</t>
        </is>
      </c>
      <c r="D42" s="32" t="n"/>
      <c r="E42" s="32" t="n"/>
      <c r="F42" s="32" t="n"/>
      <c r="G42" s="32" t="n"/>
      <c r="H42" s="32" t="n"/>
      <c r="I42" s="32" t="n"/>
    </row>
  </sheetData>
  <mergeCells count="40">
    <mergeCell ref="G21:H21"/>
    <mergeCell ref="H35:I35"/>
    <mergeCell ref="C8:I8"/>
    <mergeCell ref="F39:I39"/>
    <mergeCell ref="C5:D5"/>
    <mergeCell ref="H4:I4"/>
    <mergeCell ref="D40:E40"/>
    <mergeCell ref="C4:D4"/>
    <mergeCell ref="C20:D20"/>
    <mergeCell ref="H34:I34"/>
    <mergeCell ref="E20:F20"/>
    <mergeCell ref="A2:I2"/>
    <mergeCell ref="H6:I6"/>
    <mergeCell ref="D28:I28"/>
    <mergeCell ref="C34:F34"/>
    <mergeCell ref="E19:F19"/>
    <mergeCell ref="G19:H19"/>
    <mergeCell ref="C22:D22"/>
    <mergeCell ref="C30:I30"/>
    <mergeCell ref="C33:F33"/>
    <mergeCell ref="H36:I36"/>
    <mergeCell ref="C42:I42"/>
    <mergeCell ref="G1:I1"/>
    <mergeCell ref="C36:F36"/>
    <mergeCell ref="F40:I40"/>
    <mergeCell ref="C21:D21"/>
    <mergeCell ref="C26:I26"/>
    <mergeCell ref="C35:F35"/>
    <mergeCell ref="C29:I29"/>
    <mergeCell ref="C25:I25"/>
    <mergeCell ref="D39:E39"/>
    <mergeCell ref="G20:H20"/>
    <mergeCell ref="A1:F1"/>
    <mergeCell ref="C19:D19"/>
    <mergeCell ref="H33:I33"/>
    <mergeCell ref="H5:I5"/>
    <mergeCell ref="E22:F22"/>
    <mergeCell ref="G22:H22"/>
    <mergeCell ref="C27:I27"/>
    <mergeCell ref="E21:F21"/>
  </mergeCells>
  <conditionalFormatting sqref="I12">
    <cfRule type="cellIs" priority="1" operator="equal" dxfId="0">
      <formula>"到买入线"</formula>
    </cfRule>
    <cfRule type="cellIs" priority="2" operator="equal" dxfId="1">
      <formula>"高于乐观价值"</formula>
    </cfRule>
  </conditionalFormatting>
  <conditionalFormatting sqref="I20:I22">
    <cfRule type="cellIs" priority="3" operator="equal" dxfId="2">
      <formula>"出现苗头"</formula>
    </cfRule>
    <cfRule type="cellIs" priority="4" operator="equal" dxfId="1">
      <formula>"已证伪"</formula>
    </cfRule>
  </conditionalFormatting>
  <conditionalFormatting sqref="C26">
    <cfRule type="expression" priority="5" dxfId="3">
      <formula>LEFT($C$26,2)="满足"</formula>
    </cfRule>
  </conditionalFormatting>
  <dataValidations count="3">
    <dataValidation sqref="H4" showDropDown="0" showInputMessage="0" showErrorMessage="1" allowBlank="1" errorTitle="不在选项里" error="请从下拉里选；要加新选项，先去参数页的下拉选项里加。" type="list" errorStyle="warning">
      <formula1>"A股,港股,美股,其他"</formula1>
    </dataValidation>
    <dataValidation sqref="E6" showDropDown="0" showInputMessage="0" showErrorMessage="1" allowBlank="1" errorTitle="不在选项里" error="请从下拉里选；要加新选项，先去参数页的下拉选项里加。" type="list" errorStyle="stop">
      <formula1>"观察,等价格,买入,持有,减仓,卖出"</formula1>
    </dataValidation>
    <dataValidation sqref="I20:I22" showDropDown="0" showInputMessage="0" showErrorMessage="1" allowBlank="1" errorTitle="不在选项里" error="请从下拉里选；要加新选项，先去参数页的下拉选项里加。" type="list" errorStyle="stop">
      <formula1>"没有,出现苗头,已证伪"</formula1>
    </dataValidation>
  </dataValidations>
  <printOptions horizontalCentered="1"/>
  <pageMargins left="0.35" right="0.35" top="0.45" bottom="0.6" header="0.2" footer="0.25"/>
  <pageSetup orientation="portrait" paperSize="9" fitToHeight="1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</worksheet>
</file>

<file path=xl/worksheets/sheet9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I6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24" customWidth="1" min="2" max="2"/>
    <col width="13" customWidth="1" min="3" max="3"/>
    <col width="11" customWidth="1" min="4" max="4"/>
    <col width="11" customWidth="1" min="5" max="5"/>
    <col width="11" customWidth="1" min="6" max="6"/>
    <col width="13" customWidth="1" min="7" max="7"/>
    <col width="14" customWidth="1" min="8" max="8"/>
    <col width="26" customWidth="1" min="9" max="9"/>
  </cols>
  <sheetData>
    <row r="1" ht="30" customHeight="1">
      <c r="A1" s="13" t="inlineStr">
        <is>
          <t>示例 · 生意：怎么赚钱、和谁竞争、凭什么</t>
        </is>
      </c>
      <c r="G1" s="14" t="inlineStr">
        <is>
          <t>TradeLearn · XtradingTime 交易内训</t>
        </is>
      </c>
    </row>
    <row r="2" ht="20" customHeight="1">
      <c r="A2" s="66" t="inlineStr">
        <is>
          <t>虚构示例，仅演示填法：示例公司甲、同行和全部数字都是编的。</t>
        </is>
      </c>
    </row>
    <row r="4">
      <c r="B4" s="25" t="inlineStr">
        <is>
          <t>1. 一句话说清它怎么赚钱</t>
        </is>
      </c>
    </row>
    <row r="5" ht="40" customHeight="1">
      <c r="B5" s="32" t="inlineStr">
        <is>
          <t>卖商用净水设备给餐饮、学校和写字楼。装上以后每 6～12 个月要换一次滤芯，滤芯和上门维保是持续的收入。</t>
        </is>
      </c>
      <c r="C5" s="32" t="n"/>
      <c r="D5" s="32" t="n"/>
      <c r="E5" s="32" t="n"/>
      <c r="F5" s="32" t="n"/>
      <c r="G5" s="32" t="n"/>
      <c r="H5" s="32" t="n"/>
      <c r="I5" s="32" t="n"/>
    </row>
    <row r="7">
      <c r="B7" s="25" t="inlineStr">
        <is>
          <t>2. 收入结构（最近一年）</t>
        </is>
      </c>
    </row>
    <row r="8">
      <c r="B8" s="26" t="inlineStr">
        <is>
          <t>业务 / 产品</t>
        </is>
      </c>
      <c r="C8" s="26" t="inlineStr">
        <is>
          <t>收入</t>
        </is>
      </c>
      <c r="D8" s="26" t="inlineStr">
        <is>
          <t>占比</t>
        </is>
      </c>
      <c r="E8" s="26" t="inlineStr">
        <is>
          <t>增速</t>
        </is>
      </c>
      <c r="F8" s="26" t="inlineStr">
        <is>
          <t>毛利率</t>
        </is>
      </c>
      <c r="G8" s="26" t="inlineStr">
        <is>
          <t>收钱方式</t>
        </is>
      </c>
      <c r="H8" s="26" t="inlineStr">
        <is>
          <t>毛利贡献</t>
        </is>
      </c>
      <c r="I8" s="26" t="inlineStr">
        <is>
          <t>备注</t>
        </is>
      </c>
    </row>
    <row r="9">
      <c r="B9" s="16" t="inlineStr">
        <is>
          <t>设备销售</t>
        </is>
      </c>
      <c r="C9" s="37" t="n">
        <v>17</v>
      </c>
      <c r="D9" s="38">
        <f>IF(AND(ISNUMBER(C9),N($C$15)&gt;0),C9/$C$15,"")</f>
        <v>0.512048192771084</v>
      </c>
      <c r="E9" s="34" t="n">
        <v>0.06</v>
      </c>
      <c r="F9" s="34" t="n">
        <v>0.33</v>
      </c>
      <c r="G9" s="18" t="inlineStr">
        <is>
          <t>一次性</t>
        </is>
      </c>
      <c r="H9" s="39">
        <f>IF(AND(ISNUMBER(C9),ISNUMBER(F9)),C9*F9,"")</f>
        <v>5.61</v>
      </c>
      <c r="I9" s="16" t="inlineStr">
        <is>
          <t>招标多，价格压得紧</t>
        </is>
      </c>
    </row>
    <row r="10">
      <c r="B10" s="16" t="inlineStr">
        <is>
          <t>滤芯耗材</t>
        </is>
      </c>
      <c r="C10" s="37" t="n">
        <v>13.1</v>
      </c>
      <c r="D10" s="38">
        <f>IF(AND(ISNUMBER(C10),N($C$15)&gt;0),C10/$C$15,"")</f>
        <v>0.394578313253012</v>
      </c>
      <c r="E10" s="34" t="n">
        <v>0.18</v>
      </c>
      <c r="F10" s="34" t="n">
        <v>0.58</v>
      </c>
      <c r="G10" s="18" t="inlineStr">
        <is>
          <t>复购</t>
        </is>
      </c>
      <c r="H10" s="39">
        <f>IF(AND(ISNUMBER(C10),ISNUMBER(F10)),C10*F10,"")</f>
        <v>7.598</v>
      </c>
      <c r="I10" s="16" t="inlineStr">
        <is>
          <t>接口有专利，换芯靠服务网点</t>
        </is>
      </c>
    </row>
    <row r="11">
      <c r="B11" s="16" t="inlineStr">
        <is>
          <t>安装维保服务</t>
        </is>
      </c>
      <c r="C11" s="37" t="n">
        <v>3.1</v>
      </c>
      <c r="D11" s="38">
        <f>IF(AND(ISNUMBER(C11),N($C$15)&gt;0),C11/$C$15,"")</f>
        <v>0.0933734939759036</v>
      </c>
      <c r="E11" s="34" t="n">
        <v>0.12</v>
      </c>
      <c r="F11" s="34" t="n">
        <v>0.45</v>
      </c>
      <c r="G11" s="18" t="inlineStr">
        <is>
          <t>订阅</t>
        </is>
      </c>
      <c r="H11" s="39">
        <f>IF(AND(ISNUMBER(C11),ISNUMBER(F11)),C11*F11,"")</f>
        <v>1.395</v>
      </c>
      <c r="I11" s="16" t="inlineStr">
        <is>
          <t>按年收费</t>
        </is>
      </c>
    </row>
    <row r="12">
      <c r="B12" s="16" t="n"/>
      <c r="C12" s="37" t="n"/>
      <c r="D12" s="38" t="str">
        <f>IF(AND(ISNUMBER(C12),N($C$15)&gt;0),C12/$C$15,"")</f>
        <v/>
      </c>
      <c r="E12" s="34" t="n"/>
      <c r="F12" s="34" t="n"/>
      <c r="G12" s="18" t="n"/>
      <c r="H12" s="39" t="str">
        <f>IF(AND(ISNUMBER(C12),ISNUMBER(F12)),C12*F12,"")</f>
        <v/>
      </c>
      <c r="I12" s="16" t="n"/>
    </row>
    <row r="13">
      <c r="B13" s="16" t="n"/>
      <c r="C13" s="37" t="n"/>
      <c r="D13" s="38" t="str">
        <f>IF(AND(ISNUMBER(C13),N($C$15)&gt;0),C13/$C$15,"")</f>
        <v/>
      </c>
      <c r="E13" s="34" t="n"/>
      <c r="F13" s="34" t="n"/>
      <c r="G13" s="18" t="n"/>
      <c r="H13" s="39" t="str">
        <f>IF(AND(ISNUMBER(C13),ISNUMBER(F13)),C13*F13,"")</f>
        <v/>
      </c>
      <c r="I13" s="16" t="n"/>
    </row>
    <row r="14">
      <c r="B14" s="16" t="n"/>
      <c r="C14" s="37" t="n"/>
      <c r="D14" s="38" t="str">
        <f>IF(AND(ISNUMBER(C14),N($C$15)&gt;0),C14/$C$15,"")</f>
        <v/>
      </c>
      <c r="E14" s="34" t="n"/>
      <c r="F14" s="34" t="n"/>
      <c r="G14" s="18" t="n"/>
      <c r="H14" s="39" t="str">
        <f>IF(AND(ISNUMBER(C14),ISNUMBER(F14)),C14*F14,"")</f>
        <v/>
      </c>
      <c r="I14" s="16" t="n"/>
    </row>
    <row r="15">
      <c r="B15" s="15" t="inlineStr">
        <is>
          <t>合计</t>
        </is>
      </c>
      <c r="C15" s="40">
        <f>IF(COUNT(C9:C14)=0,"",SUM(C9:C14))</f>
        <v>33.2</v>
      </c>
      <c r="D15" s="38">
        <f>IF(N(C15)&gt;0,1,"")</f>
        <v>1</v>
      </c>
      <c r="H15" s="40">
        <f>IF(COUNT(H9:H14)=0,"",SUM(H9:H14))</f>
        <v>14.603</v>
      </c>
      <c r="I15" s="23" t="inlineStr">
        <is>
          <t>收入合计应该等于财务页最近一年的营业收入。</t>
        </is>
      </c>
    </row>
    <row r="17">
      <c r="B17" s="25" t="inlineStr">
        <is>
          <t>3. 客户与供应商</t>
        </is>
      </c>
    </row>
    <row r="18">
      <c r="B18" s="41" t="inlineStr">
        <is>
          <t>前五大客户收入占比</t>
        </is>
      </c>
      <c r="C18" s="34" t="n">
        <v>0.11</v>
      </c>
      <c r="E18" s="23" t="inlineStr">
        <is>
          <t>第一大客户超过三成，要单独看合同期限和议价能力。供应商太集中，要看有没有替代。</t>
        </is>
      </c>
      <c r="F18" s="23" t="n"/>
      <c r="G18" s="23" t="n"/>
      <c r="H18" s="23" t="n"/>
      <c r="I18" s="23" t="n"/>
    </row>
    <row r="19">
      <c r="B19" s="41" t="inlineStr">
        <is>
          <t>第一大客户收入占比</t>
        </is>
      </c>
      <c r="C19" s="34" t="n">
        <v>0.04</v>
      </c>
      <c r="D19" s="42" t="str">
        <f>IF(NOT(ISNUMBER(C19)),"",IF(C19&gt;0.3,"依赖单一客户",""))</f>
        <v/>
      </c>
      <c r="E19" s="23" t="n"/>
      <c r="F19" s="23" t="n"/>
      <c r="G19" s="23" t="n"/>
      <c r="H19" s="23" t="n"/>
      <c r="I19" s="23" t="n"/>
    </row>
    <row r="20">
      <c r="B20" s="41" t="inlineStr">
        <is>
          <t>前五大供应商采购占比</t>
        </is>
      </c>
      <c r="C20" s="34" t="n">
        <v>0.28</v>
      </c>
      <c r="E20" s="23" t="n"/>
      <c r="F20" s="23" t="n"/>
      <c r="G20" s="23" t="n"/>
      <c r="H20" s="23" t="n"/>
      <c r="I20" s="23" t="n"/>
    </row>
    <row r="22">
      <c r="B22" s="25" t="inlineStr">
        <is>
          <t>4. 行业格局</t>
        </is>
      </c>
    </row>
    <row r="23">
      <c r="B23" s="41" t="inlineStr">
        <is>
          <t>行业规模（单位同收入）</t>
        </is>
      </c>
      <c r="C23" s="37" t="n">
        <v>420</v>
      </c>
      <c r="D23" s="43" t="inlineStr">
        <is>
          <t>规模增速</t>
        </is>
      </c>
      <c r="E23" s="34" t="n">
        <v>0.08</v>
      </c>
      <c r="F23" s="43" t="inlineStr">
        <is>
          <t>所处阶段</t>
        </is>
      </c>
      <c r="G23" s="18" t="inlineStr">
        <is>
          <t>成长期</t>
        </is>
      </c>
    </row>
    <row r="24">
      <c r="B24" s="41" t="inlineStr">
        <is>
          <t>前三名合计份额</t>
        </is>
      </c>
      <c r="C24" s="34" t="n">
        <v>0.35</v>
      </c>
      <c r="D24" s="43" t="inlineStr">
        <is>
          <t>本公司份额</t>
        </is>
      </c>
      <c r="E24" s="38">
        <f>IF(AND(N(C23)&gt;0,ISNUMBER(C15)),C15/C23,"")</f>
        <v>0.0790476190476191</v>
      </c>
      <c r="F24" s="23" t="inlineStr">
        <is>
          <t>份额 = 收入合计 ÷ 行业规模。</t>
        </is>
      </c>
      <c r="G24" s="23" t="n"/>
      <c r="H24" s="23" t="n"/>
      <c r="I24" s="23" t="n"/>
    </row>
    <row r="25">
      <c r="B25" s="26" t="inlineStr">
        <is>
          <t>竞争对手</t>
        </is>
      </c>
      <c r="C25" s="26" t="inlineStr">
        <is>
          <t>份额</t>
        </is>
      </c>
      <c r="D25" s="26" t="inlineStr">
        <is>
          <t>它强在哪</t>
        </is>
      </c>
      <c r="E25" s="26" t="n"/>
      <c r="F25" s="26" t="inlineStr">
        <is>
          <t>它弱在哪</t>
        </is>
      </c>
      <c r="G25" s="26" t="n"/>
      <c r="H25" s="26" t="inlineStr">
        <is>
          <t>和我们抢什么</t>
        </is>
      </c>
      <c r="I25" s="26" t="n"/>
    </row>
    <row r="26">
      <c r="B26" s="16" t="inlineStr">
        <is>
          <t>示例同行乙（虚构）</t>
        </is>
      </c>
      <c r="C26" s="34" t="n">
        <v>0.18</v>
      </c>
      <c r="D26" s="16" t="inlineStr">
        <is>
          <t>品牌强、渠道广</t>
        </is>
      </c>
      <c r="E26" s="16" t="n"/>
      <c r="F26" s="16" t="inlineStr">
        <is>
          <t>价格高</t>
        </is>
      </c>
      <c r="G26" s="16" t="n"/>
      <c r="H26" s="16" t="inlineStr">
        <is>
          <t>写字楼大客户</t>
        </is>
      </c>
      <c r="I26" s="16" t="n"/>
    </row>
    <row r="27">
      <c r="B27" s="16" t="inlineStr">
        <is>
          <t>示例同行丙（虚构）</t>
        </is>
      </c>
      <c r="C27" s="34" t="n">
        <v>0.1</v>
      </c>
      <c r="D27" s="16" t="inlineStr">
        <is>
          <t>价格低</t>
        </is>
      </c>
      <c r="E27" s="16" t="n"/>
      <c r="F27" s="16" t="inlineStr">
        <is>
          <t>服务网点少</t>
        </is>
      </c>
      <c r="G27" s="16" t="n"/>
      <c r="H27" s="16" t="inlineStr">
        <is>
          <t>学校招标</t>
        </is>
      </c>
      <c r="I27" s="16" t="n"/>
    </row>
    <row r="28">
      <c r="B28" s="16" t="inlineStr">
        <is>
          <t>外资品牌丁（虚构）</t>
        </is>
      </c>
      <c r="C28" s="34" t="n">
        <v>0.07000000000000001</v>
      </c>
      <c r="D28" s="16" t="inlineStr">
        <is>
          <t>技术好</t>
        </is>
      </c>
      <c r="E28" s="16" t="n"/>
      <c r="F28" s="16" t="inlineStr">
        <is>
          <t>贵，服务慢</t>
        </is>
      </c>
      <c r="G28" s="16" t="n"/>
      <c r="H28" s="16" t="inlineStr">
        <is>
          <t>高端酒店</t>
        </is>
      </c>
      <c r="I28" s="16" t="n"/>
    </row>
    <row r="29">
      <c r="B29" s="16" t="inlineStr">
        <is>
          <t>本地小厂（合计）</t>
        </is>
      </c>
      <c r="C29" s="34" t="n">
        <v>0.4</v>
      </c>
      <c r="D29" s="16" t="inlineStr">
        <is>
          <t>便宜</t>
        </is>
      </c>
      <c r="E29" s="16" t="n"/>
      <c r="F29" s="16" t="inlineStr">
        <is>
          <t>质量不稳定</t>
        </is>
      </c>
      <c r="G29" s="16" t="n"/>
      <c r="H29" s="16" t="inlineStr">
        <is>
          <t>小餐饮</t>
        </is>
      </c>
      <c r="I29" s="16" t="n"/>
    </row>
    <row r="30">
      <c r="B30" s="16" t="n"/>
      <c r="C30" s="34" t="n"/>
      <c r="D30" s="16" t="n"/>
      <c r="E30" s="16" t="n"/>
      <c r="F30" s="16" t="n"/>
      <c r="G30" s="16" t="n"/>
      <c r="H30" s="16" t="n"/>
      <c r="I30" s="16" t="n"/>
    </row>
    <row r="32">
      <c r="B32" s="25" t="inlineStr">
        <is>
          <t>5. 护城河检查（每一条都写证据）</t>
        </is>
      </c>
    </row>
    <row r="33">
      <c r="B33" s="26" t="inlineStr">
        <is>
          <t>类型</t>
        </is>
      </c>
      <c r="C33" s="26" t="inlineStr">
        <is>
          <t>有没有</t>
        </is>
      </c>
      <c r="D33" s="26" t="inlineStr">
        <is>
          <t>证据（最好是数字）</t>
        </is>
      </c>
      <c r="E33" s="26" t="n"/>
      <c r="F33" s="26" t="n"/>
      <c r="G33" s="26" t="inlineStr">
        <is>
          <t>什么会削弱它</t>
        </is>
      </c>
      <c r="H33" s="26" t="n"/>
      <c r="I33" s="26" t="n"/>
    </row>
    <row r="34" ht="32" customHeight="1">
      <c r="B34" s="41" t="inlineStr">
        <is>
          <t>品牌：能不能比同行卖得贵</t>
        </is>
      </c>
      <c r="C34" s="18" t="inlineStr">
        <is>
          <t>弱</t>
        </is>
      </c>
      <c r="D34" s="16" t="inlineStr">
        <is>
          <t>均价比同行高 5%，但招标项目里不占优</t>
        </is>
      </c>
      <c r="E34" s="16" t="n"/>
      <c r="F34" s="16" t="n"/>
      <c r="G34" s="16" t="inlineStr">
        <is>
          <t>同行降价抢标</t>
        </is>
      </c>
      <c r="H34" s="16" t="n"/>
      <c r="I34" s="16" t="n"/>
    </row>
    <row r="35" ht="32" customHeight="1">
      <c r="B35" s="41" t="inlineStr">
        <is>
          <t>转换成本：客户换掉它要花多少</t>
        </is>
      </c>
      <c r="C35" s="18" t="inlineStr">
        <is>
          <t>有</t>
        </is>
      </c>
      <c r="D35" s="16" t="inlineStr">
        <is>
          <t>换品牌要换整套设备；滤芯接口不通用，复购率 85%</t>
        </is>
      </c>
      <c r="E35" s="16" t="n"/>
      <c r="F35" s="16" t="n"/>
      <c r="G35" s="16" t="inlineStr">
        <is>
          <t>兼容滤芯做出来，接口专利到期</t>
        </is>
      </c>
      <c r="H35" s="16" t="n"/>
      <c r="I35" s="16" t="n"/>
    </row>
    <row r="36" ht="30" customHeight="1">
      <c r="B36" s="41" t="inlineStr">
        <is>
          <t>网络效应：用的人越多越好用</t>
        </is>
      </c>
      <c r="C36" s="18" t="inlineStr">
        <is>
          <t>没有</t>
        </is>
      </c>
      <c r="D36" s="16" t="inlineStr"/>
      <c r="E36" s="16" t="n"/>
      <c r="F36" s="16" t="n"/>
      <c r="G36" s="16" t="inlineStr"/>
      <c r="H36" s="16" t="n"/>
      <c r="I36" s="16" t="n"/>
    </row>
    <row r="37" ht="32" customHeight="1">
      <c r="B37" s="41" t="inlineStr">
        <is>
          <t>成本优势：规模、工艺或资源</t>
        </is>
      </c>
      <c r="C37" s="18" t="inlineStr">
        <is>
          <t>弱</t>
        </is>
      </c>
      <c r="D37" s="16" t="inlineStr">
        <is>
          <t>规模行业第三；毛利率 44%，行业平均约 38%</t>
        </is>
      </c>
      <c r="E37" s="16" t="n"/>
      <c r="F37" s="16" t="n"/>
      <c r="G37" s="16" t="inlineStr">
        <is>
          <t>原材料涨价、同行扩产</t>
        </is>
      </c>
      <c r="H37" s="16" t="n"/>
      <c r="I37" s="16" t="n"/>
    </row>
    <row r="38" ht="30" customHeight="1">
      <c r="B38" s="41" t="inlineStr">
        <is>
          <t>牌照与专利</t>
        </is>
      </c>
      <c r="C38" s="18" t="inlineStr">
        <is>
          <t>弱</t>
        </is>
      </c>
      <c r="D38" s="16" t="inlineStr">
        <is>
          <t>滤芯接口有 12 项专利</t>
        </is>
      </c>
      <c r="E38" s="16" t="n"/>
      <c r="F38" s="16" t="n"/>
      <c r="G38" s="16" t="inlineStr">
        <is>
          <t>已经有兼容滤芯出现</t>
        </is>
      </c>
      <c r="H38" s="16" t="n"/>
      <c r="I38" s="16" t="n"/>
    </row>
    <row r="39" ht="32" customHeight="1">
      <c r="B39" s="41" t="inlineStr">
        <is>
          <t>渠道与服务网络</t>
        </is>
      </c>
      <c r="C39" s="18" t="inlineStr">
        <is>
          <t>有</t>
        </is>
      </c>
      <c r="D39" s="16" t="inlineStr">
        <is>
          <t>全国 1,800 个服务网点，24 小时上门；第二名约 900 个</t>
        </is>
      </c>
      <c r="E39" s="16" t="n"/>
      <c r="F39" s="16" t="n"/>
      <c r="G39" s="16" t="inlineStr">
        <is>
          <t>同行一年内把网点铺到 1,500 个以上</t>
        </is>
      </c>
      <c r="H39" s="16" t="n"/>
      <c r="I39" s="16" t="n"/>
    </row>
    <row r="40">
      <c r="B40" s="15" t="inlineStr">
        <is>
          <t>「有」的条数</t>
        </is>
      </c>
      <c r="C40" s="44">
        <f>COUNTIF(C34:C39,"有")</f>
        <v>2</v>
      </c>
      <c r="D40" s="23" t="inlineStr">
        <is>
          <t>一条都没有不代表不能买，但估值里就不该给长期高增长。</t>
        </is>
      </c>
      <c r="E40" s="23" t="n"/>
      <c r="F40" s="23" t="n"/>
      <c r="G40" s="23" t="n"/>
      <c r="H40" s="23" t="n"/>
      <c r="I40" s="23" t="n"/>
    </row>
    <row r="42">
      <c r="B42" s="25" t="inlineStr">
        <is>
          <t>6. 管理层与治理</t>
        </is>
      </c>
    </row>
    <row r="43">
      <c r="B43" s="41" t="inlineStr">
        <is>
          <t>管理层与实控人持股</t>
        </is>
      </c>
      <c r="C43" s="34" t="n">
        <v>0.38</v>
      </c>
      <c r="D43" s="43" t="inlineStr">
        <is>
          <t>近三年减持</t>
        </is>
      </c>
      <c r="E43" s="18" t="inlineStr">
        <is>
          <t>没有</t>
        </is>
      </c>
      <c r="F43" s="43" t="inlineStr">
        <is>
          <t>股权质押比例</t>
        </is>
      </c>
      <c r="G43" s="34" t="n">
        <v>0</v>
      </c>
    </row>
    <row r="45">
      <c r="B45" s="26" t="inlineStr">
        <is>
          <t>资本配置记录</t>
        </is>
      </c>
      <c r="C45" s="26" t="inlineStr">
        <is>
          <t>年份</t>
        </is>
      </c>
      <c r="D45" s="26" t="inlineStr">
        <is>
          <t>金额</t>
        </is>
      </c>
      <c r="E45" s="26" t="inlineStr">
        <is>
          <t>后来结果怎样</t>
        </is>
      </c>
      <c r="F45" s="26" t="n"/>
      <c r="G45" s="26" t="n"/>
      <c r="H45" s="26" t="n"/>
      <c r="I45" s="26" t="n"/>
    </row>
    <row r="46">
      <c r="B46" s="16" t="inlineStr">
        <is>
          <t>回购</t>
        </is>
      </c>
      <c r="C46" s="18" t="inlineStr">
        <is>
          <t>2023</t>
        </is>
      </c>
      <c r="D46" s="37" t="n">
        <v>0.3</v>
      </c>
      <c r="E46" s="16" t="inlineStr">
        <is>
          <t>股价低于 15 元时回购，事后看价格合理</t>
        </is>
      </c>
      <c r="F46" s="16" t="n"/>
      <c r="G46" s="16" t="n"/>
      <c r="H46" s="16" t="n"/>
      <c r="I46" s="16" t="n"/>
    </row>
    <row r="47">
      <c r="B47" s="16" t="inlineStr">
        <is>
          <t>并购区域服务商</t>
        </is>
      </c>
      <c r="C47" s="18" t="inlineStr">
        <is>
          <t>2024</t>
        </is>
      </c>
      <c r="D47" s="37" t="n">
        <v>1.2</v>
      </c>
      <c r="E47" s="16" t="inlineStr">
        <is>
          <t>服务网点多了 300 个，商誉 0.3 亿，目前整合顺利</t>
        </is>
      </c>
      <c r="F47" s="16" t="n"/>
      <c r="G47" s="16" t="n"/>
      <c r="H47" s="16" t="n"/>
      <c r="I47" s="16" t="n"/>
    </row>
    <row r="48">
      <c r="B48" s="16" t="inlineStr">
        <is>
          <t>回购</t>
        </is>
      </c>
      <c r="C48" s="18" t="inlineStr">
        <is>
          <t>2025</t>
        </is>
      </c>
      <c r="D48" s="37" t="n">
        <v>0.5</v>
      </c>
      <c r="E48" s="16" t="inlineStr">
        <is>
          <t>和分红一起，回报股东约四成利润</t>
        </is>
      </c>
      <c r="F48" s="16" t="n"/>
      <c r="G48" s="16" t="n"/>
      <c r="H48" s="16" t="n"/>
      <c r="I48" s="16" t="n"/>
    </row>
    <row r="49">
      <c r="B49" s="16" t="inlineStr">
        <is>
          <t>现金分红</t>
        </is>
      </c>
      <c r="C49" s="18" t="inlineStr">
        <is>
          <t>2025</t>
        </is>
      </c>
      <c r="D49" s="37" t="n">
        <v>1.6</v>
      </c>
      <c r="E49" s="16" t="inlineStr">
        <is>
          <t>分红率约三成，五年没断过</t>
        </is>
      </c>
      <c r="F49" s="16" t="n"/>
      <c r="G49" s="16" t="n"/>
      <c r="H49" s="16" t="n"/>
      <c r="I49" s="16" t="n"/>
    </row>
    <row r="50">
      <c r="B50" s="16" t="n"/>
      <c r="C50" s="18" t="n"/>
      <c r="D50" s="37" t="n"/>
      <c r="E50" s="16" t="n"/>
      <c r="F50" s="16" t="n"/>
      <c r="G50" s="16" t="n"/>
      <c r="H50" s="16" t="n"/>
      <c r="I50" s="16" t="n"/>
    </row>
    <row r="52">
      <c r="B52" s="26" t="inlineStr">
        <is>
          <t>说过的话</t>
        </is>
      </c>
      <c r="C52" s="26" t="inlineStr">
        <is>
          <t>什么时候说的</t>
        </is>
      </c>
      <c r="D52" s="26" t="inlineStr">
        <is>
          <t>结果</t>
        </is>
      </c>
      <c r="E52" s="26" t="inlineStr">
        <is>
          <t>证据</t>
        </is>
      </c>
      <c r="F52" s="26" t="n"/>
      <c r="G52" s="26" t="n"/>
      <c r="H52" s="26" t="n"/>
      <c r="I52" s="26" t="n"/>
    </row>
    <row r="53" ht="32" customHeight="1">
      <c r="B53" s="16" t="inlineStr">
        <is>
          <t>三年内滤芯收入占比做到 40%</t>
        </is>
      </c>
      <c r="C53" s="18" t="inlineStr">
        <is>
          <t>2023 年报</t>
        </is>
      </c>
      <c r="D53" s="18" t="inlineStr">
        <is>
          <t>部分做到</t>
        </is>
      </c>
      <c r="E53" s="16" t="inlineStr">
        <is>
          <t>2025 年做到 39.5%</t>
        </is>
      </c>
      <c r="F53" s="16" t="n"/>
      <c r="G53" s="16" t="n"/>
      <c r="H53" s="16" t="n"/>
      <c r="I53" s="16" t="n"/>
    </row>
    <row r="54" ht="32" customHeight="1">
      <c r="B54" s="16" t="inlineStr">
        <is>
          <t>2025 年底服务网点到 1,800 个</t>
        </is>
      </c>
      <c r="C54" s="18" t="inlineStr">
        <is>
          <t>2024 中报</t>
        </is>
      </c>
      <c r="D54" s="18" t="inlineStr">
        <is>
          <t>做到</t>
        </is>
      </c>
      <c r="E54" s="16" t="inlineStr">
        <is>
          <t>2025 年报披露 1,800 个</t>
        </is>
      </c>
      <c r="F54" s="16" t="n"/>
      <c r="G54" s="16" t="n"/>
      <c r="H54" s="16" t="n"/>
      <c r="I54" s="16" t="n"/>
    </row>
    <row r="55" ht="32" customHeight="1">
      <c r="B55" s="16" t="inlineStr">
        <is>
          <t>应收周转天数控制在 60 天以内</t>
        </is>
      </c>
      <c r="C55" s="18" t="inlineStr">
        <is>
          <t>2024 年报</t>
        </is>
      </c>
      <c r="D55" s="18" t="inlineStr">
        <is>
          <t>没做到</t>
        </is>
      </c>
      <c r="E55" s="16" t="inlineStr">
        <is>
          <t>2025 年是 66 天</t>
        </is>
      </c>
      <c r="F55" s="16" t="n"/>
      <c r="G55" s="16" t="n"/>
      <c r="H55" s="16" t="n"/>
      <c r="I55" s="16" t="n"/>
    </row>
    <row r="56" ht="32" customHeight="1">
      <c r="B56" s="16" t="inlineStr">
        <is>
          <t>2026 年推出换芯提醒的联网滤芯</t>
        </is>
      </c>
      <c r="C56" s="18" t="inlineStr">
        <is>
          <t>2025 年报</t>
        </is>
      </c>
      <c r="D56" s="18" t="inlineStr">
        <is>
          <t>未到期</t>
        </is>
      </c>
      <c r="E56" s="16" t="inlineStr"/>
      <c r="F56" s="16" t="n"/>
      <c r="G56" s="16" t="n"/>
      <c r="H56" s="16" t="n"/>
      <c r="I56" s="16" t="n"/>
    </row>
    <row r="57">
      <c r="B57" s="16" t="n"/>
      <c r="C57" s="18" t="n"/>
      <c r="D57" s="18" t="n"/>
      <c r="E57" s="16" t="n"/>
      <c r="F57" s="16" t="n"/>
      <c r="G57" s="16" t="n"/>
      <c r="H57" s="16" t="n"/>
      <c r="I57" s="16" t="n"/>
    </row>
    <row r="58">
      <c r="B58" s="15" t="inlineStr">
        <is>
          <t>说到做到的比例</t>
        </is>
      </c>
      <c r="C58" s="45">
        <f>IF(COUNTIF(D53:D57,"做到")+COUNTIF(D53:D57,"部分做到")+COUNTIF(D53:D57,"没做到")=0,"",(COUNTIF(D53:D57,"做到")+0.5*COUNTIF(D53:D57,"部分做到"))/(COUNTIF(D53:D57,"做到")+COUNTIF(D53:D57,"部分做到")+COUNTIF(D53:D57,"没做到")))</f>
        <v>0.5</v>
      </c>
      <c r="D58" s="23" t="inlineStr">
        <is>
          <t>部分做到算一半，未到期的不算。低于一半，管理层的规划要打折听。</t>
        </is>
      </c>
      <c r="E58" s="23" t="n"/>
      <c r="F58" s="23" t="n"/>
      <c r="G58" s="23" t="n"/>
      <c r="H58" s="23" t="n"/>
      <c r="I58" s="23" t="n"/>
    </row>
    <row r="60">
      <c r="B60" s="26" t="inlineStr">
        <is>
          <t>治理红旗</t>
        </is>
      </c>
      <c r="C60" s="26" t="inlineStr">
        <is>
          <t>有没有</t>
        </is>
      </c>
      <c r="D60" s="26" t="inlineStr">
        <is>
          <t>说明</t>
        </is>
      </c>
      <c r="E60" s="26" t="n"/>
      <c r="F60" s="26" t="n"/>
      <c r="G60" s="26" t="n"/>
      <c r="H60" s="26" t="n"/>
      <c r="I60" s="26" t="n"/>
    </row>
    <row r="61">
      <c r="B61" s="41" t="inlineStr">
        <is>
          <t>大额关联交易</t>
        </is>
      </c>
      <c r="C61" s="18" t="inlineStr">
        <is>
          <t>没有</t>
        </is>
      </c>
      <c r="D61" s="16" t="inlineStr"/>
      <c r="E61" s="16" t="n"/>
      <c r="F61" s="16" t="n"/>
      <c r="G61" s="16" t="n"/>
      <c r="H61" s="16" t="n"/>
      <c r="I61" s="16" t="n"/>
    </row>
    <row r="62">
      <c r="B62" s="41" t="inlineStr">
        <is>
          <t>频繁更换审计机构</t>
        </is>
      </c>
      <c r="C62" s="18" t="inlineStr">
        <is>
          <t>没有</t>
        </is>
      </c>
      <c r="D62" s="16" t="inlineStr">
        <is>
          <t>五年同一家审计机构</t>
        </is>
      </c>
      <c r="E62" s="16" t="n"/>
      <c r="F62" s="16" t="n"/>
      <c r="G62" s="16" t="n"/>
      <c r="H62" s="16" t="n"/>
      <c r="I62" s="16" t="n"/>
    </row>
    <row r="63">
      <c r="B63" s="41" t="inlineStr">
        <is>
          <t>审计意见不是标准无保留</t>
        </is>
      </c>
      <c r="C63" s="18" t="inlineStr">
        <is>
          <t>没有</t>
        </is>
      </c>
      <c r="D63" s="16" t="inlineStr">
        <is>
          <t>历年都是标准无保留意见</t>
        </is>
      </c>
      <c r="E63" s="16" t="n"/>
      <c r="F63" s="16" t="n"/>
      <c r="G63" s="16" t="n"/>
      <c r="H63" s="16" t="n"/>
      <c r="I63" s="16" t="n"/>
    </row>
    <row r="64">
      <c r="B64" s="41" t="inlineStr">
        <is>
          <t>控股股东高比例质押</t>
        </is>
      </c>
      <c r="C64" s="18" t="inlineStr">
        <is>
          <t>没有</t>
        </is>
      </c>
      <c r="D64" s="16" t="inlineStr">
        <is>
          <t>控股股东没有质押</t>
        </is>
      </c>
      <c r="E64" s="16" t="n"/>
      <c r="F64" s="16" t="n"/>
      <c r="G64" s="16" t="n"/>
      <c r="H64" s="16" t="n"/>
      <c r="I64" s="16" t="n"/>
    </row>
    <row r="65">
      <c r="B65" s="41" t="inlineStr">
        <is>
          <t>财报延期或更正</t>
        </is>
      </c>
      <c r="C65" s="18" t="inlineStr">
        <is>
          <t>没有</t>
        </is>
      </c>
      <c r="D65" s="16" t="inlineStr"/>
      <c r="E65" s="16" t="n"/>
      <c r="F65" s="16" t="n"/>
      <c r="G65" s="16" t="n"/>
      <c r="H65" s="16" t="n"/>
      <c r="I65" s="16" t="n"/>
    </row>
    <row r="66">
      <c r="B66" s="41" t="inlineStr">
        <is>
          <t>核心高管频繁离职</t>
        </is>
      </c>
      <c r="C66" s="18" t="inlineStr">
        <is>
          <t>不清楚</t>
        </is>
      </c>
      <c r="D66" s="16" t="inlineStr">
        <is>
          <t>财务总监两年换过一次，原因没披露</t>
        </is>
      </c>
      <c r="E66" s="16" t="n"/>
      <c r="F66" s="16" t="n"/>
      <c r="G66" s="16" t="n"/>
      <c r="H66" s="16" t="n"/>
      <c r="I66" s="16" t="n"/>
    </row>
    <row r="67">
      <c r="B67" s="15" t="inlineStr">
        <is>
          <t>「有」的条数</t>
        </is>
      </c>
      <c r="C67" s="44">
        <f>COUNTIF(C61:C66,"有")</f>
        <v>0</v>
      </c>
    </row>
  </sheetData>
  <mergeCells count="59">
    <mergeCell ref="G38:I38"/>
    <mergeCell ref="E50:I50"/>
    <mergeCell ref="F29:G29"/>
    <mergeCell ref="H29:I29"/>
    <mergeCell ref="G37:I37"/>
    <mergeCell ref="E55:I55"/>
    <mergeCell ref="F25:G25"/>
    <mergeCell ref="D61:I61"/>
    <mergeCell ref="E52:I52"/>
    <mergeCell ref="E18:I20"/>
    <mergeCell ref="G34:I34"/>
    <mergeCell ref="D66:I66"/>
    <mergeCell ref="E48:I48"/>
    <mergeCell ref="G33:I33"/>
    <mergeCell ref="H25:I25"/>
    <mergeCell ref="A2:I2"/>
    <mergeCell ref="F30:G30"/>
    <mergeCell ref="D37:F37"/>
    <mergeCell ref="D62:I62"/>
    <mergeCell ref="D27:E27"/>
    <mergeCell ref="G35:I35"/>
    <mergeCell ref="D58:I58"/>
    <mergeCell ref="D39:F39"/>
    <mergeCell ref="F26:G26"/>
    <mergeCell ref="E47:I47"/>
    <mergeCell ref="D33:F33"/>
    <mergeCell ref="G1:I1"/>
    <mergeCell ref="D64:I64"/>
    <mergeCell ref="D38:F38"/>
    <mergeCell ref="E46:I46"/>
    <mergeCell ref="F24:I24"/>
    <mergeCell ref="D35:F35"/>
    <mergeCell ref="D28:E28"/>
    <mergeCell ref="E49:I49"/>
    <mergeCell ref="F28:G28"/>
    <mergeCell ref="E45:I45"/>
    <mergeCell ref="H28:I28"/>
    <mergeCell ref="D60:I60"/>
    <mergeCell ref="F27:G27"/>
    <mergeCell ref="H27:I27"/>
    <mergeCell ref="D34:F34"/>
    <mergeCell ref="D25:E25"/>
    <mergeCell ref="D63:I63"/>
    <mergeCell ref="E57:I57"/>
    <mergeCell ref="G36:I36"/>
    <mergeCell ref="D30:E30"/>
    <mergeCell ref="E54:I54"/>
    <mergeCell ref="A1:F1"/>
    <mergeCell ref="D29:E29"/>
    <mergeCell ref="D40:I40"/>
    <mergeCell ref="G39:I39"/>
    <mergeCell ref="D36:F36"/>
    <mergeCell ref="D65:I65"/>
    <mergeCell ref="B5:I5"/>
    <mergeCell ref="E53:I53"/>
    <mergeCell ref="D26:E26"/>
    <mergeCell ref="H30:I30"/>
    <mergeCell ref="E56:I56"/>
    <mergeCell ref="H26:I26"/>
  </mergeCells>
  <conditionalFormatting sqref="D19">
    <cfRule type="cellIs" priority="1" operator="equal" dxfId="1">
      <formula>"依赖单一客户"</formula>
    </cfRule>
  </conditionalFormatting>
  <conditionalFormatting sqref="C34:C39">
    <cfRule type="cellIs" priority="2" operator="equal" dxfId="3">
      <formula>"有"</formula>
    </cfRule>
  </conditionalFormatting>
  <conditionalFormatting sqref="C61:C66">
    <cfRule type="cellIs" priority="3" operator="equal" dxfId="1">
      <formula>"有"</formula>
    </cfRule>
  </conditionalFormatting>
  <dataValidations count="6">
    <dataValidation sqref="G9:G14" showDropDown="0" showInputMessage="0" showErrorMessage="1" allowBlank="1" errorTitle="不在选项里" error="请从下拉里选；要加新选项，先去参数页的下拉选项里加。" type="list" errorStyle="warning">
      <formula1>"一次性,复购,订阅,项目制,其他"</formula1>
    </dataValidation>
    <dataValidation sqref="G23" showDropDown="0" showInputMessage="0" showErrorMessage="1" allowBlank="1" errorTitle="不在选项里" error="请从下拉里选；要加新选项，先去参数页的下拉选项里加。" type="list" errorStyle="warning">
      <formula1>"导入期,成长期,成熟期,衰退期"</formula1>
    </dataValidation>
    <dataValidation sqref="C34:C39" showDropDown="0" showInputMessage="0" showErrorMessage="1" allowBlank="1" errorTitle="不在选项里" error="请从下拉里选；要加新选项，先去参数页的下拉选项里加。" type="list" errorStyle="stop">
      <formula1>"有,弱,没有,不清楚"</formula1>
    </dataValidation>
    <dataValidation sqref="E43" showDropDown="0" showInputMessage="0" showErrorMessage="1" allowBlank="1" errorTitle="不在选项里" error="请从下拉里选；要加新选项，先去参数页的下拉选项里加。" type="list" errorStyle="stop">
      <formula1>"没有,少量,大量,不清楚"</formula1>
    </dataValidation>
    <dataValidation sqref="D53:D57" showDropDown="0" showInputMessage="0" showErrorMessage="1" allowBlank="1" errorTitle="不在选项里" error="请从下拉里选；要加新选项，先去参数页的下拉选项里加。" type="list" errorStyle="stop">
      <formula1>"做到,部分做到,没做到,未到期"</formula1>
    </dataValidation>
    <dataValidation sqref="C61:C66" showDropDown="0" showInputMessage="0" showErrorMessage="1" allowBlank="1" errorTitle="不在选项里" error="请从下拉里选；要加新选项，先去参数页的下拉选项里加。" type="list" errorStyle="stop">
      <formula1>"有,没有,不清楚"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  <rowBreaks count="1" manualBreakCount="1">
    <brk id="41" min="0" max="16383" man="1"/>
  </rowBreaks>
</worksheet>
</file>

<file path=xl/worksheets/sheet10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I6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4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2" customWidth="1" min="8" max="8"/>
    <col width="50" customWidth="1" min="9" max="9"/>
  </cols>
  <sheetData>
    <row r="1" ht="30" customHeight="1">
      <c r="A1" s="13" t="inlineStr">
        <is>
          <t>示例 · 财务：五年摘要，比率和红旗自动算</t>
        </is>
      </c>
      <c r="G1" s="14" t="inlineStr">
        <is>
          <t>TradeLearn · XtradingTime 交易内训</t>
        </is>
      </c>
    </row>
    <row r="2" ht="20" customHeight="1">
      <c r="A2" s="66" t="inlineStr">
        <is>
          <t>虚构示例，仅演示填法：示例公司甲的财务数字全部编造，不对应任何真实公司。</t>
        </is>
      </c>
    </row>
    <row r="3">
      <c r="B3" s="15" t="inlineStr">
        <is>
          <t>货币与单位</t>
        </is>
      </c>
      <c r="C3" s="16" t="inlineStr">
        <is>
          <t>人民币 亿元</t>
        </is>
      </c>
      <c r="D3" s="16" t="n"/>
      <c r="E3" s="17" t="inlineStr">
        <is>
          <t>股本单位</t>
        </is>
      </c>
      <c r="F3" s="16" t="inlineStr">
        <is>
          <t>亿股</t>
        </is>
      </c>
      <c r="G3" s="23" t="inlineStr">
        <is>
          <t>金额和股本单位要配套：亿元配亿股，百万美元配百万股，每股数才对。</t>
        </is>
      </c>
      <c r="H3" s="23" t="n"/>
      <c r="I3" s="23" t="n"/>
    </row>
    <row r="4" ht="30" customHeight="1">
      <c r="B4" s="26" t="inlineStr">
        <is>
          <t>项目</t>
        </is>
      </c>
      <c r="C4" s="46" t="inlineStr">
        <is>
          <t>2021</t>
        </is>
      </c>
      <c r="D4" s="46" t="inlineStr">
        <is>
          <t>2022</t>
        </is>
      </c>
      <c r="E4" s="46" t="inlineStr">
        <is>
          <t>2023</t>
        </is>
      </c>
      <c r="F4" s="46" t="inlineStr">
        <is>
          <t>2024</t>
        </is>
      </c>
      <c r="G4" s="46" t="inlineStr">
        <is>
          <t>2025</t>
        </is>
      </c>
      <c r="H4" s="26" t="inlineStr">
        <is>
          <t>五年（复合增速或平均）</t>
        </is>
      </c>
      <c r="I4" s="26" t="inlineStr">
        <is>
          <t>口径与看什么</t>
        </is>
      </c>
    </row>
    <row r="5">
      <c r="B5" s="47" t="inlineStr">
        <is>
          <t>利润表</t>
        </is>
      </c>
      <c r="C5" s="47" t="n"/>
      <c r="D5" s="47" t="n"/>
      <c r="E5" s="47" t="n"/>
      <c r="F5" s="47" t="n"/>
      <c r="G5" s="47" t="n"/>
      <c r="H5" s="47" t="n"/>
      <c r="I5" s="47" t="n"/>
    </row>
    <row r="6">
      <c r="B6" s="41" t="inlineStr">
        <is>
          <t>营业收入</t>
        </is>
      </c>
      <c r="C6" s="37" t="n">
        <v>20</v>
      </c>
      <c r="D6" s="37" t="n">
        <v>23.1</v>
      </c>
      <c r="E6" s="37" t="n">
        <v>26.4</v>
      </c>
      <c r="F6" s="37" t="n">
        <v>29.9</v>
      </c>
      <c r="G6" s="37" t="n">
        <v>33.2</v>
      </c>
      <c r="H6" s="38">
        <f>IF(COUNT(C6:G6)&lt;2,"",IF(AND(N(C6)&gt;0,N(INDEX(C6:G6,COUNT(C6:G6)))&gt;0),(INDEX(C6:G6,COUNT(C6:G6))/C6)^(1/(COUNT(C6:G6)-1))-1,""))</f>
        <v>0.135081438784245</v>
      </c>
      <c r="I6" s="23" t="inlineStr"/>
    </row>
    <row r="7">
      <c r="B7" s="41" t="inlineStr">
        <is>
          <t>营业成本</t>
        </is>
      </c>
      <c r="C7" s="37" t="n">
        <v>11.6</v>
      </c>
      <c r="D7" s="37" t="n">
        <v>13.2</v>
      </c>
      <c r="E7" s="37" t="n">
        <v>15</v>
      </c>
      <c r="F7" s="37" t="n">
        <v>16.9</v>
      </c>
      <c r="G7" s="37" t="n">
        <v>18.6</v>
      </c>
      <c r="H7" s="38" t="n"/>
      <c r="I7" s="23" t="inlineStr"/>
    </row>
    <row r="8">
      <c r="B8" s="41" t="inlineStr">
        <is>
          <t>销售费用</t>
        </is>
      </c>
      <c r="C8" s="37" t="n">
        <v>3.2</v>
      </c>
      <c r="D8" s="37" t="n">
        <v>3.6</v>
      </c>
      <c r="E8" s="37" t="n">
        <v>4</v>
      </c>
      <c r="F8" s="37" t="n">
        <v>4.4</v>
      </c>
      <c r="G8" s="37" t="n">
        <v>4.8</v>
      </c>
      <c r="H8" s="38" t="n"/>
      <c r="I8" s="23" t="inlineStr"/>
    </row>
    <row r="9">
      <c r="B9" s="41" t="inlineStr">
        <is>
          <t>管理费用</t>
        </is>
      </c>
      <c r="C9" s="37" t="n">
        <v>1.3</v>
      </c>
      <c r="D9" s="37" t="n">
        <v>1.4</v>
      </c>
      <c r="E9" s="37" t="n">
        <v>1.5</v>
      </c>
      <c r="F9" s="37" t="n">
        <v>1.6</v>
      </c>
      <c r="G9" s="37" t="n">
        <v>1.7</v>
      </c>
      <c r="H9" s="38" t="n"/>
      <c r="I9" s="23" t="inlineStr"/>
    </row>
    <row r="10" ht="29.2" customHeight="1">
      <c r="B10" s="41" t="inlineStr">
        <is>
          <t>研发费用</t>
        </is>
      </c>
      <c r="C10" s="37" t="n">
        <v>0.8</v>
      </c>
      <c r="D10" s="37" t="n">
        <v>0.9</v>
      </c>
      <c r="E10" s="37" t="n">
        <v>1.1</v>
      </c>
      <c r="F10" s="37" t="n">
        <v>1.2</v>
      </c>
      <c r="G10" s="37" t="n">
        <v>1.4</v>
      </c>
      <c r="H10" s="38" t="n"/>
      <c r="I10" s="23" t="inlineStr">
        <is>
          <t>研发费用资本化多的公司，利润会好看一些，附注里看资本化比例。</t>
        </is>
      </c>
    </row>
    <row r="11">
      <c r="B11" s="41" t="inlineStr">
        <is>
          <t>财务费用（利息收入多时是负数）</t>
        </is>
      </c>
      <c r="C11" s="37" t="n">
        <v>0.05</v>
      </c>
      <c r="D11" s="37" t="n">
        <v>0.02</v>
      </c>
      <c r="E11" s="37" t="n">
        <v>-0.05</v>
      </c>
      <c r="F11" s="37" t="n">
        <v>-0.1</v>
      </c>
      <c r="G11" s="37" t="n">
        <v>-0.15</v>
      </c>
      <c r="H11" s="38" t="n"/>
      <c r="I11" s="23" t="inlineStr"/>
    </row>
    <row r="12">
      <c r="B12" s="41" t="inlineStr">
        <is>
          <t>营业利润</t>
        </is>
      </c>
      <c r="C12" s="37" t="n">
        <v>3.1</v>
      </c>
      <c r="D12" s="37" t="n">
        <v>3.7</v>
      </c>
      <c r="E12" s="37" t="n">
        <v>4.5</v>
      </c>
      <c r="F12" s="37" t="n">
        <v>5.2</v>
      </c>
      <c r="G12" s="37" t="n">
        <v>6</v>
      </c>
      <c r="H12" s="38">
        <f>IF(COUNT(C12:G12)&lt;2,"",IF(AND(N(C12)&gt;0,N(INDEX(C12:G12,COUNT(C12:G12)))&gt;0),(INDEX(C12:G12,COUNT(C12:G12))/C12)^(1/(COUNT(C12:G12)-1))-1,""))</f>
        <v>0.179498489732185</v>
      </c>
      <c r="I12" s="23" t="inlineStr"/>
    </row>
    <row r="13" ht="16.6" customHeight="1">
      <c r="B13" s="41" t="inlineStr">
        <is>
          <t>归母净利润</t>
        </is>
      </c>
      <c r="C13" s="37" t="n">
        <v>2.6</v>
      </c>
      <c r="D13" s="37" t="n">
        <v>3.1</v>
      </c>
      <c r="E13" s="37" t="n">
        <v>3.8</v>
      </c>
      <c r="F13" s="37" t="n">
        <v>4.4</v>
      </c>
      <c r="G13" s="37" t="n">
        <v>5.1</v>
      </c>
      <c r="H13" s="38">
        <f>IF(COUNT(C13:G13)&lt;2,"",IF(AND(N(C13)&gt;0,N(INDEX(C13:G13,COUNT(C13:G13)))&gt;0),(INDEX(C13:G13,COUNT(C13:G13))/C13)^(1/(COUNT(C13:G13)-1))-1,""))</f>
        <v>0.183448073542637</v>
      </c>
      <c r="I13" s="23" t="inlineStr">
        <is>
          <t>A股看合并报表「归属于母公司股东的净利润」。</t>
        </is>
      </c>
    </row>
    <row r="14" ht="29.2" customHeight="1">
      <c r="B14" s="41" t="inlineStr">
        <is>
          <t>扣非归母净利润</t>
        </is>
      </c>
      <c r="C14" s="37" t="n">
        <v>2.4</v>
      </c>
      <c r="D14" s="37" t="n">
        <v>2.9</v>
      </c>
      <c r="E14" s="37" t="n">
        <v>3.6</v>
      </c>
      <c r="F14" s="37" t="n">
        <v>4.1</v>
      </c>
      <c r="G14" s="37" t="n">
        <v>4.8</v>
      </c>
      <c r="H14" s="38">
        <f>IF(COUNT(C14:G14)&lt;2,"",IF(AND(N(C14)&gt;0,N(INDEX(C14:G14,COUNT(C14:G14)))&gt;0),(INDEX(C14:G14,COUNT(C14:G14))/C14)^(1/(COUNT(C14:G14)-1))-1,""))</f>
        <v>0.189207115002721</v>
      </c>
      <c r="I14" s="23" t="inlineStr">
        <is>
          <t>A股年报直接有。美股没有这一行，可以填公司的调整后利润，但要知道那是公司自己的口径。</t>
        </is>
      </c>
    </row>
    <row r="15">
      <c r="B15" s="47" t="inlineStr">
        <is>
          <t>资产负债表（年末）</t>
        </is>
      </c>
      <c r="C15" s="47" t="n"/>
      <c r="D15" s="47" t="n"/>
      <c r="E15" s="47" t="n"/>
      <c r="F15" s="47" t="n"/>
      <c r="G15" s="47" t="n"/>
      <c r="H15" s="47" t="n"/>
      <c r="I15" s="47" t="n"/>
    </row>
    <row r="16">
      <c r="B16" s="41" t="inlineStr">
        <is>
          <t>总资产</t>
        </is>
      </c>
      <c r="C16" s="37" t="n">
        <v>30</v>
      </c>
      <c r="D16" s="37" t="n">
        <v>33</v>
      </c>
      <c r="E16" s="37" t="n">
        <v>37</v>
      </c>
      <c r="F16" s="37" t="n">
        <v>41</v>
      </c>
      <c r="G16" s="37" t="n">
        <v>45</v>
      </c>
      <c r="H16" s="38" t="n"/>
      <c r="I16" s="23" t="inlineStr"/>
    </row>
    <row r="17">
      <c r="B17" s="41" t="inlineStr">
        <is>
          <t>总负债</t>
        </is>
      </c>
      <c r="C17" s="37" t="n">
        <v>11</v>
      </c>
      <c r="D17" s="37" t="n">
        <v>11.9</v>
      </c>
      <c r="E17" s="37" t="n">
        <v>13.6</v>
      </c>
      <c r="F17" s="37" t="n">
        <v>14.6</v>
      </c>
      <c r="G17" s="37" t="n">
        <v>15.6</v>
      </c>
      <c r="H17" s="38" t="n"/>
      <c r="I17" s="23" t="inlineStr"/>
    </row>
    <row r="18">
      <c r="B18" s="41" t="inlineStr">
        <is>
          <t>归母股东权益</t>
        </is>
      </c>
      <c r="C18" s="37" t="n">
        <v>19</v>
      </c>
      <c r="D18" s="37" t="n">
        <v>21.1</v>
      </c>
      <c r="E18" s="37" t="n">
        <v>23.4</v>
      </c>
      <c r="F18" s="37" t="n">
        <v>26.4</v>
      </c>
      <c r="G18" s="37" t="n">
        <v>29.4</v>
      </c>
      <c r="H18" s="38" t="n"/>
      <c r="I18" s="23" t="inlineStr"/>
    </row>
    <row r="19">
      <c r="B19" s="41" t="inlineStr">
        <is>
          <t>货币资金（含短期理财）</t>
        </is>
      </c>
      <c r="C19" s="37" t="n">
        <v>7.5</v>
      </c>
      <c r="D19" s="37" t="n">
        <v>8.4</v>
      </c>
      <c r="E19" s="37" t="n">
        <v>9.4</v>
      </c>
      <c r="F19" s="37" t="n">
        <v>9.6</v>
      </c>
      <c r="G19" s="37" t="n">
        <v>10.7</v>
      </c>
      <c r="H19" s="38" t="n"/>
      <c r="I19" s="23" t="inlineStr"/>
    </row>
    <row r="20" ht="29.2" customHeight="1">
      <c r="B20" s="41" t="inlineStr">
        <is>
          <t>有息负债（借款、债券、租赁负债）</t>
        </is>
      </c>
      <c r="C20" s="37" t="n">
        <v>2.5</v>
      </c>
      <c r="D20" s="37" t="n">
        <v>2.2</v>
      </c>
      <c r="E20" s="37" t="n">
        <v>2</v>
      </c>
      <c r="F20" s="37" t="n">
        <v>1.8</v>
      </c>
      <c r="G20" s="37" t="n">
        <v>1.5</v>
      </c>
      <c r="H20" s="38" t="n"/>
      <c r="I20" s="23" t="inlineStr">
        <is>
          <t>短期借款、长期借款、应付债券、一年内到期的非流动负债、租赁负债加起来。</t>
        </is>
      </c>
    </row>
    <row r="21">
      <c r="B21" s="41" t="inlineStr">
        <is>
          <t>应收账款及票据</t>
        </is>
      </c>
      <c r="C21" s="37" t="n">
        <v>3</v>
      </c>
      <c r="D21" s="37" t="n">
        <v>3.6</v>
      </c>
      <c r="E21" s="37" t="n">
        <v>4.3</v>
      </c>
      <c r="F21" s="37" t="n">
        <v>5.1</v>
      </c>
      <c r="G21" s="37" t="n">
        <v>6</v>
      </c>
      <c r="H21" s="38" t="n"/>
      <c r="I21" s="23" t="inlineStr"/>
    </row>
    <row r="22">
      <c r="B22" s="41" t="inlineStr">
        <is>
          <t>存货</t>
        </is>
      </c>
      <c r="C22" s="37" t="n">
        <v>2.2</v>
      </c>
      <c r="D22" s="37" t="n">
        <v>2.5</v>
      </c>
      <c r="E22" s="37" t="n">
        <v>2.8</v>
      </c>
      <c r="F22" s="37" t="n">
        <v>3.1</v>
      </c>
      <c r="G22" s="37" t="n">
        <v>3.4</v>
      </c>
      <c r="H22" s="38" t="n"/>
      <c r="I22" s="23" t="inlineStr"/>
    </row>
    <row r="23">
      <c r="B23" s="41" t="inlineStr">
        <is>
          <t>商誉</t>
        </is>
      </c>
      <c r="C23" s="37" t="n">
        <v>0</v>
      </c>
      <c r="D23" s="37" t="n">
        <v>0</v>
      </c>
      <c r="E23" s="37" t="n">
        <v>0</v>
      </c>
      <c r="F23" s="37" t="n">
        <v>0.3</v>
      </c>
      <c r="G23" s="37" t="n">
        <v>0.3</v>
      </c>
      <c r="H23" s="38" t="n"/>
      <c r="I23" s="23" t="inlineStr"/>
    </row>
    <row r="24">
      <c r="B24" s="47" t="inlineStr">
        <is>
          <t>现金流量表</t>
        </is>
      </c>
      <c r="C24" s="47" t="n"/>
      <c r="D24" s="47" t="n"/>
      <c r="E24" s="47" t="n"/>
      <c r="F24" s="47" t="n"/>
      <c r="G24" s="47" t="n"/>
      <c r="H24" s="47" t="n"/>
      <c r="I24" s="47" t="n"/>
    </row>
    <row r="25">
      <c r="B25" s="41" t="inlineStr">
        <is>
          <t>经营活动现金流净额</t>
        </is>
      </c>
      <c r="C25" s="37" t="n">
        <v>2.9</v>
      </c>
      <c r="D25" s="37" t="n">
        <v>3.3</v>
      </c>
      <c r="E25" s="37" t="n">
        <v>3.9</v>
      </c>
      <c r="F25" s="37" t="n">
        <v>4.3</v>
      </c>
      <c r="G25" s="37" t="n">
        <v>4.9</v>
      </c>
      <c r="H25" s="38">
        <f>IF(COUNT(C25:G25)&lt;2,"",IF(AND(N(C25)&gt;0,N(INDEX(C25:G25,COUNT(C25:G25)))&gt;0),(INDEX(C25:G25,COUNT(C25:G25))/C25)^(1/(COUNT(C25:G25)-1))-1,""))</f>
        <v>0.140117260302362</v>
      </c>
      <c r="I25" s="23" t="inlineStr"/>
    </row>
    <row r="26">
      <c r="B26" s="41" t="inlineStr">
        <is>
          <t>资本开支（购建长期资产支付的现金）</t>
        </is>
      </c>
      <c r="C26" s="37" t="n">
        <v>1</v>
      </c>
      <c r="D26" s="37" t="n">
        <v>1.1</v>
      </c>
      <c r="E26" s="37" t="n">
        <v>1.2</v>
      </c>
      <c r="F26" s="37" t="n">
        <v>1.3</v>
      </c>
      <c r="G26" s="37" t="n">
        <v>1.4</v>
      </c>
      <c r="H26" s="38" t="n"/>
      <c r="I26" s="23" t="inlineStr"/>
    </row>
    <row r="27" ht="29.2" customHeight="1">
      <c r="B27" s="41" t="inlineStr">
        <is>
          <t>现金分红（当年实际支付）</t>
        </is>
      </c>
      <c r="C27" s="37" t="n">
        <v>0.8</v>
      </c>
      <c r="D27" s="37" t="n">
        <v>1</v>
      </c>
      <c r="E27" s="37" t="n">
        <v>1.2</v>
      </c>
      <c r="F27" s="37" t="n">
        <v>1.4</v>
      </c>
      <c r="G27" s="37" t="n">
        <v>1.6</v>
      </c>
      <c r="H27" s="38" t="n"/>
      <c r="I27" s="23" t="inlineStr">
        <is>
          <t>按当年实际付出去的算，和「每 10 股派多少」的口径会差一年。</t>
        </is>
      </c>
    </row>
    <row r="28">
      <c r="B28" s="41" t="inlineStr">
        <is>
          <t>回购金额</t>
        </is>
      </c>
      <c r="C28" s="37" t="n">
        <v>0</v>
      </c>
      <c r="D28" s="37" t="n">
        <v>0</v>
      </c>
      <c r="E28" s="37" t="n">
        <v>0.3</v>
      </c>
      <c r="F28" s="37" t="n">
        <v>0</v>
      </c>
      <c r="G28" s="37" t="n">
        <v>0.5</v>
      </c>
      <c r="H28" s="38" t="n"/>
      <c r="I28" s="23" t="inlineStr"/>
    </row>
    <row r="29">
      <c r="B29" s="47" t="inlineStr">
        <is>
          <t>股本与股价</t>
        </is>
      </c>
      <c r="C29" s="47" t="n"/>
      <c r="D29" s="47" t="n"/>
      <c r="E29" s="47" t="n"/>
      <c r="F29" s="47" t="n"/>
      <c r="G29" s="47" t="n"/>
      <c r="H29" s="47" t="n"/>
      <c r="I29" s="47" t="n"/>
    </row>
    <row r="30" ht="16.6" customHeight="1">
      <c r="B30" s="41" t="inlineStr">
        <is>
          <t>期末总股本</t>
        </is>
      </c>
      <c r="C30" s="48" t="n">
        <v>5</v>
      </c>
      <c r="D30" s="48" t="n">
        <v>5</v>
      </c>
      <c r="E30" s="48" t="n">
        <v>5</v>
      </c>
      <c r="F30" s="48" t="n">
        <v>5</v>
      </c>
      <c r="G30" s="48" t="n">
        <v>5</v>
      </c>
      <c r="H30" s="38" t="n"/>
      <c r="I30" s="23" t="inlineStr">
        <is>
          <t>有回购、增发、可转债的，注意股本变化。</t>
        </is>
      </c>
    </row>
    <row r="31">
      <c r="B31" s="41" t="inlineStr">
        <is>
          <t>年末股价（可选，用来算 PE、PB、股息率）</t>
        </is>
      </c>
      <c r="C31" s="48" t="n">
        <v>14.2</v>
      </c>
      <c r="D31" s="48" t="n">
        <v>12.6</v>
      </c>
      <c r="E31" s="48" t="n">
        <v>16.8</v>
      </c>
      <c r="F31" s="48" t="n">
        <v>15.5</v>
      </c>
      <c r="G31" s="48" t="n">
        <v>19.8</v>
      </c>
      <c r="H31" s="38" t="n"/>
      <c r="I31" s="23" t="inlineStr"/>
    </row>
    <row r="32">
      <c r="B32" s="47" t="inlineStr">
        <is>
          <t>比率（自动算）</t>
        </is>
      </c>
      <c r="C32" s="47" t="n"/>
      <c r="D32" s="47" t="n"/>
      <c r="E32" s="47" t="n"/>
      <c r="F32" s="47" t="n"/>
      <c r="G32" s="47" t="n"/>
      <c r="H32" s="47" t="n"/>
      <c r="I32" s="47" t="n"/>
    </row>
    <row r="33" ht="16.6" customHeight="1">
      <c r="B33" s="41" t="inlineStr">
        <is>
          <t>收入增速</t>
        </is>
      </c>
      <c r="C33" s="38" t="str">
        <f>""</f>
        <v/>
      </c>
      <c r="D33" s="38">
        <f>IF(AND(N(C6)&gt;0,ISNUMBER(D6)),D6/C6-1,"")</f>
        <v>0.155</v>
      </c>
      <c r="E33" s="38">
        <f>IF(AND(N(D6)&gt;0,ISNUMBER(E6)),E6/D6-1,"")</f>
        <v>0.142857142857143</v>
      </c>
      <c r="F33" s="38">
        <f>IF(AND(N(E6)&gt;0,ISNUMBER(F6)),F6/E6-1,"")</f>
        <v>0.132575757575758</v>
      </c>
      <c r="G33" s="38">
        <f>IF(AND(N(F6)&gt;0,ISNUMBER(G6)),G6/F6-1,"")</f>
        <v>0.110367892976589</v>
      </c>
      <c r="H33" s="38">
        <f>IF(COUNT(C33:G33)=0,"",AVERAGE(C33:G33))</f>
        <v>0.135200198352372</v>
      </c>
      <c r="I33" s="23" t="inlineStr">
        <is>
          <t>和行业增速比；连续几年快过行业，才说明在抢份额。</t>
        </is>
      </c>
    </row>
    <row r="34" ht="16.6" customHeight="1">
      <c r="B34" s="41" t="inlineStr">
        <is>
          <t>毛利率</t>
        </is>
      </c>
      <c r="C34" s="38">
        <f>IF(AND(N(C6)&gt;0,ISNUMBER(C7)),(C6-C7)/C6,"")</f>
        <v>0.42</v>
      </c>
      <c r="D34" s="38">
        <f>IF(AND(N(D6)&gt;0,ISNUMBER(D7)),(D6-D7)/D6,"")</f>
        <v>0.428571428571429</v>
      </c>
      <c r="E34" s="38">
        <f>IF(AND(N(E6)&gt;0,ISNUMBER(E7)),(E6-E7)/E6,"")</f>
        <v>0.431818181818182</v>
      </c>
      <c r="F34" s="38">
        <f>IF(AND(N(F6)&gt;0,ISNUMBER(F7)),(F6-F7)/F6,"")</f>
        <v>0.434782608695652</v>
      </c>
      <c r="G34" s="38">
        <f>IF(AND(N(G6)&gt;0,ISNUMBER(G7)),(G6-G7)/G6,"")</f>
        <v>0.439759036144578</v>
      </c>
      <c r="H34" s="38">
        <f>IF(COUNT(C34:G34)=0,"",AVERAGE(C34:G34))</f>
        <v>0.430986251045968</v>
      </c>
      <c r="I34" s="23" t="inlineStr">
        <is>
          <t>毛利率稳或慢慢升，说明有定价权；突然大跳要找原因。</t>
        </is>
      </c>
    </row>
    <row r="35">
      <c r="B35" s="41" t="inlineStr">
        <is>
          <t>四项费用率（销售+管理+研发+财务）</t>
        </is>
      </c>
      <c r="C35" s="38">
        <f>IF(AND(N(C6)&gt;0,COUNT(C8:C11)&gt;0),SUM(C8:C11)/C6,"")</f>
        <v>0.2675</v>
      </c>
      <c r="D35" s="38">
        <f>IF(AND(N(D6)&gt;0,COUNT(D8:D11)&gt;0),SUM(D8:D11)/D6,"")</f>
        <v>0.256277056277056</v>
      </c>
      <c r="E35" s="38">
        <f>IF(AND(N(E6)&gt;0,COUNT(E8:E11)&gt;0),SUM(E8:E11)/E6,"")</f>
        <v>0.248106060606061</v>
      </c>
      <c r="F35" s="38">
        <f>IF(AND(N(F6)&gt;0,COUNT(F8:F11)&gt;0),SUM(F8:F11)/F6,"")</f>
        <v>0.237458193979933</v>
      </c>
      <c r="G35" s="38">
        <f>IF(AND(N(G6)&gt;0,COUNT(G8:G11)&gt;0),SUM(G8:G11)/G6,"")</f>
        <v>0.233433734939759</v>
      </c>
      <c r="H35" s="38">
        <f>IF(COUNT(C35:G35)=0,"",AVERAGE(C35:G35))</f>
        <v>0.248555009160562</v>
      </c>
      <c r="I35" s="23" t="inlineStr"/>
    </row>
    <row r="36">
      <c r="B36" s="41" t="inlineStr">
        <is>
          <t>研发费用率</t>
        </is>
      </c>
      <c r="C36" s="38">
        <f>IF(AND(N(C6)&gt;0,ISNUMBER(C10)),C10/C6,"")</f>
        <v>0.04</v>
      </c>
      <c r="D36" s="38">
        <f>IF(AND(N(D6)&gt;0,ISNUMBER(D10)),D10/D6,"")</f>
        <v>0.038961038961039</v>
      </c>
      <c r="E36" s="38">
        <f>IF(AND(N(E6)&gt;0,ISNUMBER(E10)),E10/E6,"")</f>
        <v>0.0416666666666667</v>
      </c>
      <c r="F36" s="38">
        <f>IF(AND(N(F6)&gt;0,ISNUMBER(F10)),F10/F6,"")</f>
        <v>0.0401337792642141</v>
      </c>
      <c r="G36" s="38">
        <f>IF(AND(N(G6)&gt;0,ISNUMBER(G10)),G10/G6,"")</f>
        <v>0.0421686746987952</v>
      </c>
      <c r="H36" s="38">
        <f>IF(COUNT(C36:G36)=0,"",AVERAGE(C36:G36))</f>
        <v>0.040586031918143</v>
      </c>
      <c r="I36" s="23" t="inlineStr"/>
    </row>
    <row r="37">
      <c r="B37" s="41" t="inlineStr">
        <is>
          <t>净利率（归母）</t>
        </is>
      </c>
      <c r="C37" s="38">
        <f>IF(AND(N(C6)&gt;0,ISNUMBER(C13)),C13/C6,"")</f>
        <v>0.13</v>
      </c>
      <c r="D37" s="38">
        <f>IF(AND(N(D6)&gt;0,ISNUMBER(D13)),D13/D6,"")</f>
        <v>0.134199134199134</v>
      </c>
      <c r="E37" s="38">
        <f>IF(AND(N(E6)&gt;0,ISNUMBER(E13)),E13/E6,"")</f>
        <v>0.143939393939394</v>
      </c>
      <c r="F37" s="38">
        <f>IF(AND(N(F6)&gt;0,ISNUMBER(F13)),F13/F6,"")</f>
        <v>0.147157190635452</v>
      </c>
      <c r="G37" s="38">
        <f>IF(AND(N(G6)&gt;0,ISNUMBER(G13)),G13/G6,"")</f>
        <v>0.153614457831325</v>
      </c>
      <c r="H37" s="38">
        <f>IF(COUNT(C37:G37)=0,"",AVERAGE(C37:G37))</f>
        <v>0.141782035321061</v>
      </c>
      <c r="I37" s="23" t="inlineStr"/>
    </row>
    <row r="38" ht="16.6" customHeight="1">
      <c r="B38" s="41" t="inlineStr">
        <is>
          <t>扣非占归母净利</t>
        </is>
      </c>
      <c r="C38" s="38">
        <f>IF(AND(N(C13)&gt;0,ISNUMBER(C14)),C14/C13,"")</f>
        <v>0.923076923076923</v>
      </c>
      <c r="D38" s="38">
        <f>IF(AND(N(D13)&gt;0,ISNUMBER(D14)),D14/D13,"")</f>
        <v>0.935483870967742</v>
      </c>
      <c r="E38" s="38">
        <f>IF(AND(N(E13)&gt;0,ISNUMBER(E14)),E14/E13,"")</f>
        <v>0.947368421052632</v>
      </c>
      <c r="F38" s="38">
        <f>IF(AND(N(F13)&gt;0,ISNUMBER(F14)),F14/F13,"")</f>
        <v>0.931818181818182</v>
      </c>
      <c r="G38" s="38">
        <f>IF(AND(N(G13)&gt;0,ISNUMBER(G14)),G14/G13,"")</f>
        <v>0.941176470588235</v>
      </c>
      <c r="H38" s="38">
        <f>IF(COUNT(C38:G38)=0,"",AVERAGE(C38:G38))</f>
        <v>0.935784773500743</v>
      </c>
      <c r="I38" s="23" t="inlineStr">
        <is>
          <t>低于八成，说明利润里有一块不是主业赚的。</t>
        </is>
      </c>
    </row>
    <row r="39" ht="29.2" customHeight="1">
      <c r="B39" s="41" t="inlineStr">
        <is>
          <t>ROE（归母净利 ÷ 平均归母权益）</t>
        </is>
      </c>
      <c r="C39" s="38">
        <f>IF(AND(ISNUMBER(C13),N(C18)&gt;0),C13/C18,"")</f>
        <v>0.136842105263158</v>
      </c>
      <c r="D39" s="38">
        <f>IF(AND(ISNUMBER(D13),N(D18)&gt;0),D13/IF(ISNUMBER(C18),(C18+D18)/2,D18),"")</f>
        <v>0.154613466334165</v>
      </c>
      <c r="E39" s="38">
        <f>IF(AND(ISNUMBER(E13),N(E18)&gt;0),E13/IF(ISNUMBER(D18),(D18+E18)/2,E18),"")</f>
        <v>0.170786516853933</v>
      </c>
      <c r="F39" s="38">
        <f>IF(AND(ISNUMBER(F13),N(F18)&gt;0),F13/IF(ISNUMBER(E18),(E18+F18)/2,F18),"")</f>
        <v>0.176706827309237</v>
      </c>
      <c r="G39" s="38">
        <f>IF(AND(ISNUMBER(G13),N(G18)&gt;0),G13/IF(ISNUMBER(F18),(F18+G18)/2,G18),"")</f>
        <v>0.182795698924731</v>
      </c>
      <c r="H39" s="38">
        <f>IF(COUNT(C39:G39)=0,"",AVERAGE(C39:G39))</f>
        <v>0.164348922937045</v>
      </c>
      <c r="I39" s="23" t="inlineStr">
        <is>
          <t>第一年没有期初数，用期末权益算。高 ROE 先拆：净利率、周转、杠杆，靠借钱撑起来的要打折看。</t>
        </is>
      </c>
    </row>
    <row r="40">
      <c r="B40" s="41" t="inlineStr">
        <is>
          <t>资产负债率</t>
        </is>
      </c>
      <c r="C40" s="38">
        <f>IF(AND(N(C16)&gt;0,ISNUMBER(C17)),C17/C16,"")</f>
        <v>0.366666666666667</v>
      </c>
      <c r="D40" s="38">
        <f>IF(AND(N(D16)&gt;0,ISNUMBER(D17)),D17/D16,"")</f>
        <v>0.360606060606061</v>
      </c>
      <c r="E40" s="38">
        <f>IF(AND(N(E16)&gt;0,ISNUMBER(E17)),E17/E16,"")</f>
        <v>0.367567567567568</v>
      </c>
      <c r="F40" s="38">
        <f>IF(AND(N(F16)&gt;0,ISNUMBER(F17)),F17/F16,"")</f>
        <v>0.35609756097561</v>
      </c>
      <c r="G40" s="38">
        <f>IF(AND(N(G16)&gt;0,ISNUMBER(G17)),G17/G16,"")</f>
        <v>0.346666666666667</v>
      </c>
      <c r="H40" s="38">
        <f>IF(COUNT(C40:G40)=0,"",AVERAGE(C40:G40))</f>
        <v>0.359520904496514</v>
      </c>
      <c r="I40" s="23" t="inlineStr"/>
    </row>
    <row r="41" ht="16.6" customHeight="1">
      <c r="B41" s="41" t="inlineStr">
        <is>
          <t>有息负债率（有息负债 ÷ 总资产）</t>
        </is>
      </c>
      <c r="C41" s="38">
        <f>IF(AND(N(C16)&gt;0,ISNUMBER(C20)),C20/C16,"")</f>
        <v>0.0833333333333333</v>
      </c>
      <c r="D41" s="38">
        <f>IF(AND(N(D16)&gt;0,ISNUMBER(D20)),D20/D16,"")</f>
        <v>0.0666666666666667</v>
      </c>
      <c r="E41" s="38">
        <f>IF(AND(N(E16)&gt;0,ISNUMBER(E20)),E20/E16,"")</f>
        <v>0.0540540540540541</v>
      </c>
      <c r="F41" s="38">
        <f>IF(AND(N(F16)&gt;0,ISNUMBER(F20)),F20/F16,"")</f>
        <v>0.0439024390243903</v>
      </c>
      <c r="G41" s="38">
        <f>IF(AND(N(G16)&gt;0,ISNUMBER(G20)),G20/G16,"")</f>
        <v>0.0333333333333333</v>
      </c>
      <c r="H41" s="38">
        <f>IF(COUNT(C41:G41)=0,"",AVERAGE(C41:G41))</f>
        <v>0.0562579652823555</v>
      </c>
      <c r="I41" s="23" t="inlineStr">
        <is>
          <t>比总负债率更能看出还款压力。</t>
        </is>
      </c>
    </row>
    <row r="42" ht="16.6" customHeight="1">
      <c r="B42" s="41" t="inlineStr">
        <is>
          <t>净现金（货币资金 − 有息负债）</t>
        </is>
      </c>
      <c r="C42" s="39">
        <f>IF(AND(ISNUMBER(C19),ISNUMBER(C20)),C19-C20,"")</f>
        <v>5</v>
      </c>
      <c r="D42" s="39">
        <f>IF(AND(ISNUMBER(D19),ISNUMBER(D20)),D19-D20,"")</f>
        <v>6.2</v>
      </c>
      <c r="E42" s="39">
        <f>IF(AND(ISNUMBER(E19),ISNUMBER(E20)),E19-E20,"")</f>
        <v>7.4</v>
      </c>
      <c r="F42" s="39">
        <f>IF(AND(ISNUMBER(F19),ISNUMBER(F20)),F19-F20,"")</f>
        <v>7.8</v>
      </c>
      <c r="G42" s="39">
        <f>IF(AND(ISNUMBER(G19),ISNUMBER(G20)),G19-G20,"")</f>
        <v>9.2</v>
      </c>
      <c r="H42" s="39">
        <f>IF(COUNT(C42:G42)=0,"",AVERAGE(C42:G42))</f>
        <v>7.12</v>
      </c>
      <c r="I42" s="23" t="inlineStr">
        <is>
          <t>正数说明账上的钱比要还的债多。</t>
        </is>
      </c>
    </row>
    <row r="43" ht="29.2" customHeight="1">
      <c r="B43" s="41" t="inlineStr">
        <is>
          <t>收现比（经营现金流 ÷ 归母净利）</t>
        </is>
      </c>
      <c r="C43" s="49">
        <f>IF(AND(N(C13)&gt;0,ISNUMBER(C25)),C25/C13,"")</f>
        <v>1.11538461538462</v>
      </c>
      <c r="D43" s="49">
        <f>IF(AND(N(D13)&gt;0,ISNUMBER(D25)),D25/D13,"")</f>
        <v>1.06451612903226</v>
      </c>
      <c r="E43" s="49">
        <f>IF(AND(N(E13)&gt;0,ISNUMBER(E25)),E25/E13,"")</f>
        <v>1.02631578947368</v>
      </c>
      <c r="F43" s="49">
        <f>IF(AND(N(F13)&gt;0,ISNUMBER(F25)),F25/F13,"")</f>
        <v>0.977272727272727</v>
      </c>
      <c r="G43" s="49">
        <f>IF(AND(N(G13)&gt;0,ISNUMBER(G25)),G25/G13,"")</f>
        <v>0.96078431372549</v>
      </c>
      <c r="H43" s="49">
        <f>IF(COUNT(C43:G43)=0,"",AVERAGE(C43:G43))</f>
        <v>1.02885471497776</v>
      </c>
      <c r="I43" s="23" t="inlineStr">
        <is>
          <t>长期在 1 以上说明利润收得回现金；连续低于 0.8，去看应收和存货。</t>
        </is>
      </c>
    </row>
    <row r="44" ht="16.6" customHeight="1">
      <c r="B44" s="41" t="inlineStr">
        <is>
          <t>自由现金流（经营现金流 − 资本开支）</t>
        </is>
      </c>
      <c r="C44" s="39">
        <f>IF(AND(ISNUMBER(C25),ISNUMBER(C26)),C25-C26,"")</f>
        <v>1.9</v>
      </c>
      <c r="D44" s="39">
        <f>IF(AND(ISNUMBER(D25),ISNUMBER(D26)),D25-D26,"")</f>
        <v>2.2</v>
      </c>
      <c r="E44" s="39">
        <f>IF(AND(ISNUMBER(E25),ISNUMBER(E26)),E25-E26,"")</f>
        <v>2.7</v>
      </c>
      <c r="F44" s="39">
        <f>IF(AND(ISNUMBER(F25),ISNUMBER(F26)),F25-F26,"")</f>
        <v>3</v>
      </c>
      <c r="G44" s="39">
        <f>IF(AND(ISNUMBER(G25),ISNUMBER(G26)),G25-G26,"")</f>
        <v>3.5</v>
      </c>
      <c r="H44" s="39">
        <f>IF(COUNT(C44:G44)=0,"",SUM(C44:G44))</f>
        <v>13.3</v>
      </c>
      <c r="I44" s="23" t="inlineStr">
        <is>
          <t>估值页的基期现金流从这一行选。右边是五年合计。</t>
        </is>
      </c>
    </row>
    <row r="45">
      <c r="B45" s="41" t="inlineStr">
        <is>
          <t>自由现金流率（÷ 营业收入）</t>
        </is>
      </c>
      <c r="C45" s="38">
        <f>IF(AND(N(C6)&gt;0,ISNUMBER(C44)),C44/C6,"")</f>
        <v>0.095</v>
      </c>
      <c r="D45" s="38">
        <f>IF(AND(N(D6)&gt;0,ISNUMBER(D44)),D44/D6,"")</f>
        <v>0.0952380952380952</v>
      </c>
      <c r="E45" s="38">
        <f>IF(AND(N(E6)&gt;0,ISNUMBER(E44)),E44/E6,"")</f>
        <v>0.102272727272727</v>
      </c>
      <c r="F45" s="38">
        <f>IF(AND(N(F6)&gt;0,ISNUMBER(F44)),F44/F6,"")</f>
        <v>0.100334448160535</v>
      </c>
      <c r="G45" s="38">
        <f>IF(AND(N(G6)&gt;0,ISNUMBER(G44)),G44/G6,"")</f>
        <v>0.105421686746988</v>
      </c>
      <c r="H45" s="38">
        <f>IF(COUNT(C45:G45)=0,"",AVERAGE(C45:G45))</f>
        <v>0.0996533914836691</v>
      </c>
      <c r="I45" s="23" t="inlineStr"/>
    </row>
    <row r="46">
      <c r="B46" s="41" t="inlineStr">
        <is>
          <t>自由现金流 ÷ 归母净利</t>
        </is>
      </c>
      <c r="C46" s="49">
        <f>IF(AND(N(C13)&gt;0,ISNUMBER(C44)),C44/C13,"")</f>
        <v>0.730769230769231</v>
      </c>
      <c r="D46" s="49">
        <f>IF(AND(N(D13)&gt;0,ISNUMBER(D44)),D44/D13,"")</f>
        <v>0.709677419354839</v>
      </c>
      <c r="E46" s="49">
        <f>IF(AND(N(E13)&gt;0,ISNUMBER(E44)),E44/E13,"")</f>
        <v>0.710526315789474</v>
      </c>
      <c r="F46" s="49">
        <f>IF(AND(N(F13)&gt;0,ISNUMBER(F44)),F44/F13,"")</f>
        <v>0.681818181818182</v>
      </c>
      <c r="G46" s="49">
        <f>IF(AND(N(G13)&gt;0,ISNUMBER(G44)),G44/G13,"")</f>
        <v>0.686274509803922</v>
      </c>
      <c r="H46" s="49">
        <f>IF(COUNT(C46:G46)=0,"",AVERAGE(C46:G46))</f>
        <v>0.703813131507129</v>
      </c>
      <c r="I46" s="23" t="inlineStr"/>
    </row>
    <row r="47" ht="29.2" customHeight="1">
      <c r="B47" s="41" t="inlineStr">
        <is>
          <t>应收账款周转天数</t>
        </is>
      </c>
      <c r="C47" s="50">
        <f>IF(AND(N(C6)&gt;0,ISNUMBER(C21)),C21/C6*365,"")</f>
        <v>54.75</v>
      </c>
      <c r="D47" s="50">
        <f>IF(AND(N(D6)&gt;0,ISNUMBER(D21)),D21/D6*365,"")</f>
        <v>56.8831168831169</v>
      </c>
      <c r="E47" s="50">
        <f>IF(AND(N(E6)&gt;0,ISNUMBER(E21)),E21/E6*365,"")</f>
        <v>59.4507575757576</v>
      </c>
      <c r="F47" s="50">
        <f>IF(AND(N(F6)&gt;0,ISNUMBER(F21)),F21/F6*365,"")</f>
        <v>62.257525083612</v>
      </c>
      <c r="G47" s="50">
        <f>IF(AND(N(G6)&gt;0,ISNUMBER(G21)),G21/G6*365,"")</f>
        <v>65.9638554216867</v>
      </c>
      <c r="H47" s="50">
        <f>IF(COUNT(C47:G47)=0,"",AVERAGE(C47:G47))</f>
        <v>59.8610509928347</v>
      </c>
      <c r="I47" s="23" t="inlineStr">
        <is>
          <t>用年末余额简算。天数一年比一年长，要问是不是在放宽账期换收入。</t>
        </is>
      </c>
    </row>
    <row r="48">
      <c r="B48" s="41" t="inlineStr">
        <is>
          <t>存货周转天数</t>
        </is>
      </c>
      <c r="C48" s="50">
        <f>IF(AND(N(C7)&gt;0,ISNUMBER(C22)),C22/C7*365,"")</f>
        <v>69.2241379310345</v>
      </c>
      <c r="D48" s="50">
        <f>IF(AND(N(D7)&gt;0,ISNUMBER(D22)),D22/D7*365,"")</f>
        <v>69.1287878787879</v>
      </c>
      <c r="E48" s="50">
        <f>IF(AND(N(E7)&gt;0,ISNUMBER(E22)),E22/E7*365,"")</f>
        <v>68.1333333333333</v>
      </c>
      <c r="F48" s="50">
        <f>IF(AND(N(F7)&gt;0,ISNUMBER(F22)),F22/F7*365,"")</f>
        <v>66.9526627218935</v>
      </c>
      <c r="G48" s="50">
        <f>IF(AND(N(G7)&gt;0,ISNUMBER(G22)),G22/G7*365,"")</f>
        <v>66.7204301075269</v>
      </c>
      <c r="H48" s="50">
        <f>IF(COUNT(C48:G48)=0,"",AVERAGE(C48:G48))</f>
        <v>68.0318703945152</v>
      </c>
      <c r="I48" s="23" t="inlineStr"/>
    </row>
    <row r="49" ht="16.6" customHeight="1">
      <c r="B49" s="41" t="inlineStr">
        <is>
          <t>商誉 ÷ 归母权益</t>
        </is>
      </c>
      <c r="C49" s="38">
        <f>IF(AND(N(C18)&gt;0,ISNUMBER(C23)),C23/C18,"")</f>
        <v>0</v>
      </c>
      <c r="D49" s="38">
        <f>IF(AND(N(D18)&gt;0,ISNUMBER(D23)),D23/D18,"")</f>
        <v>0</v>
      </c>
      <c r="E49" s="38">
        <f>IF(AND(N(E18)&gt;0,ISNUMBER(E23)),E23/E18,"")</f>
        <v>0</v>
      </c>
      <c r="F49" s="38">
        <f>IF(AND(N(F18)&gt;0,ISNUMBER(F23)),F23/F18,"")</f>
        <v>0.0113636363636364</v>
      </c>
      <c r="G49" s="38">
        <f>IF(AND(N(G18)&gt;0,ISNUMBER(G23)),G23/G18,"")</f>
        <v>0.0102040816326531</v>
      </c>
      <c r="H49" s="38">
        <f>IF(COUNT(C49:G49)=0,"",AVERAGE(C49:G49))</f>
        <v>0.00431354359925789</v>
      </c>
      <c r="I49" s="23" t="inlineStr">
        <is>
          <t>并购多的公司要看；商誉减值会一次性吃掉利润。</t>
        </is>
      </c>
    </row>
    <row r="50">
      <c r="B50" s="41" t="inlineStr">
        <is>
          <t>分红率（现金分红 ÷ 归母净利）</t>
        </is>
      </c>
      <c r="C50" s="38">
        <f>IF(AND(N(C13)&gt;0,ISNUMBER(C27)),C27/C13,"")</f>
        <v>0.307692307692308</v>
      </c>
      <c r="D50" s="38">
        <f>IF(AND(N(D13)&gt;0,ISNUMBER(D27)),D27/D13,"")</f>
        <v>0.32258064516129</v>
      </c>
      <c r="E50" s="38">
        <f>IF(AND(N(E13)&gt;0,ISNUMBER(E27)),E27/E13,"")</f>
        <v>0.315789473684211</v>
      </c>
      <c r="F50" s="38">
        <f>IF(AND(N(F13)&gt;0,ISNUMBER(F27)),F27/F13,"")</f>
        <v>0.318181818181818</v>
      </c>
      <c r="G50" s="38">
        <f>IF(AND(N(G13)&gt;0,ISNUMBER(G27)),G27/G13,"")</f>
        <v>0.313725490196079</v>
      </c>
      <c r="H50" s="38">
        <f>IF(COUNT(C50:G50)=0,"",AVERAGE(C50:G50))</f>
        <v>0.315593946983141</v>
      </c>
      <c r="I50" s="23" t="inlineStr"/>
    </row>
    <row r="51">
      <c r="B51" s="41" t="inlineStr">
        <is>
          <t>每股收益</t>
        </is>
      </c>
      <c r="C51" s="49">
        <f>IF(AND(N(C30)&gt;0,ISNUMBER(C13)),C13/C30,"")</f>
        <v>0.52</v>
      </c>
      <c r="D51" s="49">
        <f>IF(AND(N(D30)&gt;0,ISNUMBER(D13)),D13/D30,"")</f>
        <v>0.62</v>
      </c>
      <c r="E51" s="49">
        <f>IF(AND(N(E30)&gt;0,ISNUMBER(E13)),E13/E30,"")</f>
        <v>0.76</v>
      </c>
      <c r="F51" s="49">
        <f>IF(AND(N(F30)&gt;0,ISNUMBER(F13)),F13/F30,"")</f>
        <v>0.88</v>
      </c>
      <c r="G51" s="49">
        <f>IF(AND(N(G30)&gt;0,ISNUMBER(G13)),G13/G30,"")</f>
        <v>1.02</v>
      </c>
      <c r="H51" s="38">
        <f>IF(COUNT(C51:G51)&lt;2,"",IF(AND(N(C51)&gt;0,N(INDEX(C51:G51,COUNT(C51:G51)))&gt;0),(INDEX(C51:G51,COUNT(C51:G51))/C51)^(1/(COUNT(C51:G51)-1))-1,""))</f>
        <v>0.183448073542637</v>
      </c>
      <c r="I51" s="23" t="inlineStr"/>
    </row>
    <row r="52">
      <c r="B52" s="41" t="inlineStr">
        <is>
          <t>每股净资产</t>
        </is>
      </c>
      <c r="C52" s="49">
        <f>IF(AND(N(C30)&gt;0,ISNUMBER(C18)),C18/C30,"")</f>
        <v>3.8</v>
      </c>
      <c r="D52" s="49">
        <f>IF(AND(N(D30)&gt;0,ISNUMBER(D18)),D18/D30,"")</f>
        <v>4.22</v>
      </c>
      <c r="E52" s="49">
        <f>IF(AND(N(E30)&gt;0,ISNUMBER(E18)),E18/E30,"")</f>
        <v>4.68</v>
      </c>
      <c r="F52" s="49">
        <f>IF(AND(N(F30)&gt;0,ISNUMBER(F18)),F18/F30,"")</f>
        <v>5.28</v>
      </c>
      <c r="G52" s="49">
        <f>IF(AND(N(G30)&gt;0,ISNUMBER(G18)),G18/G30,"")</f>
        <v>5.88</v>
      </c>
      <c r="H52" s="38">
        <f>IF(COUNT(C52:G52)&lt;2,"",IF(AND(N(C52)&gt;0,N(INDEX(C52:G52,COUNT(C52:G52)))&gt;0),(INDEX(C52:G52,COUNT(C52:G52))/C52)^(1/(COUNT(C52:G52)-1))-1,""))</f>
        <v>0.11531728368841</v>
      </c>
      <c r="I52" s="23" t="inlineStr"/>
    </row>
    <row r="53">
      <c r="B53" s="41" t="inlineStr">
        <is>
          <t>每股自由现金流</t>
        </is>
      </c>
      <c r="C53" s="49">
        <f>IF(AND(N(C30)&gt;0,ISNUMBER(C44)),C44/C30,"")</f>
        <v>0.38</v>
      </c>
      <c r="D53" s="49">
        <f>IF(AND(N(D30)&gt;0,ISNUMBER(D44)),D44/D30,"")</f>
        <v>0.44</v>
      </c>
      <c r="E53" s="49">
        <f>IF(AND(N(E30)&gt;0,ISNUMBER(E44)),E44/E30,"")</f>
        <v>0.54</v>
      </c>
      <c r="F53" s="49">
        <f>IF(AND(N(F30)&gt;0,ISNUMBER(F44)),F44/F30,"")</f>
        <v>0.6</v>
      </c>
      <c r="G53" s="49">
        <f>IF(AND(N(G30)&gt;0,ISNUMBER(G44)),G44/G30,"")</f>
        <v>0.7</v>
      </c>
      <c r="H53" s="49">
        <f>IF(COUNT(C53:G53)=0,"",AVERAGE(C53:G53))</f>
        <v>0.532</v>
      </c>
      <c r="I53" s="23" t="inlineStr"/>
    </row>
    <row r="54" ht="16.6" customHeight="1">
      <c r="B54" s="41" t="inlineStr">
        <is>
          <t>市盈率 PE（年末价）</t>
        </is>
      </c>
      <c r="C54" s="51">
        <f>IF(AND(N(C51)&gt;0,ISNUMBER(C31)),C31/C51,"")</f>
        <v>27.3076923076923</v>
      </c>
      <c r="D54" s="51">
        <f>IF(AND(N(D51)&gt;0,ISNUMBER(D31)),D31/D51,"")</f>
        <v>20.3225806451613</v>
      </c>
      <c r="E54" s="51">
        <f>IF(AND(N(E51)&gt;0,ISNUMBER(E31)),E31/E51,"")</f>
        <v>22.1052631578947</v>
      </c>
      <c r="F54" s="51">
        <f>IF(AND(N(F51)&gt;0,ISNUMBER(F31)),F31/F51,"")</f>
        <v>17.6136363636364</v>
      </c>
      <c r="G54" s="51">
        <f>IF(AND(N(G51)&gt;0,ISNUMBER(G31)),G31/G51,"")</f>
        <v>19.4117647058824</v>
      </c>
      <c r="H54" s="51">
        <f>IF(COUNT(C54:G54)=0,"",AVERAGE(C54:G54))</f>
        <v>21.3521874360534</v>
      </c>
      <c r="I54" s="23" t="inlineStr">
        <is>
          <t>只填了年末股价才有。</t>
        </is>
      </c>
    </row>
    <row r="55">
      <c r="B55" s="41" t="inlineStr">
        <is>
          <t>市净率 PB（年末价）</t>
        </is>
      </c>
      <c r="C55" s="49">
        <f>IF(AND(N(C52)&gt;0,ISNUMBER(C31)),C31/C52,"")</f>
        <v>3.73684210526316</v>
      </c>
      <c r="D55" s="49">
        <f>IF(AND(N(D52)&gt;0,ISNUMBER(D31)),D31/D52,"")</f>
        <v>2.98578199052133</v>
      </c>
      <c r="E55" s="49">
        <f>IF(AND(N(E52)&gt;0,ISNUMBER(E31)),E31/E52,"")</f>
        <v>3.58974358974359</v>
      </c>
      <c r="F55" s="49">
        <f>IF(AND(N(F52)&gt;0,ISNUMBER(F31)),F31/F52,"")</f>
        <v>2.93560606060606</v>
      </c>
      <c r="G55" s="49">
        <f>IF(AND(N(G52)&gt;0,ISNUMBER(G31)),G31/G52,"")</f>
        <v>3.36734693877551</v>
      </c>
      <c r="H55" s="49">
        <f>IF(COUNT(C55:G55)=0,"",AVERAGE(C55:G55))</f>
        <v>3.32306413698193</v>
      </c>
      <c r="I55" s="23" t="inlineStr"/>
    </row>
    <row r="56">
      <c r="B56" s="41" t="inlineStr">
        <is>
          <t>股息率（年末价）</t>
        </is>
      </c>
      <c r="C56" s="38">
        <f>IF(AND(N(C31)&gt;0,N(C30)&gt;0,ISNUMBER(C27)),C27/C30/C31,"")</f>
        <v>0.0112676056338028</v>
      </c>
      <c r="D56" s="38">
        <f>IF(AND(N(D31)&gt;0,N(D30)&gt;0,ISNUMBER(D27)),D27/D30/D31,"")</f>
        <v>0.0158730158730159</v>
      </c>
      <c r="E56" s="38">
        <f>IF(AND(N(E31)&gt;0,N(E30)&gt;0,ISNUMBER(E27)),E27/E30/E31,"")</f>
        <v>0.0142857142857143</v>
      </c>
      <c r="F56" s="38">
        <f>IF(AND(N(F31)&gt;0,N(F30)&gt;0,ISNUMBER(F27)),F27/F30/F31,"")</f>
        <v>0.0180645161290323</v>
      </c>
      <c r="G56" s="38">
        <f>IF(AND(N(G31)&gt;0,N(G30)&gt;0,ISNUMBER(G27)),G27/G30/G31,"")</f>
        <v>0.0161616161616162</v>
      </c>
      <c r="H56" s="38">
        <f>IF(COUNT(C56:G56)=0,"",AVERAGE(C56:G56))</f>
        <v>0.0151304936166363</v>
      </c>
      <c r="I56" s="23" t="inlineStr"/>
    </row>
    <row r="58">
      <c r="B58" s="25" t="inlineStr">
        <is>
          <t>财报红旗（自动查；阈值可以改）</t>
        </is>
      </c>
    </row>
    <row r="59">
      <c r="B59" s="26" t="inlineStr">
        <is>
          <t>检查</t>
        </is>
      </c>
      <c r="C59" s="26" t="inlineStr">
        <is>
          <t>阈值</t>
        </is>
      </c>
      <c r="D59" s="26" t="inlineStr">
        <is>
          <t>最近一年</t>
        </is>
      </c>
      <c r="E59" s="26" t="inlineStr">
        <is>
          <t>结果</t>
        </is>
      </c>
      <c r="F59" s="26" t="inlineStr">
        <is>
          <t>说明</t>
        </is>
      </c>
      <c r="G59" s="26" t="n"/>
      <c r="H59" s="26" t="n"/>
      <c r="I59" s="26" t="n"/>
    </row>
    <row r="60">
      <c r="B60" s="41" t="inlineStr">
        <is>
          <t>收现比连续两年低于阈值</t>
        </is>
      </c>
      <c r="C60" s="48" t="n">
        <v>0.8</v>
      </c>
      <c r="D60" s="49">
        <f>IF(COUNT(C43:G43)=0,"",INDEX(C43:G43,COUNT(C43:G43)))</f>
        <v>0.96078431372549</v>
      </c>
      <c r="E60" s="42" t="str">
        <f>IF(COUNT(C43:G43)&lt;2,"",IF(AND(INDEX(C43:G43,COUNT(C43:G43))&lt;C60,INDEX(C43:G43,COUNT(C43:G43)-1)&lt;C60),"注意","正常"))</f>
        <v>正常</v>
      </c>
      <c r="F60" s="23" t="inlineStr">
        <is>
          <t>利润没变成现金。去看应收、存货和预付款。</t>
        </is>
      </c>
      <c r="G60" s="23" t="n"/>
      <c r="H60" s="23" t="n"/>
      <c r="I60" s="23" t="n"/>
    </row>
    <row r="61">
      <c r="B61" s="41" t="inlineStr">
        <is>
          <t>应收增速比收入增速快（超过阈值）</t>
        </is>
      </c>
      <c r="C61" s="34" t="n">
        <v>0.05</v>
      </c>
      <c r="D61" s="38">
        <f>IF(COUNT(C21:G21)&lt;2,"",IF(OR(N(INDEX(C21:G21,COUNT(C21:G21)-1))=0,N(INDEX(C6:G6,COUNT(C21:G21)-1))=0),"",(INDEX(C21:G21,COUNT(C21:G21))/INDEX(C21:G21,COUNT(C21:G21)-1)-1)-(INDEX(C6:G6,COUNT(C21:G21))/INDEX(C6:G6,COUNT(C21:G21)-1)-1)))</f>
        <v>0.0661026952587054</v>
      </c>
      <c r="E61" s="42" t="str">
        <f>IF(D61="","",IF(D61&gt;C61,"注意","正常"))</f>
        <v>注意</v>
      </c>
      <c r="F61" s="23" t="inlineStr">
        <is>
          <t>最近一年应收增速减收入增速。可能在放宽账期、给渠道压货。</t>
        </is>
      </c>
      <c r="G61" s="23" t="n"/>
      <c r="H61" s="23" t="n"/>
      <c r="I61" s="23" t="n"/>
    </row>
    <row r="62">
      <c r="B62" s="41" t="inlineStr">
        <is>
          <t>存货增速比营业成本增速快（超过阈值）</t>
        </is>
      </c>
      <c r="C62" s="34" t="n">
        <v>0.05</v>
      </c>
      <c r="D62" s="38">
        <f>IF(COUNT(C22:G22)&lt;2,"",IF(OR(N(INDEX(C22:G22,COUNT(C22:G22)-1))=0,N(INDEX(C7:G7,COUNT(C22:G22)-1))=0),"",(INDEX(C22:G22,COUNT(C22:G22))/INDEX(C22:G22,COUNT(C22:G22)-1)-1)-(INDEX(C7:G7,COUNT(C22:G22))/INDEX(C7:G7,COUNT(C22:G22)-1)-1)))</f>
        <v>-0.00381752242794442</v>
      </c>
      <c r="E62" s="42" t="str">
        <f>IF(D62="","",IF(D62&gt;C62,"注意","正常"))</f>
        <v>正常</v>
      </c>
      <c r="F62" s="23" t="inlineStr">
        <is>
          <t>货卖不动，或者在囤货。</t>
        </is>
      </c>
      <c r="G62" s="23" t="n"/>
      <c r="H62" s="23" t="n"/>
      <c r="I62" s="23" t="n"/>
    </row>
    <row r="63">
      <c r="B63" s="41" t="inlineStr">
        <is>
          <t>扣非占归母净利低于阈值</t>
        </is>
      </c>
      <c r="C63" s="34" t="n">
        <v>0.8</v>
      </c>
      <c r="D63" s="38">
        <f>IF(COUNT(C38:G38)=0,"",INDEX(C38:G38,COUNT(C38:G38)))</f>
        <v>0.941176470588235</v>
      </c>
      <c r="E63" s="42" t="str">
        <f>IF(D63="","",IF(D63&lt;C63,"注意","正常"))</f>
        <v>正常</v>
      </c>
      <c r="F63" s="23" t="inlineStr">
        <is>
          <t>利润靠卖资产、补贴这类一次性收入撑着。</t>
        </is>
      </c>
      <c r="G63" s="23" t="n"/>
      <c r="H63" s="23" t="n"/>
      <c r="I63" s="23" t="n"/>
    </row>
    <row r="64">
      <c r="B64" s="41" t="inlineStr">
        <is>
          <t>有息负债率高于阈值</t>
        </is>
      </c>
      <c r="C64" s="34" t="n">
        <v>0.3</v>
      </c>
      <c r="D64" s="38">
        <f>IF(COUNT(C41:G41)=0,"",INDEX(C41:G41,COUNT(C41:G41)))</f>
        <v>0.0333333333333333</v>
      </c>
      <c r="E64" s="42" t="str">
        <f>IF(D64="","",IF(D64&gt;C64,"注意","正常"))</f>
        <v>正常</v>
      </c>
      <c r="F64" s="23" t="inlineStr">
        <is>
          <t>不同行业差别大，按行业改阈值。</t>
        </is>
      </c>
      <c r="G64" s="23" t="n"/>
      <c r="H64" s="23" t="n"/>
      <c r="I64" s="23" t="n"/>
    </row>
    <row r="65">
      <c r="B65" s="41" t="inlineStr">
        <is>
          <t>商誉占归母权益高于阈值</t>
        </is>
      </c>
      <c r="C65" s="34" t="n">
        <v>0.3</v>
      </c>
      <c r="D65" s="38">
        <f>IF(COUNT(C49:G49)=0,"",INDEX(C49:G49,COUNT(C49:G49)))</f>
        <v>0.0102040816326531</v>
      </c>
      <c r="E65" s="42" t="str">
        <f>IF(D65="","",IF(D65&gt;C65,"注意","正常"))</f>
        <v>正常</v>
      </c>
      <c r="F65" s="23" t="inlineStr">
        <is>
          <t>减值风险。</t>
        </is>
      </c>
      <c r="G65" s="23" t="n"/>
      <c r="H65" s="23" t="n"/>
      <c r="I65" s="23" t="n"/>
    </row>
    <row r="66">
      <c r="B66" s="41" t="inlineStr">
        <is>
          <t>自由现金流连续两年为负</t>
        </is>
      </c>
      <c r="C66" s="37" t="n">
        <v>0</v>
      </c>
      <c r="D66" s="39">
        <f>IF(COUNT(C44:G44)=0,"",INDEX(C44:G44,COUNT(C44:G44)))</f>
        <v>3.5</v>
      </c>
      <c r="E66" s="42" t="str">
        <f>IF(COUNT(C44:G44)&lt;2,"",IF(AND(INDEX(C44:G44,COUNT(C44:G44))&lt;C66,INDEX(C44:G44,COUNT(C44:G44)-1)&lt;C66),"注意","正常"))</f>
        <v>正常</v>
      </c>
      <c r="F66" s="23" t="inlineStr">
        <is>
          <t>扩张期可以理解，但要知道钱从哪里来。</t>
        </is>
      </c>
      <c r="G66" s="23" t="n"/>
      <c r="H66" s="23" t="n"/>
      <c r="I66" s="23" t="n"/>
    </row>
    <row r="67">
      <c r="B67" s="15" t="inlineStr">
        <is>
          <t>红旗合计</t>
        </is>
      </c>
      <c r="E67" s="44">
        <f>COUNTIF(E60:E66,"注意")</f>
        <v>1</v>
      </c>
      <c r="F67" s="23" t="inlineStr">
        <is>
          <t>两条以上，先别急着估值，把原因查清楚。</t>
        </is>
      </c>
      <c r="G67" s="23" t="n"/>
      <c r="H67" s="23" t="n"/>
      <c r="I67" s="23" t="n"/>
    </row>
  </sheetData>
  <mergeCells count="19">
    <mergeCell ref="F67:I67"/>
    <mergeCell ref="F61:I61"/>
    <mergeCell ref="G3:I3"/>
    <mergeCell ref="F60:I60"/>
    <mergeCell ref="A2:I2"/>
    <mergeCell ref="F64:I64"/>
    <mergeCell ref="F65:I65"/>
    <mergeCell ref="F63:I63"/>
    <mergeCell ref="G1:I1"/>
    <mergeCell ref="B29:I29"/>
    <mergeCell ref="F59:I59"/>
    <mergeCell ref="B15:I15"/>
    <mergeCell ref="B24:I24"/>
    <mergeCell ref="A1:F1"/>
    <mergeCell ref="F66:I66"/>
    <mergeCell ref="F62:I62"/>
    <mergeCell ref="B5:I5"/>
    <mergeCell ref="C3:D3"/>
    <mergeCell ref="B32:I32"/>
  </mergeCells>
  <conditionalFormatting sqref="E60:E66">
    <cfRule type="cellIs" priority="1" operator="equal" dxfId="4">
      <formula>"注意"</formula>
    </cfRule>
  </conditionalFormatting>
  <conditionalFormatting sqref="E67">
    <cfRule type="cellIs" priority="2" operator="greaterThanOrEqual" dxfId="1">
      <formula>2</formula>
    </cfRule>
  </conditionalFormatting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  <rowBreaks count="1" manualBreakCount="1">
    <brk id="57" min="0" max="16383" man="1"/>
  </rowBreaks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AQ7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1.5" customWidth="1" min="3" max="3"/>
    <col width="11.5" customWidth="1" min="4" max="4"/>
    <col width="11.5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 ht="30" customHeight="1">
      <c r="A1" s="13" t="inlineStr">
        <is>
          <t>示例 · 估值：三种情景、敏感性、反推增长与可比公司</t>
        </is>
      </c>
      <c r="K1" s="14" t="inlineStr">
        <is>
          <t>TradeLearn · XtradingTime 交易内训</t>
        </is>
      </c>
    </row>
    <row r="2" ht="20" customHeight="1">
      <c r="A2" s="66" t="inlineStr">
        <is>
          <t>虚构示例，仅演示填法：股价、股本、现金流和可比公司全部虚构。</t>
        </is>
      </c>
    </row>
    <row r="4">
      <c r="B4" s="25" t="inlineStr">
        <is>
          <t>1. 基础数据</t>
        </is>
      </c>
      <c r="C4" s="26" t="inlineStr">
        <is>
          <t>你用的数</t>
        </is>
      </c>
      <c r="D4" s="26" t="inlineStr">
        <is>
          <t>财务页最近一年</t>
        </is>
      </c>
      <c r="E4" s="26" t="inlineStr">
        <is>
          <t>近三年平均</t>
        </is>
      </c>
      <c r="F4" s="26" t="inlineStr">
        <is>
          <t>说明</t>
        </is>
      </c>
      <c r="G4" s="26" t="n"/>
      <c r="H4" s="26" t="n"/>
      <c r="I4" s="26" t="n"/>
      <c r="J4" s="26" t="n"/>
      <c r="K4" s="26" t="n"/>
      <c r="L4" s="26" t="n"/>
      <c r="M4" s="26" t="n"/>
    </row>
    <row r="5">
      <c r="B5" s="41" t="inlineStr">
        <is>
          <t>当前股价</t>
        </is>
      </c>
      <c r="C5" s="48" t="n">
        <v>17.2</v>
      </c>
      <c r="D5" s="28" t="n"/>
      <c r="E5" s="28" t="n"/>
      <c r="F5" s="23" t="inlineStr">
        <is>
          <t>交易货币。港股注意报表货币和交易货币可能不一样。</t>
        </is>
      </c>
      <c r="G5" s="23" t="n"/>
      <c r="H5" s="23" t="n"/>
      <c r="I5" s="23" t="n"/>
      <c r="J5" s="23" t="n"/>
      <c r="K5" s="23" t="n"/>
      <c r="L5" s="23" t="n"/>
      <c r="M5" s="23" t="n"/>
    </row>
    <row r="6">
      <c r="B6" s="41" t="inlineStr">
        <is>
          <t>总股本</t>
        </is>
      </c>
      <c r="C6" s="48" t="n">
        <v>5</v>
      </c>
      <c r="D6" s="28">
        <f>IF(COUNT('例-财务'!$C$6:$G$6)=0,"",INDEX('例-财务'!$C$30:$G$30,COUNT('例-财务'!$C$6:$G$6)))</f>
        <v>5</v>
      </c>
      <c r="E6" s="28" t="n"/>
      <c r="F6" s="23" t="inlineStr">
        <is>
          <t>单位和财务页一致。有回购、增发、可转债的，用最新股本。</t>
        </is>
      </c>
      <c r="G6" s="23" t="n"/>
      <c r="H6" s="23" t="n"/>
      <c r="I6" s="23" t="n"/>
      <c r="J6" s="23" t="n"/>
      <c r="K6" s="23" t="n"/>
      <c r="L6" s="23" t="n"/>
      <c r="M6" s="23" t="n"/>
    </row>
    <row r="7">
      <c r="B7" s="41" t="inlineStr">
        <is>
          <t>现金（货币资金 + 短期理财）</t>
        </is>
      </c>
      <c r="C7" s="37" t="n">
        <v>10.7</v>
      </c>
      <c r="D7" s="31">
        <f>IF(COUNT('例-财务'!$C$6:$G$6)=0,"",INDEX('例-财务'!$C$19:$G$19,COUNT('例-财务'!$C$6:$G$6)))</f>
        <v>10.7</v>
      </c>
      <c r="E7" s="31" t="n"/>
      <c r="F7" s="23" t="inlineStr">
        <is>
          <t>用最近一期报表的数，不一定是年报。</t>
        </is>
      </c>
      <c r="G7" s="23" t="n"/>
      <c r="H7" s="23" t="n"/>
      <c r="I7" s="23" t="n"/>
      <c r="J7" s="23" t="n"/>
      <c r="K7" s="23" t="n"/>
      <c r="L7" s="23" t="n"/>
      <c r="M7" s="23" t="n"/>
    </row>
    <row r="8">
      <c r="B8" s="41" t="inlineStr">
        <is>
          <t>有息负债</t>
        </is>
      </c>
      <c r="C8" s="37" t="n">
        <v>1.5</v>
      </c>
      <c r="D8" s="31">
        <f>IF(COUNT('例-财务'!$C$6:$G$6)=0,"",INDEX('例-财务'!$C$20:$G$20,COUNT('例-财务'!$C$6:$G$6)))</f>
        <v>1.5</v>
      </c>
      <c r="E8" s="31" t="n"/>
      <c r="F8" s="23" t="inlineStr"/>
      <c r="G8" s="23" t="n"/>
      <c r="H8" s="23" t="n"/>
      <c r="I8" s="23" t="n"/>
      <c r="J8" s="23" t="n"/>
      <c r="K8" s="23" t="n"/>
      <c r="L8" s="23" t="n"/>
      <c r="M8" s="23" t="n"/>
    </row>
    <row r="9">
      <c r="B9" s="41" t="inlineStr">
        <is>
          <t>净现金（现金 − 有息负债）</t>
        </is>
      </c>
      <c r="C9" s="39">
        <f>IF(AND(ISNUMBER(C7),ISNUMBER(C8)),C7-C8,"")</f>
        <v>9.2</v>
      </c>
      <c r="D9" s="31" t="n"/>
      <c r="E9" s="31" t="n"/>
      <c r="F9" s="23" t="inlineStr">
        <is>
          <t>负数就是净负债，会从估值里扣掉。</t>
        </is>
      </c>
      <c r="G9" s="23" t="n"/>
      <c r="H9" s="23" t="n"/>
      <c r="I9" s="23" t="n"/>
      <c r="J9" s="23" t="n"/>
      <c r="K9" s="23" t="n"/>
      <c r="L9" s="23" t="n"/>
      <c r="M9" s="23" t="n"/>
    </row>
    <row r="10">
      <c r="B10" s="41" t="inlineStr">
        <is>
          <t>总市值</t>
        </is>
      </c>
      <c r="C10" s="39">
        <f>IF(AND(ISNUMBER(C5),ISNUMBER(C6)),C5*C6,"")</f>
        <v>86</v>
      </c>
      <c r="D10" s="31" t="n"/>
      <c r="E10" s="31" t="n"/>
      <c r="F10" s="23" t="inlineStr"/>
      <c r="G10" s="23" t="n"/>
      <c r="H10" s="23" t="n"/>
      <c r="I10" s="23" t="n"/>
      <c r="J10" s="23" t="n"/>
      <c r="K10" s="23" t="n"/>
      <c r="L10" s="23" t="n"/>
      <c r="M10" s="23" t="n"/>
    </row>
    <row r="11">
      <c r="B11" s="41" t="inlineStr">
        <is>
          <t>基期自由现金流</t>
        </is>
      </c>
      <c r="C11" s="37" t="n">
        <v>3.5</v>
      </c>
      <c r="D11" s="31">
        <f>IF(COUNT('例-财务'!$C$6:$G$6)=0,"",INDEX('例-财务'!$C$44:$G$44,COUNT('例-财务'!$C$6:$G$6)))</f>
        <v>3.5</v>
      </c>
      <c r="E11" s="31">
        <f>IF(COUNT('例-财务'!$C$44:$G$44)&lt;3,"",(INDEX('例-财务'!$C$44:$G$44,COUNT('例-财务'!$C$44:$G$44))+INDEX('例-财务'!$C$44:$G$44,COUNT('例-财务'!$C$44:$G$44)-1)+INDEX('例-财务'!$C$44:$G$44,COUNT('例-财务'!$C$44:$G$44)-2))/3)</f>
        <v>3.06666666666667</v>
      </c>
      <c r="F11" s="23" t="inlineStr">
        <is>
          <t>右边是财务页最近一年和近三年平均。波动大的公司，用几年平均做基期更稳。</t>
        </is>
      </c>
      <c r="G11" s="23" t="n"/>
      <c r="H11" s="23" t="n"/>
      <c r="I11" s="23" t="n"/>
      <c r="J11" s="23" t="n"/>
      <c r="K11" s="23" t="n"/>
      <c r="L11" s="23" t="n"/>
      <c r="M11" s="23" t="n"/>
    </row>
    <row r="13">
      <c r="B13" s="25" t="inlineStr">
        <is>
          <t>2. 三种情景的假设</t>
        </is>
      </c>
    </row>
    <row r="14">
      <c r="B14" s="26" t="inlineStr">
        <is>
          <t>假设</t>
        </is>
      </c>
      <c r="C14" s="26" t="inlineStr">
        <is>
          <t>悲观</t>
        </is>
      </c>
      <c r="D14" s="26" t="inlineStr">
        <is>
          <t>基准</t>
        </is>
      </c>
      <c r="E14" s="26" t="inlineStr">
        <is>
          <t>乐观</t>
        </is>
      </c>
      <c r="F14" s="26" t="inlineStr">
        <is>
          <t>怎么定</t>
        </is>
      </c>
      <c r="G14" s="26" t="n"/>
      <c r="H14" s="26" t="n"/>
      <c r="I14" s="26" t="n"/>
      <c r="J14" s="26" t="n"/>
      <c r="K14" s="26" t="n"/>
      <c r="L14" s="26" t="n"/>
      <c r="M14" s="26" t="n"/>
    </row>
    <row r="15">
      <c r="B15" s="41" t="inlineStr">
        <is>
          <t>前 5 年自由现金流增速</t>
        </is>
      </c>
      <c r="C15" s="34" t="n">
        <v>0.04</v>
      </c>
      <c r="D15" s="34" t="n">
        <v>0.09</v>
      </c>
      <c r="E15" s="34" t="n">
        <v>0.13</v>
      </c>
      <c r="F15" s="23" t="inlineStr">
        <is>
          <t>参考财务页五年复合增速和行业增速，别直接外推最好的那几年。</t>
        </is>
      </c>
      <c r="G15" s="23" t="n"/>
      <c r="H15" s="23" t="n"/>
      <c r="I15" s="23" t="n"/>
      <c r="J15" s="23" t="n"/>
      <c r="K15" s="23" t="n"/>
      <c r="L15" s="23" t="n"/>
      <c r="M15" s="23" t="n"/>
    </row>
    <row r="16">
      <c r="B16" s="41" t="inlineStr">
        <is>
          <t>第 6～10 年增速</t>
        </is>
      </c>
      <c r="C16" s="34" t="n">
        <v>0.02</v>
      </c>
      <c r="D16" s="34" t="n">
        <v>0.05</v>
      </c>
      <c r="E16" s="34" t="n">
        <v>0.07000000000000001</v>
      </c>
      <c r="F16" s="23" t="inlineStr">
        <is>
          <t>竞争会把高增长拉回来，一般比前 5 年低。</t>
        </is>
      </c>
      <c r="G16" s="23" t="n"/>
      <c r="H16" s="23" t="n"/>
      <c r="I16" s="23" t="n"/>
      <c r="J16" s="23" t="n"/>
      <c r="K16" s="23" t="n"/>
      <c r="L16" s="23" t="n"/>
      <c r="M16" s="23" t="n"/>
    </row>
    <row r="17">
      <c r="B17" s="41" t="inlineStr">
        <is>
          <t>永续增长率（第 10 年以后）</t>
        </is>
      </c>
      <c r="C17" s="34" t="n">
        <v>0.015</v>
      </c>
      <c r="D17" s="34" t="n">
        <v>0.025</v>
      </c>
      <c r="E17" s="34" t="n">
        <v>0.03</v>
      </c>
      <c r="F17" s="23" t="inlineStr">
        <is>
          <t>一般不高于长期名义经济增速，而且必须小于折现率。</t>
        </is>
      </c>
      <c r="G17" s="23" t="n"/>
      <c r="H17" s="23" t="n"/>
      <c r="I17" s="23" t="n"/>
      <c r="J17" s="23" t="n"/>
      <c r="K17" s="23" t="n"/>
      <c r="L17" s="23" t="n"/>
      <c r="M17" s="23" t="n"/>
    </row>
    <row r="18">
      <c r="B18" s="41" t="inlineStr">
        <is>
          <t>折现率</t>
        </is>
      </c>
      <c r="C18" s="34" t="n">
        <v>0.1</v>
      </c>
      <c r="D18" s="34" t="n">
        <v>0.09</v>
      </c>
      <c r="E18" s="34" t="n">
        <v>0.08500000000000001</v>
      </c>
      <c r="F18" s="23" t="inlineStr">
        <is>
          <t>你要求的年回报率。三种情景用不用同一个都行，但要说得出理由。</t>
        </is>
      </c>
      <c r="G18" s="23" t="n"/>
      <c r="H18" s="23" t="n"/>
      <c r="I18" s="23" t="n"/>
      <c r="J18" s="23" t="n"/>
      <c r="K18" s="23" t="n"/>
      <c r="L18" s="23" t="n"/>
      <c r="M18" s="23" t="n"/>
    </row>
    <row r="19" ht="58" customHeight="1">
      <c r="B19" s="41" t="inlineStr">
        <is>
          <t>这个情景在讲什么（一句话）</t>
        </is>
      </c>
      <c r="C19" s="32" t="inlineStr">
        <is>
          <t>兼容滤芯抢走一部分复购，增速掉到个位数低段</t>
        </is>
      </c>
      <c r="D19" s="32" t="inlineStr">
        <is>
          <t>滤芯占比继续升，增速慢慢回到行业水平</t>
        </is>
      </c>
      <c r="E19" s="32" t="inlineStr">
        <is>
          <t>物联网换芯提醒做成，复购率再上一个台阶</t>
        </is>
      </c>
      <c r="F19" s="23" t="inlineStr">
        <is>
          <t>说不出故事的数字，往往是拍脑袋来的。</t>
        </is>
      </c>
      <c r="G19" s="23" t="n"/>
      <c r="H19" s="23" t="n"/>
      <c r="I19" s="23" t="n"/>
      <c r="J19" s="23" t="n"/>
      <c r="K19" s="23" t="n"/>
      <c r="L19" s="23" t="n"/>
      <c r="M19" s="23" t="n"/>
    </row>
    <row r="21">
      <c r="B21" s="25" t="inlineStr">
        <is>
          <t>3. 逐年自由现金流（单位同财务页）</t>
        </is>
      </c>
    </row>
    <row r="22">
      <c r="B22" s="26" t="inlineStr">
        <is>
          <t>情景</t>
        </is>
      </c>
      <c r="C22" s="26" t="inlineStr">
        <is>
          <t>项目</t>
        </is>
      </c>
      <c r="D22" s="52" t="n">
        <v>1</v>
      </c>
      <c r="E22" s="52" t="n">
        <v>2</v>
      </c>
      <c r="F22" s="52" t="n">
        <v>3</v>
      </c>
      <c r="G22" s="52" t="n">
        <v>4</v>
      </c>
      <c r="H22" s="52" t="n">
        <v>5</v>
      </c>
      <c r="I22" s="52" t="n">
        <v>6</v>
      </c>
      <c r="J22" s="52" t="n">
        <v>7</v>
      </c>
      <c r="K22" s="52" t="n">
        <v>8</v>
      </c>
      <c r="L22" s="52" t="n">
        <v>9</v>
      </c>
      <c r="M22" s="52" t="n">
        <v>10</v>
      </c>
    </row>
    <row r="23">
      <c r="B23" s="15" t="inlineStr">
        <is>
          <t>悲观</t>
        </is>
      </c>
      <c r="C23" s="43" t="inlineStr">
        <is>
          <t>现金流</t>
        </is>
      </c>
      <c r="D23" s="39">
        <f>IF(ISNUMBER($C$11),$C$11*(1+$C$15),"")</f>
        <v>3.64</v>
      </c>
      <c r="E23" s="39">
        <f>IF(ISNUMBER(D23),D23*(1+$C$15),"")</f>
        <v>3.7856</v>
      </c>
      <c r="F23" s="39">
        <f>IF(ISNUMBER(E23),E23*(1+$C$15),"")</f>
        <v>3.937024</v>
      </c>
      <c r="G23" s="39">
        <f>IF(ISNUMBER(F23),F23*(1+$C$15),"")</f>
        <v>4.09450496</v>
      </c>
      <c r="H23" s="39">
        <f>IF(ISNUMBER(G23),G23*(1+$C$15),"")</f>
        <v>4.2582851584</v>
      </c>
      <c r="I23" s="39">
        <f>IF(ISNUMBER(H23),H23*(1+$C$16),"")</f>
        <v>4.343450861568</v>
      </c>
      <c r="J23" s="39">
        <f>IF(ISNUMBER(I23),I23*(1+$C$16),"")</f>
        <v>4.43031987879936</v>
      </c>
      <c r="K23" s="39">
        <f>IF(ISNUMBER(J23),J23*(1+$C$16),"")</f>
        <v>4.51892627637535</v>
      </c>
      <c r="L23" s="39">
        <f>IF(ISNUMBER(K23),K23*(1+$C$16),"")</f>
        <v>4.60930480190286</v>
      </c>
      <c r="M23" s="39">
        <f>IF(ISNUMBER(L23),L23*(1+$C$16),"")</f>
        <v>4.70149089794091</v>
      </c>
    </row>
    <row r="24">
      <c r="B24" s="15" t="inlineStr">
        <is>
          <t>悲观</t>
        </is>
      </c>
      <c r="C24" s="43" t="inlineStr">
        <is>
          <t>折现到今天</t>
        </is>
      </c>
      <c r="D24" s="39">
        <f>IF(ISNUMBER(D23),D23/(1+$C$18)^D$22,"")</f>
        <v>3.30909090909091</v>
      </c>
      <c r="E24" s="39">
        <f>IF(ISNUMBER(E23),E23/(1+$C$18)^E$22,"")</f>
        <v>3.12859504132231</v>
      </c>
      <c r="F24" s="39">
        <f>IF(ISNUMBER(F23),F23/(1+$C$18)^F$22,"")</f>
        <v>2.95794440270473</v>
      </c>
      <c r="G24" s="39">
        <f>IF(ISNUMBER(G23),G23/(1+$C$18)^G$22,"")</f>
        <v>2.79660198073902</v>
      </c>
      <c r="H24" s="39">
        <f>IF(ISNUMBER(H23),H23/(1+$C$18)^H$22,"")</f>
        <v>2.64406005451689</v>
      </c>
      <c r="I24" s="39">
        <f>IF(ISNUMBER(I23),I23/(1+$C$18)^I$22,"")</f>
        <v>2.45176477782475</v>
      </c>
      <c r="J24" s="39">
        <f>IF(ISNUMBER(J23),J23/(1+$C$18)^J$22,"")</f>
        <v>2.27345461216477</v>
      </c>
      <c r="K24" s="39">
        <f>IF(ISNUMBER(K23),K23/(1+$C$18)^K$22,"")</f>
        <v>2.10811245855279</v>
      </c>
      <c r="L24" s="39">
        <f>IF(ISNUMBER(L23),L23/(1+$C$18)^L$22,"")</f>
        <v>1.95479518883986</v>
      </c>
      <c r="M24" s="39">
        <f>IF(ISNUMBER(M23),M23/(1+$C$18)^M$22,"")</f>
        <v>1.81262826601514</v>
      </c>
    </row>
    <row r="25">
      <c r="B25" s="15" t="inlineStr">
        <is>
          <t>基准</t>
        </is>
      </c>
      <c r="C25" s="43" t="inlineStr">
        <is>
          <t>现金流</t>
        </is>
      </c>
      <c r="D25" s="39">
        <f>IF(ISNUMBER($C$11),$C$11*(1+$D$15),"")</f>
        <v>3.815</v>
      </c>
      <c r="E25" s="39">
        <f>IF(ISNUMBER(D25),D25*(1+$D$15),"")</f>
        <v>4.15835</v>
      </c>
      <c r="F25" s="39">
        <f>IF(ISNUMBER(E25),E25*(1+$D$15),"")</f>
        <v>4.5326015</v>
      </c>
      <c r="G25" s="39">
        <f>IF(ISNUMBER(F25),F25*(1+$D$15),"")</f>
        <v>4.940535635</v>
      </c>
      <c r="H25" s="39">
        <f>IF(ISNUMBER(G25),G25*(1+$D$15),"")</f>
        <v>5.38518384215</v>
      </c>
      <c r="I25" s="39">
        <f>IF(ISNUMBER(H25),H25*(1+$D$16),"")</f>
        <v>5.6544430342575</v>
      </c>
      <c r="J25" s="39">
        <f>IF(ISNUMBER(I25),I25*(1+$D$16),"")</f>
        <v>5.93716518597038</v>
      </c>
      <c r="K25" s="39">
        <f>IF(ISNUMBER(J25),J25*(1+$D$16),"")</f>
        <v>6.2340234452689</v>
      </c>
      <c r="L25" s="39">
        <f>IF(ISNUMBER(K25),K25*(1+$D$16),"")</f>
        <v>6.54572461753234</v>
      </c>
      <c r="M25" s="39">
        <f>IF(ISNUMBER(L25),L25*(1+$D$16),"")</f>
        <v>6.87301084840896</v>
      </c>
    </row>
    <row r="26">
      <c r="B26" s="15" t="inlineStr">
        <is>
          <t>基准</t>
        </is>
      </c>
      <c r="C26" s="43" t="inlineStr">
        <is>
          <t>折现到今天</t>
        </is>
      </c>
      <c r="D26" s="39">
        <f>IF(ISNUMBER(D25),D25/(1+$D$18)^D$22,"")</f>
        <v>3.5</v>
      </c>
      <c r="E26" s="39">
        <f>IF(ISNUMBER(E25),E25/(1+$D$18)^E$22,"")</f>
        <v>3.5</v>
      </c>
      <c r="F26" s="39">
        <f>IF(ISNUMBER(F25),F25/(1+$D$18)^F$22,"")</f>
        <v>3.5</v>
      </c>
      <c r="G26" s="39">
        <f>IF(ISNUMBER(G25),G25/(1+$D$18)^G$22,"")</f>
        <v>3.5</v>
      </c>
      <c r="H26" s="39">
        <f>IF(ISNUMBER(H25),H25/(1+$D$18)^H$22,"")</f>
        <v>3.5</v>
      </c>
      <c r="I26" s="39">
        <f>IF(ISNUMBER(I25),I25/(1+$D$18)^I$22,"")</f>
        <v>3.37155963302752</v>
      </c>
      <c r="J26" s="39">
        <f>IF(ISNUMBER(J25),J25/(1+$D$18)^J$22,"")</f>
        <v>3.24783267401734</v>
      </c>
      <c r="K26" s="39">
        <f>IF(ISNUMBER(K25),K25/(1+$D$18)^K$22,"")</f>
        <v>3.12864615386991</v>
      </c>
      <c r="L26" s="39">
        <f>IF(ISNUMBER(L25),L25/(1+$D$18)^L$22,"")</f>
        <v>3.0138334509756</v>
      </c>
      <c r="M26" s="39">
        <f>IF(ISNUMBER(M25),M25/(1+$D$18)^M$22,"")</f>
        <v>2.90323405827925</v>
      </c>
    </row>
    <row r="27">
      <c r="B27" s="15" t="inlineStr">
        <is>
          <t>乐观</t>
        </is>
      </c>
      <c r="C27" s="43" t="inlineStr">
        <is>
          <t>现金流</t>
        </is>
      </c>
      <c r="D27" s="39">
        <f>IF(ISNUMBER($C$11),$C$11*(1+$E$15),"")</f>
        <v>3.955</v>
      </c>
      <c r="E27" s="39">
        <f>IF(ISNUMBER(D27),D27*(1+$E$15),"")</f>
        <v>4.46915</v>
      </c>
      <c r="F27" s="39">
        <f>IF(ISNUMBER(E27),E27*(1+$E$15),"")</f>
        <v>5.0501395</v>
      </c>
      <c r="G27" s="39">
        <f>IF(ISNUMBER(F27),F27*(1+$E$15),"")</f>
        <v>5.706657635</v>
      </c>
      <c r="H27" s="39">
        <f>IF(ISNUMBER(G27),G27*(1+$E$15),"")</f>
        <v>6.44852312755</v>
      </c>
      <c r="I27" s="39">
        <f>IF(ISNUMBER(H27),H27*(1+$E$16),"")</f>
        <v>6.8999197464785</v>
      </c>
      <c r="J27" s="39">
        <f>IF(ISNUMBER(I27),I27*(1+$E$16),"")</f>
        <v>7.38291412873199</v>
      </c>
      <c r="K27" s="39">
        <f>IF(ISNUMBER(J27),J27*(1+$E$16),"")</f>
        <v>7.89971811774323</v>
      </c>
      <c r="L27" s="39">
        <f>IF(ISNUMBER(K27),K27*(1+$E$16),"")</f>
        <v>8.45269838598526</v>
      </c>
      <c r="M27" s="39">
        <f>IF(ISNUMBER(L27),L27*(1+$E$16),"")</f>
        <v>9.04438727300423</v>
      </c>
    </row>
    <row r="28">
      <c r="B28" s="15" t="inlineStr">
        <is>
          <t>乐观</t>
        </is>
      </c>
      <c r="C28" s="43" t="inlineStr">
        <is>
          <t>折现到今天</t>
        </is>
      </c>
      <c r="D28" s="39">
        <f>IF(ISNUMBER(D27),D27/(1+$E$18)^D$22,"")</f>
        <v>3.64516129032258</v>
      </c>
      <c r="E28" s="39">
        <f>IF(ISNUMBER(E27),E27/(1+$E$18)^E$22,"")</f>
        <v>3.79634309499034</v>
      </c>
      <c r="F28" s="39">
        <f>IF(ISNUMBER(F27),F27/(1+$E$18)^F$22,"")</f>
        <v>3.95379511275491</v>
      </c>
      <c r="G28" s="39">
        <f>IF(ISNUMBER(G27),G27/(1+$E$18)^G$22,"")</f>
        <v>4.11777739853737</v>
      </c>
      <c r="H28" s="39">
        <f>IF(ISNUMBER(H27),H27/(1+$E$18)^H$22,"")</f>
        <v>4.28856079294676</v>
      </c>
      <c r="I28" s="39">
        <f>IF(ISNUMBER(I27),I27/(1+$E$18)^I$22,"")</f>
        <v>4.22927193405809</v>
      </c>
      <c r="J28" s="39">
        <f>IF(ISNUMBER(J27),J27/(1+$E$18)^J$22,"")</f>
        <v>4.17080273681305</v>
      </c>
      <c r="K28" s="39">
        <f>IF(ISNUMBER(K27),K27/(1+$E$18)^K$22,"")</f>
        <v>4.11314186948384</v>
      </c>
      <c r="L28" s="39">
        <f>IF(ISNUMBER(L27),L27/(1+$E$18)^L$22,"")</f>
        <v>4.0562781570025</v>
      </c>
      <c r="M28" s="39">
        <f>IF(ISNUMBER(M27),M27/(1+$E$18)^M$22,"")</f>
        <v>4.00020057879509</v>
      </c>
    </row>
    <row r="30">
      <c r="B30" s="25" t="inlineStr">
        <is>
          <t>4. 估值结果</t>
        </is>
      </c>
    </row>
    <row r="31">
      <c r="B31" s="26" t="inlineStr">
        <is>
          <t>项目</t>
        </is>
      </c>
      <c r="C31" s="26" t="inlineStr">
        <is>
          <t>悲观</t>
        </is>
      </c>
      <c r="D31" s="26" t="inlineStr">
        <is>
          <t>基准</t>
        </is>
      </c>
      <c r="E31" s="26" t="inlineStr">
        <is>
          <t>乐观</t>
        </is>
      </c>
      <c r="F31" s="26" t="inlineStr">
        <is>
          <t>说明</t>
        </is>
      </c>
      <c r="G31" s="26" t="n"/>
      <c r="H31" s="26" t="n"/>
      <c r="I31" s="26" t="n"/>
      <c r="J31" s="26" t="n"/>
      <c r="K31" s="26" t="n"/>
      <c r="L31" s="26" t="n"/>
      <c r="M31" s="26" t="n"/>
    </row>
    <row r="32">
      <c r="B32" s="41" t="inlineStr">
        <is>
          <t>10 年现值合计</t>
        </is>
      </c>
      <c r="C32" s="39">
        <f>IF(COUNT(D24:M24)=10,SUM(D24:M24),"")</f>
        <v>25.4370476917712</v>
      </c>
      <c r="D32" s="39">
        <f>IF(COUNT(D26:M26)=10,SUM(D26:M26),"")</f>
        <v>33.1651059701696</v>
      </c>
      <c r="E32" s="39">
        <f>IF(COUNT(D28:M28)=10,SUM(D28:M28),"")</f>
        <v>40.3713329657045</v>
      </c>
      <c r="F32" s="23" t="inlineStr"/>
      <c r="G32" s="23" t="n"/>
      <c r="H32" s="23" t="n"/>
      <c r="I32" s="23" t="n"/>
      <c r="J32" s="23" t="n"/>
      <c r="K32" s="23" t="n"/>
      <c r="L32" s="23" t="n"/>
      <c r="M32" s="23" t="n"/>
    </row>
    <row r="33">
      <c r="B33" s="41" t="inlineStr">
        <is>
          <t>第 10 年以后的终值</t>
        </is>
      </c>
      <c r="C33" s="39">
        <f>IF(AND(ISNUMBER(M23),C18&gt;C17),M23*(1+C17)/(C18-C17),"")</f>
        <v>56.1413324871768</v>
      </c>
      <c r="D33" s="39">
        <f>IF(AND(ISNUMBER(M25),D18&gt;D17),M25*(1+D17)/(D18-D17),"")</f>
        <v>108.382094147987</v>
      </c>
      <c r="E33" s="39">
        <f>IF(AND(ISNUMBER(M27),E18&gt;E17),M27*(1+E17)/(E18-E17),"")</f>
        <v>169.376707112625</v>
      </c>
      <c r="F33" s="23" t="inlineStr">
        <is>
          <t>终值 = 第 10 年现金流 ×（1 + 永续增长率）÷（折现率 − 永续增长率）。</t>
        </is>
      </c>
      <c r="G33" s="23" t="n"/>
      <c r="H33" s="23" t="n"/>
      <c r="I33" s="23" t="n"/>
      <c r="J33" s="23" t="n"/>
      <c r="K33" s="23" t="n"/>
      <c r="L33" s="23" t="n"/>
      <c r="M33" s="23" t="n"/>
    </row>
    <row r="34">
      <c r="B34" s="41" t="inlineStr">
        <is>
          <t>终值折现到今天</t>
        </is>
      </c>
      <c r="C34" s="39">
        <f>IF(ISNUMBER(C33),C33/(1+C18)^10,"")</f>
        <v>21.6449140000632</v>
      </c>
      <c r="D34" s="39">
        <f>IF(ISNUMBER(D33),D33/(1+D18)^10,"")</f>
        <v>45.7817678420959</v>
      </c>
      <c r="E34" s="39">
        <f>IF(ISNUMBER(E33),E33/(1+E18)^10,"")</f>
        <v>74.9128472028898</v>
      </c>
      <c r="F34" s="23" t="inlineStr"/>
      <c r="G34" s="23" t="n"/>
      <c r="H34" s="23" t="n"/>
      <c r="I34" s="23" t="n"/>
      <c r="J34" s="23" t="n"/>
      <c r="K34" s="23" t="n"/>
      <c r="L34" s="23" t="n"/>
      <c r="M34" s="23" t="n"/>
    </row>
    <row r="35">
      <c r="B35" s="41" t="inlineStr">
        <is>
          <t>经营价值</t>
        </is>
      </c>
      <c r="C35" s="39">
        <f>IF(AND(ISNUMBER(C32),ISNUMBER(C34)),C32+C34,"")</f>
        <v>47.0819616918343</v>
      </c>
      <c r="D35" s="39">
        <f>IF(AND(ISNUMBER(D32),ISNUMBER(D34)),D32+D34,"")</f>
        <v>78.9468738122655</v>
      </c>
      <c r="E35" s="39">
        <f>IF(AND(ISNUMBER(E32),ISNUMBER(E34)),E32+E34,"")</f>
        <v>115.284180168594</v>
      </c>
      <c r="F35" s="23" t="inlineStr"/>
      <c r="G35" s="23" t="n"/>
      <c r="H35" s="23" t="n"/>
      <c r="I35" s="23" t="n"/>
      <c r="J35" s="23" t="n"/>
      <c r="K35" s="23" t="n"/>
      <c r="L35" s="23" t="n"/>
      <c r="M35" s="23" t="n"/>
    </row>
    <row r="36">
      <c r="B36" s="41" t="inlineStr">
        <is>
          <t>加：净现金</t>
        </is>
      </c>
      <c r="C36" s="39">
        <f>IF(AND(ISNUMBER(C35),ISNUMBER($C$9)),$C$9,"")</f>
        <v>9.2</v>
      </c>
      <c r="D36" s="39">
        <f>IF(AND(ISNUMBER(D35),ISNUMBER($C$9)),$C$9,"")</f>
        <v>9.2</v>
      </c>
      <c r="E36" s="39">
        <f>IF(AND(ISNUMBER(E35),ISNUMBER($C$9)),$C$9,"")</f>
        <v>9.2</v>
      </c>
      <c r="F36" s="23" t="inlineStr">
        <is>
          <t>没算少数股东权益和期权稀释，差别大的公司要自己扣。</t>
        </is>
      </c>
      <c r="G36" s="23" t="n"/>
      <c r="H36" s="23" t="n"/>
      <c r="I36" s="23" t="n"/>
      <c r="J36" s="23" t="n"/>
      <c r="K36" s="23" t="n"/>
      <c r="L36" s="23" t="n"/>
      <c r="M36" s="23" t="n"/>
    </row>
    <row r="37">
      <c r="B37" s="41" t="inlineStr">
        <is>
          <t>股权价值</t>
        </is>
      </c>
      <c r="C37" s="39">
        <f>IF(AND(ISNUMBER(C35),ISNUMBER(C36)),C35+C36,"")</f>
        <v>56.2819616918343</v>
      </c>
      <c r="D37" s="39">
        <f>IF(AND(ISNUMBER(D35),ISNUMBER(D36)),D35+D36,"")</f>
        <v>88.1468738122655</v>
      </c>
      <c r="E37" s="39">
        <f>IF(AND(ISNUMBER(E35),ISNUMBER(E36)),E35+E36,"")</f>
        <v>124.484180168594</v>
      </c>
      <c r="F37" s="23" t="inlineStr"/>
      <c r="G37" s="23" t="n"/>
      <c r="H37" s="23" t="n"/>
      <c r="I37" s="23" t="n"/>
      <c r="J37" s="23" t="n"/>
      <c r="K37" s="23" t="n"/>
      <c r="L37" s="23" t="n"/>
      <c r="M37" s="23" t="n"/>
    </row>
    <row r="38">
      <c r="B38" s="15" t="inlineStr">
        <is>
          <t>每股价值</t>
        </is>
      </c>
      <c r="C38" s="53">
        <f>IF(AND(ISNUMBER(C37),N($C$6)&gt;0),C37/$C$6,"")</f>
        <v>11.2563923383669</v>
      </c>
      <c r="D38" s="53">
        <f>IF(AND(ISNUMBER(D37),N($C$6)&gt;0),D37/$C$6,"")</f>
        <v>17.6293747624531</v>
      </c>
      <c r="E38" s="53">
        <f>IF(AND(ISNUMBER(E37),N($C$6)&gt;0),E37/$C$6,"")</f>
        <v>24.8968360337189</v>
      </c>
      <c r="F38" s="23" t="inlineStr"/>
      <c r="G38" s="23" t="n"/>
      <c r="H38" s="23" t="n"/>
      <c r="I38" s="23" t="n"/>
      <c r="J38" s="23" t="n"/>
      <c r="K38" s="23" t="n"/>
      <c r="L38" s="23" t="n"/>
      <c r="M38" s="23" t="n"/>
    </row>
    <row r="39">
      <c r="B39" s="41" t="inlineStr">
        <is>
          <t>终值占经营价值</t>
        </is>
      </c>
      <c r="C39" s="38">
        <f>IF(AND(ISNUMBER(C34),N(C35)&gt;0),C34/C35,"")</f>
        <v>0.459728380515146</v>
      </c>
      <c r="D39" s="38">
        <f>IF(AND(ISNUMBER(D34),N(D35)&gt;0),D34/D35,"")</f>
        <v>0.579906025803685</v>
      </c>
      <c r="E39" s="38">
        <f>IF(AND(ISNUMBER(E34),N(E35)&gt;0),E34/E35,"")</f>
        <v>0.649810295682682</v>
      </c>
      <c r="F39" s="23" t="inlineStr">
        <is>
          <t>超过七成，说明估值主要押在 10 年以后，假设稍变结果就变很多。</t>
        </is>
      </c>
      <c r="G39" s="23" t="n"/>
      <c r="H39" s="23" t="n"/>
      <c r="I39" s="23" t="n"/>
      <c r="J39" s="23" t="n"/>
      <c r="K39" s="23" t="n"/>
      <c r="L39" s="23" t="n"/>
      <c r="M39" s="23" t="n"/>
    </row>
    <row r="40">
      <c r="B40" s="41" t="inlineStr">
        <is>
          <t>现价比每股价值高（+）或低（−）</t>
        </is>
      </c>
      <c r="C40" s="54">
        <f>IF(AND(ISNUMBER(C38),N(C38)&gt;0,ISNUMBER($C$5)),$C$5/C38-1,"")</f>
        <v>0.528020655550059</v>
      </c>
      <c r="D40" s="54">
        <f>IF(AND(ISNUMBER(D38),N(D38)&gt;0,ISNUMBER($C$5)),$C$5/D38-1,"")</f>
        <v>-0.0243556432510348</v>
      </c>
      <c r="E40" s="54">
        <f>IF(AND(ISNUMBER(E38),N(E38)&gt;0,ISNUMBER($C$5)),$C$5/E38-1,"")</f>
        <v>-0.309149163503937</v>
      </c>
      <c r="F40" s="23" t="inlineStr"/>
      <c r="G40" s="23" t="n"/>
      <c r="H40" s="23" t="n"/>
      <c r="I40" s="23" t="n"/>
      <c r="J40" s="23" t="n"/>
      <c r="K40" s="23" t="n"/>
      <c r="L40" s="23" t="n"/>
      <c r="M40" s="23" t="n"/>
    </row>
    <row r="41">
      <c r="B41" s="41" t="inlineStr">
        <is>
          <t>提示</t>
        </is>
      </c>
      <c r="C41" s="42" t="str">
        <f>IF(AND(ISNUMBER(C17),ISNUMBER(C18),C18&lt;=C17),"折现率要大于永续增长率",IF(N(C39)&gt;0.75,"终值占比过高",""))</f>
        <v/>
      </c>
      <c r="D41" s="42" t="str">
        <f>IF(AND(ISNUMBER(D17),ISNUMBER(D18),D18&lt;=D17),"折现率要大于永续增长率",IF(N(D39)&gt;0.75,"终值占比过高",""))</f>
        <v/>
      </c>
      <c r="E41" s="42" t="str">
        <f>IF(AND(ISNUMBER(E17),ISNUMBER(E18),E18&lt;=E17),"折现率要大于永续增长率",IF(N(E39)&gt;0.75,"终值占比过高",""))</f>
        <v/>
      </c>
      <c r="F41" s="23" t="inlineStr"/>
      <c r="G41" s="23" t="n"/>
      <c r="H41" s="23" t="n"/>
      <c r="I41" s="23" t="n"/>
      <c r="J41" s="23" t="n"/>
      <c r="K41" s="23" t="n"/>
      <c r="L41" s="23" t="n"/>
      <c r="M41" s="23" t="n"/>
    </row>
    <row r="43">
      <c r="B43" s="25" t="inlineStr">
        <is>
          <t>5. 买卖价位</t>
        </is>
      </c>
    </row>
    <row r="44" ht="18" customHeight="1">
      <c r="B44" s="41" t="inlineStr">
        <is>
          <t>要求的安全边际</t>
        </is>
      </c>
      <c r="C44" s="34" t="n">
        <v>0.3</v>
      </c>
      <c r="D44" s="23" t="inlineStr">
        <is>
          <t>价格比基准价值低多少才买。常见做法在两三成，按你对这家公司的把握定。</t>
        </is>
      </c>
      <c r="E44" s="23" t="n"/>
      <c r="F44" s="23" t="n"/>
      <c r="G44" s="23" t="n"/>
      <c r="H44" s="23" t="n"/>
      <c r="I44" s="23" t="n"/>
      <c r="J44" s="23" t="n"/>
      <c r="K44" s="23" t="n"/>
      <c r="L44" s="23" t="n"/>
      <c r="M44" s="23" t="n"/>
    </row>
    <row r="45" ht="18" customHeight="1">
      <c r="B45" s="15" t="inlineStr">
        <is>
          <t>买入价上限</t>
        </is>
      </c>
      <c r="C45" s="53">
        <f>IF(AND(ISNUMBER(D38),ISNUMBER(C44)),D38*(1-C44),"")</f>
        <v>12.3405623337172</v>
      </c>
      <c r="D45" s="23" t="inlineStr">
        <is>
          <t>等于基准情景每股价值 ×（1 − 要求的安全边际）。</t>
        </is>
      </c>
      <c r="E45" s="23" t="n"/>
      <c r="F45" s="23" t="n"/>
      <c r="G45" s="23" t="n"/>
      <c r="H45" s="23" t="n"/>
      <c r="I45" s="23" t="n"/>
      <c r="J45" s="23" t="n"/>
      <c r="K45" s="23" t="n"/>
      <c r="L45" s="23" t="n"/>
      <c r="M45" s="23" t="n"/>
    </row>
    <row r="46" ht="18" customHeight="1">
      <c r="B46" s="41" t="inlineStr">
        <is>
          <t>现在的安全边际（按现价）</t>
        </is>
      </c>
      <c r="C46" s="38">
        <f>IF(AND(ISNUMBER(D38),N(D38)&gt;0,ISNUMBER(C5)),(D38-C5)/D38,"")</f>
        <v>0.0243556432510348</v>
      </c>
      <c r="D46" s="23" t="inlineStr">
        <is>
          <t>负数说明现价已经高过基准价值。</t>
        </is>
      </c>
      <c r="E46" s="23" t="n"/>
      <c r="F46" s="23" t="n"/>
      <c r="G46" s="23" t="n"/>
      <c r="H46" s="23" t="n"/>
      <c r="I46" s="23" t="n"/>
      <c r="J46" s="23" t="n"/>
      <c r="K46" s="23" t="n"/>
      <c r="L46" s="23" t="n"/>
      <c r="M46" s="23" t="n"/>
    </row>
    <row r="47" ht="18" customHeight="1">
      <c r="B47" s="41" t="inlineStr">
        <is>
          <t>高估参考价（乐观情景每股价值）</t>
        </is>
      </c>
      <c r="C47" s="49">
        <f>IF(ISNUMBER(E38),E38,"")</f>
        <v>24.8968360337189</v>
      </c>
      <c r="D47" s="23" t="inlineStr">
        <is>
          <t>价格超过它，就是按最乐观的故事在定价了。</t>
        </is>
      </c>
      <c r="E47" s="23" t="n"/>
      <c r="F47" s="23" t="n"/>
      <c r="G47" s="23" t="n"/>
      <c r="H47" s="23" t="n"/>
      <c r="I47" s="23" t="n"/>
      <c r="J47" s="23" t="n"/>
      <c r="K47" s="23" t="n"/>
      <c r="L47" s="23" t="n"/>
      <c r="M47" s="23" t="n"/>
    </row>
    <row r="48" ht="29.2" customHeight="1">
      <c r="B48" s="15" t="inlineStr">
        <is>
          <t>现价大约押的前 5 年增速</t>
        </is>
      </c>
      <c r="C48" s="55" t="str">
        <f>IF(OR(NOT(ISNUMBER($C$5)),NOT(ISNUMBER($C$74))),"",IF(N($C$11)&lt;=0,"基期现金流不为正，不适用",IF($C$5&lt;$C$74,"低于 -10%",IF($C$5&gt;=$AQ$74,"高于 30%",TEXT(INDEX($C$73:$AQ$73,MATCH($C$5,$C$74:$AQ$74,1)),"0%")&amp;"～"&amp;TEXT(INDEX($C$73:$AQ$73,MATCH($C$5,$C$74:$AQ$74,1))+0.01,"0%")))))</f>
        <v>8%～9%</v>
      </c>
      <c r="D48" s="23" t="inlineStr">
        <is>
          <t>保持基准情景的其他假设不变，前 5 年增速要多少，每股价值才等于现价。问自己：它能连续 5 年做到吗？</t>
        </is>
      </c>
      <c r="E48" s="23" t="n"/>
      <c r="F48" s="23" t="n"/>
      <c r="G48" s="23" t="n"/>
      <c r="H48" s="23" t="n"/>
      <c r="I48" s="23" t="n"/>
      <c r="J48" s="23" t="n"/>
      <c r="K48" s="23" t="n"/>
      <c r="L48" s="23" t="n"/>
      <c r="M48" s="23" t="n"/>
    </row>
    <row r="49" ht="18" customHeight="1">
      <c r="B49" s="41" t="inlineStr">
        <is>
          <t>核对：敏感性表中心格和基准一致</t>
        </is>
      </c>
      <c r="C49" s="42" t="str">
        <f>IF(AND(ISNUMBER(E55),ISNUMBER(D38)),IF(ABS(E55-D38)&lt;0.005,"一致","不一致，检查公式"),"")</f>
        <v>一致</v>
      </c>
      <c r="D49" s="23" t="inlineStr">
        <is>
          <t>两种算法算同一个数，用来查公式有没有被改坏。</t>
        </is>
      </c>
      <c r="E49" s="23" t="n"/>
      <c r="F49" s="23" t="n"/>
      <c r="G49" s="23" t="n"/>
      <c r="H49" s="23" t="n"/>
      <c r="I49" s="23" t="n"/>
      <c r="J49" s="23" t="n"/>
      <c r="K49" s="23" t="n"/>
      <c r="L49" s="23" t="n"/>
      <c r="M49" s="23" t="n"/>
    </row>
    <row r="51">
      <c r="B51" s="25" t="inlineStr">
        <is>
          <t>6. 敏感性：基准情景的每股价值（行：前 5 年增速；列：折现率）</t>
        </is>
      </c>
    </row>
    <row r="52">
      <c r="B52" s="26" t="inlineStr">
        <is>
          <t>前 5 年增速 ＼ 折现率</t>
        </is>
      </c>
      <c r="C52" s="45">
        <f>IF(ISNUMBER($D$18),$D$18-0.01,"")</f>
        <v>0.08</v>
      </c>
      <c r="D52" s="45">
        <f>IF(ISNUMBER($D$18),$D$18-0.005,"")</f>
        <v>0.085</v>
      </c>
      <c r="E52" s="45">
        <f>IF(ISNUMBER($D$18),$D$18,"")</f>
        <v>0.09</v>
      </c>
      <c r="F52" s="45">
        <f>IF(ISNUMBER($D$18),$D$18+0.005,"")</f>
        <v>0.095</v>
      </c>
      <c r="G52" s="45">
        <f>IF(ISNUMBER($D$18),$D$18+0.01,"")</f>
        <v>0.1</v>
      </c>
      <c r="H52" s="23" t="inlineStr">
        <is>
          <t>数字落在现价上下一成以内的格子标了底色：现在的价格，大致对应这几组增速和折现率。中间那一格就是基准情景。增速或折现率差一两个点，价值能差出一大截，所以只看区间，不看一个数。</t>
        </is>
      </c>
      <c r="I52" s="23" t="n"/>
      <c r="J52" s="23" t="n"/>
      <c r="K52" s="23" t="n"/>
      <c r="L52" s="23" t="n"/>
      <c r="M52" s="23" t="n"/>
    </row>
    <row r="53">
      <c r="B53" s="45">
        <f>IF(ISNUMBER($D$15),$D$15-0.06,"")</f>
        <v>0.03</v>
      </c>
      <c r="C53" s="49">
        <f>IF(OR(NOT(ISNUMBER($C$11)),N($C$6)&lt;=0,C$52&lt;=$D$17),"",($C$11*(IF(ABS(((1+$B53)/(1+C$52))-1)&lt;1E-9,5,((1+$B53)/(1+C$52))*(1-((1+$B53)/(1+C$52))^5)/(1-((1+$B53)/(1+C$52))))+((1+$B53)/(1+C$52))^5*IF(ABS(((1+$D$16)/(1+C$52))-1)&lt;1E-9,5,((1+$D$16)/(1+C$52))*(1-((1+$D$16)/(1+C$52))^5)/(1-((1+$D$16)/(1+C$52))))+((1+$B53)/(1+C$52))^5*((1+$D$16)/(1+C$52))^5*(1+$D$17)/(C$52-$D$17))+$C$9)/$C$6)</f>
        <v>16.362884097529</v>
      </c>
      <c r="D53" s="49">
        <f>IF(OR(NOT(ISNUMBER($C$11)),N($C$6)&lt;=0,D$52&lt;=$D$17),"",($C$11*(IF(ABS(((1+$B53)/(1+D$52))-1)&lt;1E-9,5,((1+$B53)/(1+D$52))*(1-((1+$B53)/(1+D$52))^5)/(1-((1+$B53)/(1+D$52))))+((1+$B53)/(1+D$52))^5*IF(ABS(((1+$D$16)/(1+D$52))-1)&lt;1E-9,5,((1+$D$16)/(1+D$52))*(1-((1+$D$16)/(1+D$52))^5)/(1-((1+$D$16)/(1+D$52))))+((1+$B53)/(1+D$52))^5*((1+$D$16)/(1+D$52))^5*(1+$D$17)/(D$52-$D$17))+$C$9)/$C$6)</f>
        <v>15.1159874952471</v>
      </c>
      <c r="E53" s="49">
        <f>IF(OR(NOT(ISNUMBER($C$11)),N($C$6)&lt;=0,E$52&lt;=$D$17),"",($C$11*(IF(ABS(((1+$B53)/(1+E$52))-1)&lt;1E-9,5,((1+$B53)/(1+E$52))*(1-((1+$B53)/(1+E$52))^5)/(1-((1+$B53)/(1+E$52))))+((1+$B53)/(1+E$52))^5*IF(ABS(((1+$D$16)/(1+E$52))-1)&lt;1E-9,5,((1+$D$16)/(1+E$52))*(1-((1+$D$16)/(1+E$52))^5)/(1-((1+$D$16)/(1+E$52))))+((1+$B53)/(1+E$52))^5*((1+$D$16)/(1+E$52))^5*(1+$D$17)/(E$52-$D$17))+$C$9)/$C$6)</f>
        <v>14.062138201339</v>
      </c>
      <c r="F53" s="49">
        <f>IF(OR(NOT(ISNUMBER($C$11)),N($C$6)&lt;=0,F$52&lt;=$D$17),"",($C$11*(IF(ABS(((1+$B53)/(1+F$52))-1)&lt;1E-9,5,((1+$B53)/(1+F$52))*(1-((1+$B53)/(1+F$52))^5)/(1-((1+$B53)/(1+F$52))))+((1+$B53)/(1+F$52))^5*IF(ABS(((1+$D$16)/(1+F$52))-1)&lt;1E-9,5,((1+$D$16)/(1+F$52))*(1-((1+$D$16)/(1+F$52))^5)/(1-((1+$D$16)/(1+F$52))))+((1+$B53)/(1+F$52))^5*((1+$D$16)/(1+F$52))^5*(1+$D$17)/(F$52-$D$17))+$C$9)/$C$6)</f>
        <v>13.1599215403624</v>
      </c>
      <c r="G53" s="49">
        <f>IF(OR(NOT(ISNUMBER($C$11)),N($C$6)&lt;=0,G$52&lt;=$D$17),"",($C$11*(IF(ABS(((1+$B53)/(1+G$52))-1)&lt;1E-9,5,((1+$B53)/(1+G$52))*(1-((1+$B53)/(1+G$52))^5)/(1-((1+$B53)/(1+G$52))))+((1+$B53)/(1+G$52))^5*IF(ABS(((1+$D$16)/(1+G$52))-1)&lt;1E-9,5,((1+$D$16)/(1+G$52))*(1-((1+$D$16)/(1+G$52))^5)/(1-((1+$D$16)/(1+G$52))))+((1+$B53)/(1+G$52))^5*((1+$D$16)/(1+G$52))^5*(1+$D$17)/(G$52-$D$17))+$C$9)/$C$6)</f>
        <v>12.3789688431845</v>
      </c>
      <c r="H53" s="23" t="n"/>
      <c r="I53" s="23" t="n"/>
      <c r="J53" s="23" t="n"/>
      <c r="K53" s="23" t="n"/>
      <c r="L53" s="23" t="n"/>
      <c r="M53" s="23" t="n"/>
    </row>
    <row r="54">
      <c r="B54" s="45">
        <f>IF(ISNUMBER($D$15),$D$15-0.03,"")</f>
        <v>0.06</v>
      </c>
      <c r="C54" s="49">
        <f>IF(OR(NOT(ISNUMBER($C$11)),N($C$6)&lt;=0,C$52&lt;=$D$17),"",($C$11*(IF(ABS(((1+$B54)/(1+C$52))-1)&lt;1E-9,5,((1+$B54)/(1+C$52))*(1-((1+$B54)/(1+C$52))^5)/(1-((1+$B54)/(1+C$52))))+((1+$B54)/(1+C$52))^5*IF(ABS(((1+$D$16)/(1+C$52))-1)&lt;1E-9,5,((1+$D$16)/(1+C$52))*(1-((1+$D$16)/(1+C$52))^5)/(1-((1+$D$16)/(1+C$52))))+((1+$B54)/(1+C$52))^5*((1+$D$16)/(1+C$52))^5*(1+$D$17)/(C$52-$D$17))+$C$9)/$C$6)</f>
        <v>18.4024150799694</v>
      </c>
      <c r="D54" s="49">
        <f>IF(OR(NOT(ISNUMBER($C$11)),N($C$6)&lt;=0,D$52&lt;=$D$17),"",($C$11*(IF(ABS(((1+$B54)/(1+D$52))-1)&lt;1E-9,5,((1+$B54)/(1+D$52))*(1-((1+$B54)/(1+D$52))^5)/(1-((1+$B54)/(1+D$52))))+((1+$B54)/(1+D$52))^5*IF(ABS(((1+$D$16)/(1+D$52))-1)&lt;1E-9,5,((1+$D$16)/(1+D$52))*(1-((1+$D$16)/(1+D$52))^5)/(1-((1+$D$16)/(1+D$52))))+((1+$B54)/(1+D$52))^5*((1+$D$16)/(1+D$52))^5*(1+$D$17)/(D$52-$D$17))+$C$9)/$C$6)</f>
        <v>16.9648687424589</v>
      </c>
      <c r="E54" s="49">
        <f>IF(OR(NOT(ISNUMBER($C$11)),N($C$6)&lt;=0,E$52&lt;=$D$17),"",($C$11*(IF(ABS(((1+$B54)/(1+E$52))-1)&lt;1E-9,5,((1+$B54)/(1+E$52))*(1-((1+$B54)/(1+E$52))^5)/(1-((1+$B54)/(1+E$52))))+((1+$B54)/(1+E$52))^5*IF(ABS(((1+$D$16)/(1+E$52))-1)&lt;1E-9,5,((1+$D$16)/(1+E$52))*(1-((1+$D$16)/(1+E$52))^5)/(1-((1+$D$16)/(1+E$52))))+((1+$B54)/(1+E$52))^5*((1+$D$16)/(1+E$52))^5*(1+$D$17)/(E$52-$D$17))+$C$9)/$C$6)</f>
        <v>15.7501405752114</v>
      </c>
      <c r="F54" s="49">
        <f>IF(OR(NOT(ISNUMBER($C$11)),N($C$6)&lt;=0,F$52&lt;=$D$17),"",($C$11*(IF(ABS(((1+$B54)/(1+F$52))-1)&lt;1E-9,5,((1+$B54)/(1+F$52))*(1-((1+$B54)/(1+F$52))^5)/(1-((1+$B54)/(1+F$52))))+((1+$B54)/(1+F$52))^5*IF(ABS(((1+$D$16)/(1+F$52))-1)&lt;1E-9,5,((1+$D$16)/(1+F$52))*(1-((1+$D$16)/(1+F$52))^5)/(1-((1+$D$16)/(1+F$52))))+((1+$B54)/(1+F$52))^5*((1+$D$16)/(1+F$52))^5*(1+$D$17)/(F$52-$D$17))+$C$9)/$C$6)</f>
        <v>14.7104235467237</v>
      </c>
      <c r="G54" s="49">
        <f>IF(OR(NOT(ISNUMBER($C$11)),N($C$6)&lt;=0,G$52&lt;=$D$17),"",($C$11*(IF(ABS(((1+$B54)/(1+G$52))-1)&lt;1E-9,5,((1+$B54)/(1+G$52))*(1-((1+$B54)/(1+G$52))^5)/(1-((1+$B54)/(1+G$52))))+((1+$B54)/(1+G$52))^5*IF(ABS(((1+$D$16)/(1+G$52))-1)&lt;1E-9,5,((1+$D$16)/(1+G$52))*(1-((1+$D$16)/(1+G$52))^5)/(1-((1+$D$16)/(1+G$52))))+((1+$B54)/(1+G$52))^5*((1+$D$16)/(1+G$52))^5*(1+$D$17)/(G$52-$D$17))+$C$9)/$C$6)</f>
        <v>13.8106617332051</v>
      </c>
      <c r="H54" s="23" t="n"/>
      <c r="I54" s="23" t="n"/>
      <c r="J54" s="23" t="n"/>
      <c r="K54" s="23" t="n"/>
      <c r="L54" s="23" t="n"/>
      <c r="M54" s="23" t="n"/>
    </row>
    <row r="55">
      <c r="B55" s="45">
        <f>IF(ISNUMBER($D$15),$D$15,"")</f>
        <v>0.09</v>
      </c>
      <c r="C55" s="49">
        <f>IF(OR(NOT(ISNUMBER($C$11)),N($C$6)&lt;=0,C$52&lt;=$D$17),"",($C$11*(IF(ABS(((1+$B55)/(1+C$52))-1)&lt;1E-9,5,((1+$B55)/(1+C$52))*(1-((1+$B55)/(1+C$52))^5)/(1-((1+$B55)/(1+C$52))))+((1+$B55)/(1+C$52))^5*IF(ABS(((1+$D$16)/(1+C$52))-1)&lt;1E-9,5,((1+$D$16)/(1+C$52))*(1-((1+$D$16)/(1+C$52))^5)/(1-((1+$D$16)/(1+C$52))))+((1+$B55)/(1+C$52))^5*((1+$D$16)/(1+C$52))^5*(1+$D$17)/(C$52-$D$17))+$C$9)/$C$6)</f>
        <v>20.6750521989116</v>
      </c>
      <c r="D55" s="49">
        <f>IF(OR(NOT(ISNUMBER($C$11)),N($C$6)&lt;=0,D$52&lt;=$D$17),"",($C$11*(IF(ABS(((1+$B55)/(1+D$52))-1)&lt;1E-9,5,((1+$B55)/(1+D$52))*(1-((1+$B55)/(1+D$52))^5)/(1-((1+$B55)/(1+D$52))))+((1+$B55)/(1+D$52))^5*IF(ABS(((1+$D$16)/(1+D$52))-1)&lt;1E-9,5,((1+$D$16)/(1+D$52))*(1-((1+$D$16)/(1+D$52))^5)/(1-((1+$D$16)/(1+D$52))))+((1+$B55)/(1+D$52))^5*((1+$D$16)/(1+D$52))^5*(1+$D$17)/(D$52-$D$17))+$C$9)/$C$6)</f>
        <v>19.0241361319117</v>
      </c>
      <c r="E55" s="56">
        <f>IF(OR(NOT(ISNUMBER($C$11)),N($C$6)&lt;=0,E$52&lt;=$D$17),"",($C$11*(IF(ABS(((1+$B55)/(1+E$52))-1)&lt;1E-9,5,((1+$B55)/(1+E$52))*(1-((1+$B55)/(1+E$52))^5)/(1-((1+$B55)/(1+E$52))))+((1+$B55)/(1+E$52))^5*IF(ABS(((1+$D$16)/(1+E$52))-1)&lt;1E-9,5,((1+$D$16)/(1+E$52))*(1-((1+$D$16)/(1+E$52))^5)/(1-((1+$D$16)/(1+E$52))))+((1+$B55)/(1+E$52))^5*((1+$D$16)/(1+E$52))^5*(1+$D$17)/(E$52-$D$17))+$C$9)/$C$6)</f>
        <v>17.6293747624531</v>
      </c>
      <c r="F55" s="49">
        <f>IF(OR(NOT(ISNUMBER($C$11)),N($C$6)&lt;=0,F$52&lt;=$D$17),"",($C$11*(IF(ABS(((1+$B55)/(1+F$52))-1)&lt;1E-9,5,((1+$B55)/(1+F$52))*(1-((1+$B55)/(1+F$52))^5)/(1-((1+$B55)/(1+F$52))))+((1+$B55)/(1+F$52))^5*IF(ABS(((1+$D$16)/(1+F$52))-1)&lt;1E-9,5,((1+$D$16)/(1+F$52))*(1-((1+$D$16)/(1+F$52))^5)/(1-((1+$D$16)/(1+F$52))))+((1+$B55)/(1+F$52))^5*((1+$D$16)/(1+F$52))^5*(1+$D$17)/(F$52-$D$17))+$C$9)/$C$6)</f>
        <v>16.4358026491015</v>
      </c>
      <c r="G55" s="49">
        <f>IF(OR(NOT(ISNUMBER($C$11)),N($C$6)&lt;=0,G$52&lt;=$D$17),"",($C$11*(IF(ABS(((1+$B55)/(1+G$52))-1)&lt;1E-9,5,((1+$B55)/(1+G$52))*(1-((1+$B55)/(1+G$52))^5)/(1-((1+$B55)/(1+G$52))))+((1+$B55)/(1+G$52))^5*IF(ABS(((1+$D$16)/(1+G$52))-1)&lt;1E-9,5,((1+$D$16)/(1+G$52))*(1-((1+$D$16)/(1+G$52))^5)/(1-((1+$D$16)/(1+G$52))))+((1+$B55)/(1+G$52))^5*((1+$D$16)/(1+G$52))^5*(1+$D$17)/(G$52-$D$17))+$C$9)/$C$6)</f>
        <v>15.403114910007</v>
      </c>
      <c r="H55" s="23" t="n"/>
      <c r="I55" s="23" t="n"/>
      <c r="J55" s="23" t="n"/>
      <c r="K55" s="23" t="n"/>
      <c r="L55" s="23" t="n"/>
      <c r="M55" s="23" t="n"/>
    </row>
    <row r="56">
      <c r="B56" s="45">
        <f>IF(ISNUMBER($D$15),$D$15+0.03,"")</f>
        <v>0.12</v>
      </c>
      <c r="C56" s="49">
        <f>IF(OR(NOT(ISNUMBER($C$11)),N($C$6)&lt;=0,C$52&lt;=$D$17),"",($C$11*(IF(ABS(((1+$B56)/(1+C$52))-1)&lt;1E-9,5,((1+$B56)/(1+C$52))*(1-((1+$B56)/(1+C$52))^5)/(1-((1+$B56)/(1+C$52))))+((1+$B56)/(1+C$52))^5*IF(ABS(((1+$D$16)/(1+C$52))-1)&lt;1E-9,5,((1+$D$16)/(1+C$52))*(1-((1+$D$16)/(1+C$52))^5)/(1-((1+$D$16)/(1+C$52))))+((1+$B56)/(1+C$52))^5*((1+$D$16)/(1+C$52))^5*(1+$D$17)/(C$52-$D$17))+$C$9)/$C$6)</f>
        <v>23.2006786410487</v>
      </c>
      <c r="D56" s="49">
        <f>IF(OR(NOT(ISNUMBER($C$11)),N($C$6)&lt;=0,D$52&lt;=$D$17),"",($C$11*(IF(ABS(((1+$B56)/(1+D$52))-1)&lt;1E-9,5,((1+$B56)/(1+D$52))*(1-((1+$B56)/(1+D$52))^5)/(1-((1+$B56)/(1+D$52))))+((1+$B56)/(1+D$52))^5*IF(ABS(((1+$D$16)/(1+D$52))-1)&lt;1E-9,5,((1+$D$16)/(1+D$52))*(1-((1+$D$16)/(1+D$52))^5)/(1-((1+$D$16)/(1+D$52))))+((1+$B56)/(1+D$52))^5*((1+$D$16)/(1+D$52))^5*(1+$D$17)/(D$52-$D$17))+$C$9)/$C$6)</f>
        <v>21.3116960892466</v>
      </c>
      <c r="E56" s="49">
        <f>IF(OR(NOT(ISNUMBER($C$11)),N($C$6)&lt;=0,E$52&lt;=$D$17),"",($C$11*(IF(ABS(((1+$B56)/(1+E$52))-1)&lt;1E-9,5,((1+$B56)/(1+E$52))*(1-((1+$B56)/(1+E$52))^5)/(1-((1+$B56)/(1+E$52))))+((1+$B56)/(1+E$52))^5*IF(ABS(((1+$D$16)/(1+E$52))-1)&lt;1E-9,5,((1+$D$16)/(1+E$52))*(1-((1+$D$16)/(1+E$52))^5)/(1-((1+$D$16)/(1+E$52))))+((1+$B56)/(1+E$52))^5*((1+$D$16)/(1+E$52))^5*(1+$D$17)/(E$52-$D$17))+$C$9)/$C$6)</f>
        <v>19.7160816006955</v>
      </c>
      <c r="F56" s="49">
        <f>IF(OR(NOT(ISNUMBER($C$11)),N($C$6)&lt;=0,F$52&lt;=$D$17),"",($C$11*(IF(ABS(((1+$B56)/(1+F$52))-1)&lt;1E-9,5,((1+$B56)/(1+F$52))*(1-((1+$B56)/(1+F$52))^5)/(1-((1+$B56)/(1+F$52))))+((1+$B56)/(1+F$52))^5*IF(ABS(((1+$D$16)/(1+F$52))-1)&lt;1E-9,5,((1+$D$16)/(1+F$52))*(1-((1+$D$16)/(1+F$52))^5)/(1-((1+$D$16)/(1+F$52))))+((1+$B56)/(1+F$52))^5*((1+$D$16)/(1+F$52))^5*(1+$D$17)/(F$52-$D$17))+$C$9)/$C$6)</f>
        <v>18.350878391174</v>
      </c>
      <c r="G56" s="49">
        <f>IF(OR(NOT(ISNUMBER($C$11)),N($C$6)&lt;=0,G$52&lt;=$D$17),"",($C$11*(IF(ABS(((1+$B56)/(1+G$52))-1)&lt;1E-9,5,((1+$B56)/(1+G$52))*(1-((1+$B56)/(1+G$52))^5)/(1-((1+$B56)/(1+G$52))))+((1+$B56)/(1+G$52))^5*IF(ABS(((1+$D$16)/(1+G$52))-1)&lt;1E-9,5,((1+$D$16)/(1+G$52))*(1-((1+$D$16)/(1+G$52))^5)/(1-((1+$D$16)/(1+G$52))))+((1+$B56)/(1+G$52))^5*((1+$D$16)/(1+G$52))^5*(1+$D$17)/(G$52-$D$17))+$C$9)/$C$6)</f>
        <v>17.1699218796547</v>
      </c>
      <c r="H56" s="23" t="n"/>
      <c r="I56" s="23" t="n"/>
      <c r="J56" s="23" t="n"/>
      <c r="K56" s="23" t="n"/>
      <c r="L56" s="23" t="n"/>
      <c r="M56" s="23" t="n"/>
    </row>
    <row r="57">
      <c r="B57" s="45">
        <f>IF(ISNUMBER($D$15),$D$15+0.06,"")</f>
        <v>0.15</v>
      </c>
      <c r="C57" s="49">
        <f>IF(OR(NOT(ISNUMBER($C$11)),N($C$6)&lt;=0,C$52&lt;=$D$17),"",($C$11*(IF(ABS(((1+$B57)/(1+C$52))-1)&lt;1E-9,5,((1+$B57)/(1+C$52))*(1-((1+$B57)/(1+C$52))^5)/(1-((1+$B57)/(1+C$52))))+((1+$B57)/(1+C$52))^5*IF(ABS(((1+$D$16)/(1+C$52))-1)&lt;1E-9,5,((1+$D$16)/(1+C$52))*(1-((1+$D$16)/(1+C$52))^5)/(1-((1+$D$16)/(1+C$52))))+((1+$B57)/(1+C$52))^5*((1+$D$16)/(1+C$52))^5*(1+$D$17)/(C$52-$D$17))+$C$9)/$C$6)</f>
        <v>26.0002872473101</v>
      </c>
      <c r="D57" s="49">
        <f>IF(OR(NOT(ISNUMBER($C$11)),N($C$6)&lt;=0,D$52&lt;=$D$17),"",($C$11*(IF(ABS(((1+$B57)/(1+D$52))-1)&lt;1E-9,5,((1+$B57)/(1+D$52))*(1-((1+$B57)/(1+D$52))^5)/(1-((1+$B57)/(1+D$52))))+((1+$B57)/(1+D$52))^5*IF(ABS(((1+$D$16)/(1+D$52))-1)&lt;1E-9,5,((1+$D$16)/(1+D$52))*(1-((1+$D$16)/(1+D$52))^5)/(1-((1+$D$16)/(1+D$52))))+((1+$B57)/(1+D$52))^5*((1+$D$16)/(1+D$52))^5*(1+$D$17)/(D$52-$D$17))+$C$9)/$C$6)</f>
        <v>23.8464531040026</v>
      </c>
      <c r="E57" s="49">
        <f>IF(OR(NOT(ISNUMBER($C$11)),N($C$6)&lt;=0,E$52&lt;=$D$17),"",($C$11*(IF(ABS(((1+$B57)/(1+E$52))-1)&lt;1E-9,5,((1+$B57)/(1+E$52))*(1-((1+$B57)/(1+E$52))^5)/(1-((1+$B57)/(1+E$52))))+((1+$B57)/(1+E$52))^5*IF(ABS(((1+$D$16)/(1+E$52))-1)&lt;1E-9,5,((1+$D$16)/(1+E$52))*(1-((1+$D$16)/(1+E$52))^5)/(1-((1+$D$16)/(1+E$52))))+((1+$B57)/(1+E$52))^5*((1+$D$16)/(1+E$52))^5*(1+$D$17)/(E$52-$D$17))+$C$9)/$C$6)</f>
        <v>22.0274060022742</v>
      </c>
      <c r="F57" s="49">
        <f>IF(OR(NOT(ISNUMBER($C$11)),N($C$6)&lt;=0,F$52&lt;=$D$17),"",($C$11*(IF(ABS(((1+$B57)/(1+F$52))-1)&lt;1E-9,5,((1+$B57)/(1+F$52))*(1-((1+$B57)/(1+F$52))^5)/(1-((1+$B57)/(1+F$52))))+((1+$B57)/(1+F$52))^5*IF(ABS(((1+$D$16)/(1+F$52))-1)&lt;1E-9,5,((1+$D$16)/(1+F$52))*(1-((1+$D$16)/(1+F$52))^5)/(1-((1+$D$16)/(1+F$52))))+((1+$B57)/(1+F$52))^5*((1+$D$16)/(1+F$52))^5*(1+$D$17)/(F$52-$D$17))+$C$9)/$C$6)</f>
        <v>20.4712942192927</v>
      </c>
      <c r="G57" s="49">
        <f>IF(OR(NOT(ISNUMBER($C$11)),N($C$6)&lt;=0,G$52&lt;=$D$17),"",($C$11*(IF(ABS(((1+$B57)/(1+G$52))-1)&lt;1E-9,5,((1+$B57)/(1+G$52))*(1-((1+$B57)/(1+G$52))^5)/(1-((1+$B57)/(1+G$52))))+((1+$B57)/(1+G$52))^5*IF(ABS(((1+$D$16)/(1+G$52))-1)&lt;1E-9,5,((1+$D$16)/(1+G$52))*(1-((1+$D$16)/(1+G$52))^5)/(1-((1+$D$16)/(1+G$52))))+((1+$B57)/(1+G$52))^5*((1+$D$16)/(1+G$52))^5*(1+$D$17)/(G$52-$D$17))+$C$9)/$C$6)</f>
        <v>19.1254309215178</v>
      </c>
      <c r="H57" s="23" t="n"/>
      <c r="I57" s="23" t="n"/>
      <c r="J57" s="23" t="n"/>
      <c r="K57" s="23" t="n"/>
      <c r="L57" s="23" t="n"/>
      <c r="M57" s="23" t="n"/>
    </row>
    <row r="59">
      <c r="B59" s="25" t="inlineStr">
        <is>
          <t>7. 可比公司（相对估值）</t>
        </is>
      </c>
    </row>
    <row r="60">
      <c r="B60" s="26" t="inlineStr">
        <is>
          <t>公司</t>
        </is>
      </c>
      <c r="C60" s="26" t="inlineStr">
        <is>
          <t>市盈率 PE</t>
        </is>
      </c>
      <c r="D60" s="26" t="inlineStr">
        <is>
          <t>市净率 PB</t>
        </is>
      </c>
      <c r="E60" s="26" t="inlineStr">
        <is>
          <t>市销率 PS</t>
        </is>
      </c>
      <c r="F60" s="26" t="inlineStr">
        <is>
          <t>收入增速</t>
        </is>
      </c>
      <c r="G60" s="26" t="inlineStr">
        <is>
          <t>ROE</t>
        </is>
      </c>
      <c r="H60" s="26" t="inlineStr">
        <is>
          <t>为什么可比（业务、规模、增速）</t>
        </is>
      </c>
      <c r="I60" s="26" t="n"/>
      <c r="J60" s="26" t="n"/>
      <c r="K60" s="26" t="n"/>
      <c r="L60" s="26" t="n"/>
      <c r="M60" s="26" t="n"/>
    </row>
    <row r="61">
      <c r="B61" s="16" t="inlineStr">
        <is>
          <t>示例同行乙（虚构）</t>
        </is>
      </c>
      <c r="C61" s="57" t="n">
        <v>22</v>
      </c>
      <c r="D61" s="48" t="n">
        <v>3.6</v>
      </c>
      <c r="E61" s="48" t="n">
        <v>2.9</v>
      </c>
      <c r="F61" s="34" t="n">
        <v>0.12</v>
      </c>
      <c r="G61" s="34" t="n">
        <v>0.17</v>
      </c>
      <c r="H61" s="16" t="inlineStr">
        <is>
          <t>同样卖设备加耗材，规模大一倍</t>
        </is>
      </c>
      <c r="I61" s="16" t="n"/>
      <c r="J61" s="16" t="n"/>
      <c r="K61" s="16" t="n"/>
      <c r="L61" s="16" t="n"/>
      <c r="M61" s="16" t="n"/>
    </row>
    <row r="62">
      <c r="B62" s="16" t="inlineStr">
        <is>
          <t>示例同行丙（虚构）</t>
        </is>
      </c>
      <c r="C62" s="57" t="n">
        <v>15</v>
      </c>
      <c r="D62" s="48" t="n">
        <v>2.1</v>
      </c>
      <c r="E62" s="48" t="n">
        <v>1.6</v>
      </c>
      <c r="F62" s="34" t="n">
        <v>0.06</v>
      </c>
      <c r="G62" s="34" t="n">
        <v>0.13</v>
      </c>
      <c r="H62" s="16" t="inlineStr">
        <is>
          <t>只卖设备，耗材很少</t>
        </is>
      </c>
      <c r="I62" s="16" t="n"/>
      <c r="J62" s="16" t="n"/>
      <c r="K62" s="16" t="n"/>
      <c r="L62" s="16" t="n"/>
      <c r="M62" s="16" t="n"/>
    </row>
    <row r="63">
      <c r="B63" s="16" t="inlineStr">
        <is>
          <t>示例同行丁（虚构）</t>
        </is>
      </c>
      <c r="C63" s="57" t="n">
        <v>18</v>
      </c>
      <c r="D63" s="48" t="n">
        <v>2.8</v>
      </c>
      <c r="E63" s="48" t="n">
        <v>2.2</v>
      </c>
      <c r="F63" s="34" t="n">
        <v>0.09</v>
      </c>
      <c r="G63" s="34" t="n">
        <v>0.15</v>
      </c>
      <c r="H63" s="16" t="inlineStr">
        <is>
          <t>渠道相近，偏家用</t>
        </is>
      </c>
      <c r="I63" s="16" t="n"/>
      <c r="J63" s="16" t="n"/>
      <c r="K63" s="16" t="n"/>
      <c r="L63" s="16" t="n"/>
      <c r="M63" s="16" t="n"/>
    </row>
    <row r="64">
      <c r="B64" s="16" t="inlineStr">
        <is>
          <t>示例同行戊（虚构）</t>
        </is>
      </c>
      <c r="C64" s="57" t="n">
        <v>26</v>
      </c>
      <c r="D64" s="48" t="n">
        <v>4.4</v>
      </c>
      <c r="E64" s="48" t="n">
        <v>3.5</v>
      </c>
      <c r="F64" s="34" t="n">
        <v>0.18</v>
      </c>
      <c r="G64" s="34" t="n">
        <v>0.2</v>
      </c>
      <c r="H64" s="16" t="inlineStr">
        <is>
          <t>增速更快，估值也更贵</t>
        </is>
      </c>
      <c r="I64" s="16" t="n"/>
      <c r="J64" s="16" t="n"/>
      <c r="K64" s="16" t="n"/>
      <c r="L64" s="16" t="n"/>
      <c r="M64" s="16" t="n"/>
    </row>
    <row r="65">
      <c r="B65" s="16" t="n"/>
      <c r="C65" s="57" t="n"/>
      <c r="D65" s="48" t="n"/>
      <c r="E65" s="48" t="n"/>
      <c r="F65" s="34" t="n"/>
      <c r="G65" s="34" t="n"/>
      <c r="H65" s="16" t="n"/>
      <c r="I65" s="16" t="n"/>
      <c r="J65" s="16" t="n"/>
      <c r="K65" s="16" t="n"/>
      <c r="L65" s="16" t="n"/>
      <c r="M65" s="16" t="n"/>
    </row>
    <row r="66">
      <c r="B66" s="15" t="inlineStr">
        <is>
          <t>中位数</t>
        </is>
      </c>
      <c r="C66" s="58">
        <f>IF(COUNT(C61:C65)=0,"",MEDIAN(C61:C65))</f>
        <v>20</v>
      </c>
      <c r="D66" s="53">
        <f>IF(COUNT(D61:D65)=0,"",MEDIAN(D61:D65))</f>
        <v>3.2</v>
      </c>
      <c r="E66" s="53">
        <f>IF(COUNT(E61:E65)=0,"",MEDIAN(E61:E65))</f>
        <v>2.55</v>
      </c>
      <c r="F66" s="45">
        <f>IF(COUNT(F61:F65)=0,"",MEDIAN(F61:F65))</f>
        <v>0.105</v>
      </c>
      <c r="G66" s="45">
        <f>IF(COUNT(G61:G65)=0,"",MEDIAN(G61:G65))</f>
        <v>0.16</v>
      </c>
    </row>
    <row r="67">
      <c r="B67" s="41" t="inlineStr">
        <is>
          <t>本公司每股数（财务页最近一年）</t>
        </is>
      </c>
      <c r="C67" s="28">
        <f>IF(COUNT('例-财务'!$C$6:$G$6)=0,"",INDEX('例-财务'!$C$51:$G$51,COUNT('例-财务'!$C$6:$G$6)))</f>
        <v>1.02</v>
      </c>
      <c r="D67" s="28">
        <f>IF(COUNT('例-财务'!$C$6:$G$6)=0,"",INDEX('例-财务'!$C$52:$G$52,COUNT('例-财务'!$C$6:$G$6)))</f>
        <v>5.88</v>
      </c>
      <c r="E67" s="28">
        <f>IF(OR(IF(COUNT('例-财务'!$C$6:$G$6)=0,"",INDEX('例-财务'!$C$6:$G$6,COUNT('例-财务'!$C$6:$G$6)))="",N(IF(COUNT('例-财务'!$C$6:$G$6)=0,"",INDEX('例-财务'!$C$30:$G$30,COUNT('例-财务'!$C$6:$G$6))))=0),"",IF(COUNT('例-财务'!$C$6:$G$6)=0,"",INDEX('例-财务'!$C$6:$G$6,COUNT('例-财务'!$C$6:$G$6)))/IF(COUNT('例-财务'!$C$6:$G$6)=0,"",INDEX('例-财务'!$C$30:$G$30,COUNT('例-财务'!$C$6:$G$6))))</f>
        <v>6.64</v>
      </c>
      <c r="F67" s="23" t="inlineStr">
        <is>
          <t>第 67 行依次是每股收益、每股净资产、每股收入。可比公司要真可比；整个行业都贵的时候，相对便宜不等于便宜。</t>
        </is>
      </c>
      <c r="G67" s="23" t="n"/>
      <c r="H67" s="23" t="n"/>
      <c r="I67" s="23" t="n"/>
      <c r="J67" s="23" t="n"/>
      <c r="K67" s="23" t="n"/>
      <c r="L67" s="23" t="n"/>
      <c r="M67" s="23" t="n"/>
    </row>
    <row r="68">
      <c r="B68" s="15" t="inlineStr">
        <is>
          <t>按中位数推算的每股价格</t>
        </is>
      </c>
      <c r="C68" s="53">
        <f>IF(AND(ISNUMBER(C66),ISNUMBER(C67)),C66*C67,"")</f>
        <v>20.4</v>
      </c>
      <c r="D68" s="53">
        <f>IF(AND(ISNUMBER(D66),ISNUMBER(D67)),D66*D67,"")</f>
        <v>18.816</v>
      </c>
      <c r="E68" s="53">
        <f>IF(AND(ISNUMBER(E66),ISNUMBER(E67)),E66*E67,"")</f>
        <v>16.932</v>
      </c>
      <c r="F68" s="23" t="n"/>
      <c r="G68" s="23" t="n"/>
      <c r="H68" s="23" t="n"/>
      <c r="I68" s="23" t="n"/>
      <c r="J68" s="23" t="n"/>
      <c r="K68" s="23" t="n"/>
      <c r="L68" s="23" t="n"/>
      <c r="M68" s="23" t="n"/>
    </row>
    <row r="72" hidden="1">
      <c r="B72" s="23" t="inlineStr">
        <is>
          <t>反推用的辅助格（不用改）</t>
        </is>
      </c>
    </row>
    <row r="73" hidden="1">
      <c r="C73" s="38" t="n">
        <v>-0.1</v>
      </c>
      <c r="D73" s="38" t="n">
        <v>-0.09</v>
      </c>
      <c r="E73" s="38" t="n">
        <v>-0.08</v>
      </c>
      <c r="F73" s="38" t="n">
        <v>-0.07000000000000001</v>
      </c>
      <c r="G73" s="38" t="n">
        <v>-0.06</v>
      </c>
      <c r="H73" s="38" t="n">
        <v>-0.05</v>
      </c>
      <c r="I73" s="38" t="n">
        <v>-0.04</v>
      </c>
      <c r="J73" s="38" t="n">
        <v>-0.03</v>
      </c>
      <c r="K73" s="38" t="n">
        <v>-0.02</v>
      </c>
      <c r="L73" s="38" t="n">
        <v>-0.01</v>
      </c>
      <c r="M73" s="38" t="n">
        <v>0</v>
      </c>
      <c r="N73" s="38" t="n">
        <v>0.01</v>
      </c>
      <c r="O73" s="38" t="n">
        <v>0.02</v>
      </c>
      <c r="P73" s="38" t="n">
        <v>0.03</v>
      </c>
      <c r="Q73" s="38" t="n">
        <v>0.04</v>
      </c>
      <c r="R73" s="38" t="n">
        <v>0.05</v>
      </c>
      <c r="S73" s="38" t="n">
        <v>0.06</v>
      </c>
      <c r="T73" s="38" t="n">
        <v>0.07000000000000001</v>
      </c>
      <c r="U73" s="38" t="n">
        <v>0.08</v>
      </c>
      <c r="V73" s="38" t="n">
        <v>0.09</v>
      </c>
      <c r="W73" s="38" t="n">
        <v>0.1</v>
      </c>
      <c r="X73" s="38" t="n">
        <v>0.11</v>
      </c>
      <c r="Y73" s="38" t="n">
        <v>0.12</v>
      </c>
      <c r="Z73" s="38" t="n">
        <v>0.13</v>
      </c>
      <c r="AA73" s="38" t="n">
        <v>0.14</v>
      </c>
      <c r="AB73" s="38" t="n">
        <v>0.15</v>
      </c>
      <c r="AC73" s="38" t="n">
        <v>0.16</v>
      </c>
      <c r="AD73" s="38" t="n">
        <v>0.17</v>
      </c>
      <c r="AE73" s="38" t="n">
        <v>0.18</v>
      </c>
      <c r="AF73" s="38" t="n">
        <v>0.19</v>
      </c>
      <c r="AG73" s="38" t="n">
        <v>0.2</v>
      </c>
      <c r="AH73" s="38" t="n">
        <v>0.21</v>
      </c>
      <c r="AI73" s="38" t="n">
        <v>0.22</v>
      </c>
      <c r="AJ73" s="38" t="n">
        <v>0.23</v>
      </c>
      <c r="AK73" s="38" t="n">
        <v>0.24</v>
      </c>
      <c r="AL73" s="38" t="n">
        <v>0.25</v>
      </c>
      <c r="AM73" s="38" t="n">
        <v>0.26</v>
      </c>
      <c r="AN73" s="38" t="n">
        <v>0.27</v>
      </c>
      <c r="AO73" s="38" t="n">
        <v>0.28</v>
      </c>
      <c r="AP73" s="38" t="n">
        <v>0.29</v>
      </c>
      <c r="AQ73" s="38" t="n">
        <v>0.3</v>
      </c>
    </row>
    <row r="74" hidden="1">
      <c r="C74" s="49">
        <f>IF(OR(NOT(ISNUMBER($C$11)),N($C$6)&lt;=0,$D$18&lt;=$D$17),"",($C$11*(IF(ABS(((1+C$73)/(1+$D$18))-1)&lt;1E-9,5,((1+C$73)/(1+$D$18))*(1-((1+C$73)/(1+$D$18))^5)/(1-((1+C$73)/(1+$D$18))))+((1+C$73)/(1+$D$18))^5*IF(ABS(((1+$D$16)/(1+$D$18))-1)&lt;1E-9,5,((1+$D$16)/(1+$D$18))*(1-((1+$D$16)/(1+$D$18))^5)/(1-((1+$D$16)/(1+$D$18))))+((1+C$73)/(1+$D$18))^5*((1+$D$16)/(1+$D$18))^5*(1+$D$17)/($D$18-$D$17))+$C$9)/$C$6)</f>
        <v>8.59965394770998</v>
      </c>
      <c r="D74" s="49">
        <f>IF(OR(NOT(ISNUMBER($C$11)),N($C$6)&lt;=0,$D$18&lt;=$D$17),"",($C$11*(IF(ABS(((1+D$73)/(1+$D$18))-1)&lt;1E-9,5,((1+D$73)/(1+$D$18))*(1-((1+D$73)/(1+$D$18))^5)/(1-((1+D$73)/(1+$D$18))))+((1+D$73)/(1+$D$18))^5*IF(ABS(((1+$D$16)/(1+$D$18))-1)&lt;1E-9,5,((1+$D$16)/(1+$D$18))*(1-((1+$D$16)/(1+$D$18))^5)/(1-((1+$D$16)/(1+$D$18))))+((1+D$73)/(1+$D$18))^5*((1+$D$16)/(1+$D$18))^5*(1+$D$17)/($D$18-$D$17))+$C$9)/$C$6)</f>
        <v>8.92789412370107</v>
      </c>
      <c r="E74" s="49">
        <f>IF(OR(NOT(ISNUMBER($C$11)),N($C$6)&lt;=0,$D$18&lt;=$D$17),"",($C$11*(IF(ABS(((1+E$73)/(1+$D$18))-1)&lt;1E-9,5,((1+E$73)/(1+$D$18))*(1-((1+E$73)/(1+$D$18))^5)/(1-((1+E$73)/(1+$D$18))))+((1+E$73)/(1+$D$18))^5*IF(ABS(((1+$D$16)/(1+$D$18))-1)&lt;1E-9,5,((1+$D$16)/(1+$D$18))*(1-((1+$D$16)/(1+$D$18))^5)/(1-((1+$D$16)/(1+$D$18))))+((1+E$73)/(1+$D$18))^5*((1+$D$16)/(1+$D$18))^5*(1+$D$17)/($D$18-$D$17))+$C$9)/$C$6)</f>
        <v>9.2697644227151</v>
      </c>
      <c r="F74" s="49">
        <f>IF(OR(NOT(ISNUMBER($C$11)),N($C$6)&lt;=0,$D$18&lt;=$D$17),"",($C$11*(IF(ABS(((1+F$73)/(1+$D$18))-1)&lt;1E-9,5,((1+F$73)/(1+$D$18))*(1-((1+F$73)/(1+$D$18))^5)/(1-((1+F$73)/(1+$D$18))))+((1+F$73)/(1+$D$18))^5*IF(ABS(((1+$D$16)/(1+$D$18))-1)&lt;1E-9,5,((1+$D$16)/(1+$D$18))*(1-((1+$D$16)/(1+$D$18))^5)/(1-((1+$D$16)/(1+$D$18))))+((1+F$73)/(1+$D$18))^5*((1+$D$16)/(1+$D$18))^5*(1+$D$17)/($D$18-$D$17))+$C$9)/$C$6)</f>
        <v>9.62570307186992</v>
      </c>
      <c r="G74" s="49">
        <f>IF(OR(NOT(ISNUMBER($C$11)),N($C$6)&lt;=0,$D$18&lt;=$D$17),"",($C$11*(IF(ABS(((1+G$73)/(1+$D$18))-1)&lt;1E-9,5,((1+G$73)/(1+$D$18))*(1-((1+G$73)/(1+$D$18))^5)/(1-((1+G$73)/(1+$D$18))))+((1+G$73)/(1+$D$18))^5*IF(ABS(((1+$D$16)/(1+$D$18))-1)&lt;1E-9,5,((1+$D$16)/(1+$D$18))*(1-((1+$D$16)/(1+$D$18))^5)/(1-((1+$D$16)/(1+$D$18))))+((1+G$73)/(1+$D$18))^5*((1+$D$16)/(1+$D$18))^5*(1+$D$17)/($D$18-$D$17))+$C$9)/$C$6)</f>
        <v>9.99615773749018</v>
      </c>
      <c r="H74" s="49">
        <f>IF(OR(NOT(ISNUMBER($C$11)),N($C$6)&lt;=0,$D$18&lt;=$D$17),"",($C$11*(IF(ABS(((1+H$73)/(1+$D$18))-1)&lt;1E-9,5,((1+H$73)/(1+$D$18))*(1-((1+H$73)/(1+$D$18))^5)/(1-((1+H$73)/(1+$D$18))))+((1+H$73)/(1+$D$18))^5*IF(ABS(((1+$D$16)/(1+$D$18))-1)&lt;1E-9,5,((1+$D$16)/(1+$D$18))*(1-((1+$D$16)/(1+$D$18))^5)/(1-((1+$D$16)/(1+$D$18))))+((1+H$73)/(1+$D$18))^5*((1+$D$16)/(1+$D$18))^5*(1+$D$17)/($D$18-$D$17))+$C$9)/$C$6)</f>
        <v>10.3815856264138</v>
      </c>
      <c r="I74" s="49">
        <f>IF(OR(NOT(ISNUMBER($C$11)),N($C$6)&lt;=0,$D$18&lt;=$D$17),"",($C$11*(IF(ABS(((1+I$73)/(1+$D$18))-1)&lt;1E-9,5,((1+I$73)/(1+$D$18))*(1-((1+I$73)/(1+$D$18))^5)/(1-((1+I$73)/(1+$D$18))))+((1+I$73)/(1+$D$18))^5*IF(ABS(((1+$D$16)/(1+$D$18))-1)&lt;1E-9,5,((1+$D$16)/(1+$D$18))*(1-((1+$D$16)/(1+$D$18))^5)/(1-((1+$D$16)/(1+$D$18))))+((1+I$73)/(1+$D$18))^5*((1+$D$16)/(1+$D$18))^5*(1+$D$17)/($D$18-$D$17))+$C$9)/$C$6)</f>
        <v>10.7824535872984</v>
      </c>
      <c r="J74" s="49">
        <f>IF(OR(NOT(ISNUMBER($C$11)),N($C$6)&lt;=0,$D$18&lt;=$D$17),"",($C$11*(IF(ABS(((1+J$73)/(1+$D$18))-1)&lt;1E-9,5,((1+J$73)/(1+$D$18))*(1-((1+J$73)/(1+$D$18))^5)/(1-((1+J$73)/(1+$D$18))))+((1+J$73)/(1+$D$18))^5*IF(ABS(((1+$D$16)/(1+$D$18))-1)&lt;1E-9,5,((1+$D$16)/(1+$D$18))*(1-((1+$D$16)/(1+$D$18))^5)/(1-((1+$D$16)/(1+$D$18))))+((1+J$73)/(1+$D$18))^5*((1+$D$16)/(1+$D$18))^5*(1+$D$17)/($D$18-$D$17))+$C$9)/$C$6)</f>
        <v>11.1992382119277</v>
      </c>
      <c r="K74" s="49">
        <f>IF(OR(NOT(ISNUMBER($C$11)),N($C$6)&lt;=0,$D$18&lt;=$D$17),"",($C$11*(IF(ABS(((1+K$73)/(1+$D$18))-1)&lt;1E-9,5,((1+K$73)/(1+$D$18))*(1-((1+K$73)/(1+$D$18))^5)/(1-((1+K$73)/(1+$D$18))))+((1+K$73)/(1+$D$18))^5*IF(ABS(((1+$D$16)/(1+$D$18))-1)&lt;1E-9,5,((1+$D$16)/(1+$D$18))*(1-((1+$D$16)/(1+$D$18))^5)/(1-((1+$D$16)/(1+$D$18))))+((1+K$73)/(1+$D$18))^5*((1+$D$16)/(1+$D$18))^5*(1+$D$17)/($D$18-$D$17))+$C$9)/$C$6)</f>
        <v>11.6324259365178</v>
      </c>
      <c r="L74" s="49">
        <f>IF(OR(NOT(ISNUMBER($C$11)),N($C$6)&lt;=0,$D$18&lt;=$D$17),"",($C$11*(IF(ABS(((1+L$73)/(1+$D$18))-1)&lt;1E-9,5,((1+L$73)/(1+$D$18))*(1-((1+L$73)/(1+$D$18))^5)/(1-((1+L$73)/(1+$D$18))))+((1+L$73)/(1+$D$18))^5*IF(ABS(((1+$D$16)/(1+$D$18))-1)&lt;1E-9,5,((1+$D$16)/(1+$D$18))*(1-((1+$D$16)/(1+$D$18))^5)/(1-((1+$D$16)/(1+$D$18))))+((1+L$73)/(1+$D$18))^5*((1+$D$16)/(1+$D$18))^5*(1+$D$17)/($D$18-$D$17))+$C$9)/$C$6)</f>
        <v>12.0825131430242</v>
      </c>
      <c r="M74" s="49">
        <f>IF(OR(NOT(ISNUMBER($C$11)),N($C$6)&lt;=0,$D$18&lt;=$D$17),"",($C$11*(IF(ABS(((1+M$73)/(1+$D$18))-1)&lt;1E-9,5,((1+M$73)/(1+$D$18))*(1-((1+M$73)/(1+$D$18))^5)/(1-((1+M$73)/(1+$D$18))))+((1+M$73)/(1+$D$18))^5*IF(ABS(((1+$D$16)/(1+$D$18))-1)&lt;1E-9,5,((1+$D$16)/(1+$D$18))*(1-((1+$D$16)/(1+$D$18))^5)/(1-((1+$D$16)/(1+$D$18))))+((1+M$73)/(1+$D$18))^5*((1+$D$16)/(1+$D$18))^5*(1+$D$17)/($D$18-$D$17))+$C$9)/$C$6)</f>
        <v>12.5500062604472</v>
      </c>
      <c r="N74" s="49">
        <f>IF(OR(NOT(ISNUMBER($C$11)),N($C$6)&lt;=0,$D$18&lt;=$D$17),"",($C$11*(IF(ABS(((1+N$73)/(1+$D$18))-1)&lt;1E-9,5,((1+N$73)/(1+$D$18))*(1-((1+N$73)/(1+$D$18))^5)/(1-((1+N$73)/(1+$D$18))))+((1+N$73)/(1+$D$18))^5*IF(ABS(((1+$D$16)/(1+$D$18))-1)&lt;1E-9,5,((1+$D$16)/(1+$D$18))*(1-((1+$D$16)/(1+$D$18))^5)/(1-((1+$D$16)/(1+$D$18))))+((1+N$73)/(1+$D$18))^5*((1+$D$16)/(1+$D$18))^5*(1+$D$17)/($D$18-$D$17))+$C$9)/$C$6)</f>
        <v>13.0354218661395</v>
      </c>
      <c r="O74" s="49">
        <f>IF(OR(NOT(ISNUMBER($C$11)),N($C$6)&lt;=0,$D$18&lt;=$D$17),"",($C$11*(IF(ABS(((1+O$73)/(1+$D$18))-1)&lt;1E-9,5,((1+O$73)/(1+$D$18))*(1-((1+O$73)/(1+$D$18))^5)/(1-((1+O$73)/(1+$D$18))))+((1+O$73)/(1+$D$18))^5*IF(ABS(((1+$D$16)/(1+$D$18))-1)&lt;1E-9,5,((1+$D$16)/(1+$D$18))*(1-((1+$D$16)/(1+$D$18))^5)/(1-((1+$D$16)/(1+$D$18))))+((1+O$73)/(1+$D$18))^5*((1+$D$16)/(1+$D$18))^5*(1+$D$17)/($D$18-$D$17))+$C$9)/$C$6)</f>
        <v>13.5392867871116</v>
      </c>
      <c r="P74" s="49">
        <f>IF(OR(NOT(ISNUMBER($C$11)),N($C$6)&lt;=0,$D$18&lt;=$D$17),"",($C$11*(IF(ABS(((1+P$73)/(1+$D$18))-1)&lt;1E-9,5,((1+P$73)/(1+$D$18))*(1-((1+P$73)/(1+$D$18))^5)/(1-((1+P$73)/(1+$D$18))))+((1+P$73)/(1+$D$18))^5*IF(ABS(((1+$D$16)/(1+$D$18))-1)&lt;1E-9,5,((1+$D$16)/(1+$D$18))*(1-((1+$D$16)/(1+$D$18))^5)/(1-((1+$D$16)/(1+$D$18))))+((1+P$73)/(1+$D$18))^5*((1+$D$16)/(1+$D$18))^5*(1+$D$17)/($D$18-$D$17))+$C$9)/$C$6)</f>
        <v>14.062138201339</v>
      </c>
      <c r="Q74" s="49">
        <f>IF(OR(NOT(ISNUMBER($C$11)),N($C$6)&lt;=0,$D$18&lt;=$D$17),"",($C$11*(IF(ABS(((1+Q$73)/(1+$D$18))-1)&lt;1E-9,5,((1+Q$73)/(1+$D$18))*(1-((1+Q$73)/(1+$D$18))^5)/(1-((1+Q$73)/(1+$D$18))))+((1+Q$73)/(1+$D$18))^5*IF(ABS(((1+$D$16)/(1+$D$18))-1)&lt;1E-9,5,((1+$D$16)/(1+$D$18))*(1-((1+$D$16)/(1+$D$18))^5)/(1-((1+$D$16)/(1+$D$18))))+((1+Q$73)/(1+$D$18))^5*((1+$D$16)/(1+$D$18))^5*(1+$D$17)/($D$18-$D$17))+$C$9)/$C$6)</f>
        <v>14.6045237390681</v>
      </c>
      <c r="R74" s="49">
        <f>IF(OR(NOT(ISNUMBER($C$11)),N($C$6)&lt;=0,$D$18&lt;=$D$17),"",($C$11*(IF(ABS(((1+R$73)/(1+$D$18))-1)&lt;1E-9,5,((1+R$73)/(1+$D$18))*(1-((1+R$73)/(1+$D$18))^5)/(1-((1+R$73)/(1+$D$18))))+((1+R$73)/(1+$D$18))^5*IF(ABS(((1+$D$16)/(1+$D$18))-1)&lt;1E-9,5,((1+$D$16)/(1+$D$18))*(1-((1+$D$16)/(1+$D$18))^5)/(1-((1+$D$16)/(1+$D$18))))+((1+R$73)/(1+$D$18))^5*((1+$D$16)/(1+$D$18))^5*(1+$D$17)/($D$18-$D$17))+$C$9)/$C$6)</f>
        <v>15.1670015841229</v>
      </c>
      <c r="S74" s="49">
        <f>IF(OR(NOT(ISNUMBER($C$11)),N($C$6)&lt;=0,$D$18&lt;=$D$17),"",($C$11*(IF(ABS(((1+S$73)/(1+$D$18))-1)&lt;1E-9,5,((1+S$73)/(1+$D$18))*(1-((1+S$73)/(1+$D$18))^5)/(1-((1+S$73)/(1+$D$18))))+((1+S$73)/(1+$D$18))^5*IF(ABS(((1+$D$16)/(1+$D$18))-1)&lt;1E-9,5,((1+$D$16)/(1+$D$18))*(1-((1+$D$16)/(1+$D$18))^5)/(1-((1+$D$16)/(1+$D$18))))+((1+S$73)/(1+$D$18))^5*((1+$D$16)/(1+$D$18))^5*(1+$D$17)/($D$18-$D$17))+$C$9)/$C$6)</f>
        <v>15.7501405752114</v>
      </c>
      <c r="T74" s="49">
        <f>IF(OR(NOT(ISNUMBER($C$11)),N($C$6)&lt;=0,$D$18&lt;=$D$17),"",($C$11*(IF(ABS(((1+T$73)/(1+$D$18))-1)&lt;1E-9,5,((1+T$73)/(1+$D$18))*(1-((1+T$73)/(1+$D$18))^5)/(1-((1+T$73)/(1+$D$18))))+((1+T$73)/(1+$D$18))^5*IF(ABS(((1+$D$16)/(1+$D$18))-1)&lt;1E-9,5,((1+$D$16)/(1+$D$18))*(1-((1+$D$16)/(1+$D$18))^5)/(1-((1+$D$16)/(1+$D$18))))+((1+T$73)/(1+$D$18))^5*((1+$D$16)/(1+$D$18))^5*(1+$D$17)/($D$18-$D$17))+$C$9)/$C$6)</f>
        <v>16.3545203072319</v>
      </c>
      <c r="U74" s="49">
        <f>IF(OR(NOT(ISNUMBER($C$11)),N($C$6)&lt;=0,$D$18&lt;=$D$17),"",($C$11*(IF(ABS(((1+U$73)/(1+$D$18))-1)&lt;1E-9,5,((1+U$73)/(1+$D$18))*(1-((1+U$73)/(1+$D$18))^5)/(1-((1+U$73)/(1+$D$18))))+((1+U$73)/(1+$D$18))^5*IF(ABS(((1+$D$16)/(1+$D$18))-1)&lt;1E-9,5,((1+$D$16)/(1+$D$18))*(1-((1+$D$16)/(1+$D$18))^5)/(1-((1+$D$16)/(1+$D$18))))+((1+U$73)/(1+$D$18))^5*((1+$D$16)/(1+$D$18))^5*(1+$D$17)/($D$18-$D$17))+$C$9)/$C$6)</f>
        <v>16.9807312325797</v>
      </c>
      <c r="V74" s="49">
        <f>IF(OR(NOT(ISNUMBER($C$11)),N($C$6)&lt;=0,$D$18&lt;=$D$17),"",($C$11*(IF(ABS(((1+V$73)/(1+$D$18))-1)&lt;1E-9,5,((1+V$73)/(1+$D$18))*(1-((1+V$73)/(1+$D$18))^5)/(1-((1+V$73)/(1+$D$18))))+((1+V$73)/(1+$D$18))^5*IF(ABS(((1+$D$16)/(1+$D$18))-1)&lt;1E-9,5,((1+$D$16)/(1+$D$18))*(1-((1+$D$16)/(1+$D$18))^5)/(1-((1+$D$16)/(1+$D$18))))+((1+V$73)/(1+$D$18))^5*((1+$D$16)/(1+$D$18))^5*(1+$D$17)/($D$18-$D$17))+$C$9)/$C$6)</f>
        <v>17.6293747624531</v>
      </c>
      <c r="W74" s="49">
        <f>IF(OR(NOT(ISNUMBER($C$11)),N($C$6)&lt;=0,$D$18&lt;=$D$17),"",($C$11*(IF(ABS(((1+W$73)/(1+$D$18))-1)&lt;1E-9,5,((1+W$73)/(1+$D$18))*(1-((1+W$73)/(1+$D$18))^5)/(1-((1+W$73)/(1+$D$18))))+((1+W$73)/(1+$D$18))^5*IF(ABS(((1+$D$16)/(1+$D$18))-1)&lt;1E-9,5,((1+$D$16)/(1+$D$18))*(1-((1+$D$16)/(1+$D$18))^5)/(1-((1+$D$16)/(1+$D$18))))+((1+W$73)/(1+$D$18))^5*((1+$D$16)/(1+$D$18))^5*(1+$D$17)/($D$18-$D$17))+$C$9)/$C$6)</f>
        <v>18.3010633681603</v>
      </c>
      <c r="X74" s="49">
        <f>IF(OR(NOT(ISNUMBER($C$11)),N($C$6)&lt;=0,$D$18&lt;=$D$17),"",($C$11*(IF(ABS(((1+X$73)/(1+$D$18))-1)&lt;1E-9,5,((1+X$73)/(1+$D$18))*(1-((1+X$73)/(1+$D$18))^5)/(1-((1+X$73)/(1+$D$18))))+((1+X$73)/(1+$D$18))^5*IF(ABS(((1+$D$16)/(1+$D$18))-1)&lt;1E-9,5,((1+$D$16)/(1+$D$18))*(1-((1+$D$16)/(1+$D$18))^5)/(1-((1+$D$16)/(1+$D$18))))+((1+X$73)/(1+$D$18))^5*((1+$D$16)/(1+$D$18))^5*(1+$D$17)/($D$18-$D$17))+$C$9)/$C$6)</f>
        <v>18.9964206824255</v>
      </c>
      <c r="Y74" s="49">
        <f>IF(OR(NOT(ISNUMBER($C$11)),N($C$6)&lt;=0,$D$18&lt;=$D$17),"",($C$11*(IF(ABS(((1+Y$73)/(1+$D$18))-1)&lt;1E-9,5,((1+Y$73)/(1+$D$18))*(1-((1+Y$73)/(1+$D$18))^5)/(1-((1+Y$73)/(1+$D$18))))+((1+Y$73)/(1+$D$18))^5*IF(ABS(((1+$D$16)/(1+$D$18))-1)&lt;1E-9,5,((1+$D$16)/(1+$D$18))*(1-((1+$D$16)/(1+$D$18))^5)/(1-((1+$D$16)/(1+$D$18))))+((1+Y$73)/(1+$D$18))^5*((1+$D$16)/(1+$D$18))^5*(1+$D$17)/($D$18-$D$17))+$C$9)/$C$6)</f>
        <v>19.7160816006955</v>
      </c>
      <c r="Z74" s="49">
        <f>IF(OR(NOT(ISNUMBER($C$11)),N($C$6)&lt;=0,$D$18&lt;=$D$17),"",($C$11*(IF(ABS(((1+Z$73)/(1+$D$18))-1)&lt;1E-9,5,((1+Z$73)/(1+$D$18))*(1-((1+Z$73)/(1+$D$18))^5)/(1-((1+Z$73)/(1+$D$18))))+((1+Z$73)/(1+$D$18))^5*IF(ABS(((1+$D$16)/(1+$D$18))-1)&lt;1E-9,5,((1+$D$16)/(1+$D$18))*(1-((1+$D$16)/(1+$D$18))^5)/(1-((1+$D$16)/(1+$D$18))))+((1+Z$73)/(1+$D$18))^5*((1+$D$16)/(1+$D$18))^5*(1+$D$17)/($D$18-$D$17))+$C$9)/$C$6)</f>
        <v>20.4606923824459</v>
      </c>
      <c r="AA74" s="49">
        <f>IF(OR(NOT(ISNUMBER($C$11)),N($C$6)&lt;=0,$D$18&lt;=$D$17),"",($C$11*(IF(ABS(((1+AA$73)/(1+$D$18))-1)&lt;1E-9,5,((1+AA$73)/(1+$D$18))*(1-((1+AA$73)/(1+$D$18))^5)/(1-((1+AA$73)/(1+$D$18))))+((1+AA$73)/(1+$D$18))^5*IF(ABS(((1+$D$16)/(1+$D$18))-1)&lt;1E-9,5,((1+$D$16)/(1+$D$18))*(1-((1+$D$16)/(1+$D$18))^5)/(1-((1+$D$16)/(1+$D$18))))+((1+AA$73)/(1+$D$18))^5*((1+$D$16)/(1+$D$18))^5*(1+$D$17)/($D$18-$D$17))+$C$9)/$C$6)</f>
        <v>21.2309107524878</v>
      </c>
      <c r="AB74" s="49">
        <f>IF(OR(NOT(ISNUMBER($C$11)),N($C$6)&lt;=0,$D$18&lt;=$D$17),"",($C$11*(IF(ABS(((1+AB$73)/(1+$D$18))-1)&lt;1E-9,5,((1+AB$73)/(1+$D$18))*(1-((1+AB$73)/(1+$D$18))^5)/(1-((1+AB$73)/(1+$D$18))))+((1+AB$73)/(1+$D$18))^5*IF(ABS(((1+$D$16)/(1+$D$18))-1)&lt;1E-9,5,((1+$D$16)/(1+$D$18))*(1-((1+$D$16)/(1+$D$18))^5)/(1-((1+$D$16)/(1+$D$18))))+((1+AB$73)/(1+$D$18))^5*((1+$D$16)/(1+$D$18))^5*(1+$D$17)/($D$18-$D$17))+$C$9)/$C$6)</f>
        <v>22.0274060022742</v>
      </c>
      <c r="AC74" s="49">
        <f>IF(OR(NOT(ISNUMBER($C$11)),N($C$6)&lt;=0,$D$18&lt;=$D$17),"",($C$11*(IF(ABS(((1+AC$73)/(1+$D$18))-1)&lt;1E-9,5,((1+AC$73)/(1+$D$18))*(1-((1+AC$73)/(1+$D$18))^5)/(1-((1+AC$73)/(1+$D$18))))+((1+AC$73)/(1+$D$18))^5*IF(ABS(((1+$D$16)/(1+$D$18))-1)&lt;1E-9,5,((1+$D$16)/(1+$D$18))*(1-((1+$D$16)/(1+$D$18))^5)/(1-((1+$D$16)/(1+$D$18))))+((1+AC$73)/(1+$D$18))^5*((1+$D$16)/(1+$D$18))^5*(1+$D$17)/($D$18-$D$17))+$C$9)/$C$6)</f>
        <v>22.8508590912062</v>
      </c>
      <c r="AD74" s="49">
        <f>IF(OR(NOT(ISNUMBER($C$11)),N($C$6)&lt;=0,$D$18&lt;=$D$17),"",($C$11*(IF(ABS(((1+AD$73)/(1+$D$18))-1)&lt;1E-9,5,((1+AD$73)/(1+$D$18))*(1-((1+AD$73)/(1+$D$18))^5)/(1-((1+AD$73)/(1+$D$18))))+((1+AD$73)/(1+$D$18))^5*IF(ABS(((1+$D$16)/(1+$D$18))-1)&lt;1E-9,5,((1+$D$16)/(1+$D$18))*(1-((1+$D$16)/(1+$D$18))^5)/(1-((1+$D$16)/(1+$D$18))))+((1+AD$73)/(1+$D$18))^5*((1+$D$16)/(1+$D$18))^5*(1+$D$17)/($D$18-$D$17))+$C$9)/$C$6)</f>
        <v>23.7019627479397</v>
      </c>
      <c r="AE74" s="49">
        <f>IF(OR(NOT(ISNUMBER($C$11)),N($C$6)&lt;=0,$D$18&lt;=$D$17),"",($C$11*(IF(ABS(((1+AE$73)/(1+$D$18))-1)&lt;1E-9,5,((1+AE$73)/(1+$D$18))*(1-((1+AE$73)/(1+$D$18))^5)/(1-((1+AE$73)/(1+$D$18))))+((1+AE$73)/(1+$D$18))^5*IF(ABS(((1+$D$16)/(1+$D$18))-1)&lt;1E-9,5,((1+$D$16)/(1+$D$18))*(1-((1+$D$16)/(1+$D$18))^5)/(1-((1+$D$16)/(1+$D$18))))+((1+AE$73)/(1+$D$18))^5*((1+$D$16)/(1+$D$18))^5*(1+$D$17)/($D$18-$D$17))+$C$9)/$C$6)</f>
        <v>24.5814215716916</v>
      </c>
      <c r="AF74" s="49">
        <f>IF(OR(NOT(ISNUMBER($C$11)),N($C$6)&lt;=0,$D$18&lt;=$D$17),"",($C$11*(IF(ABS(((1+AF$73)/(1+$D$18))-1)&lt;1E-9,5,((1+AF$73)/(1+$D$18))*(1-((1+AF$73)/(1+$D$18))^5)/(1-((1+AF$73)/(1+$D$18))))+((1+AF$73)/(1+$D$18))^5*IF(ABS(((1+$D$16)/(1+$D$18))-1)&lt;1E-9,5,((1+$D$16)/(1+$D$18))*(1-((1+$D$16)/(1+$D$18))^5)/(1-((1+$D$16)/(1+$D$18))))+((1+AF$73)/(1+$D$18))^5*((1+$D$16)/(1+$D$18))^5*(1+$D$17)/($D$18-$D$17))+$C$9)/$C$6)</f>
        <v>25.4899521335463</v>
      </c>
      <c r="AG74" s="49">
        <f>IF(OR(NOT(ISNUMBER($C$11)),N($C$6)&lt;=0,$D$18&lt;=$D$17),"",($C$11*(IF(ABS(((1+AG$73)/(1+$D$18))-1)&lt;1E-9,5,((1+AG$73)/(1+$D$18))*(1-((1+AG$73)/(1+$D$18))^5)/(1-((1+AG$73)/(1+$D$18))))+((1+AG$73)/(1+$D$18))^5*IF(ABS(((1+$D$16)/(1+$D$18))-1)&lt;1E-9,5,((1+$D$16)/(1+$D$18))*(1-((1+$D$16)/(1+$D$18))^5)/(1-((1+$D$16)/(1+$D$18))))+((1+AG$73)/(1+$D$18))^5*((1+$D$16)/(1+$D$18))^5*(1+$D$17)/($D$18-$D$17))+$C$9)/$C$6)</f>
        <v>26.4282830777622</v>
      </c>
      <c r="AH74" s="49">
        <f>IF(OR(NOT(ISNUMBER($C$11)),N($C$6)&lt;=0,$D$18&lt;=$D$17),"",($C$11*(IF(ABS(((1+AH$73)/(1+$D$18))-1)&lt;1E-9,5,((1+AH$73)/(1+$D$18))*(1-((1+AH$73)/(1+$D$18))^5)/(1-((1+AH$73)/(1+$D$18))))+((1+AH$73)/(1+$D$18))^5*IF(ABS(((1+$D$16)/(1+$D$18))-1)&lt;1E-9,5,((1+$D$16)/(1+$D$18))*(1-((1+$D$16)/(1+$D$18))^5)/(1-((1+$D$16)/(1+$D$18))))+((1+AH$73)/(1+$D$18))^5*((1+$D$16)/(1+$D$18))^5*(1+$D$17)/($D$18-$D$17))+$C$9)/$C$6)</f>
        <v>27.3971552230783</v>
      </c>
      <c r="AI74" s="49">
        <f>IF(OR(NOT(ISNUMBER($C$11)),N($C$6)&lt;=0,$D$18&lt;=$D$17),"",($C$11*(IF(ABS(((1+AI$73)/(1+$D$18))-1)&lt;1E-9,5,((1+AI$73)/(1+$D$18))*(1-((1+AI$73)/(1+$D$18))^5)/(1-((1+AI$73)/(1+$D$18))))+((1+AI$73)/(1+$D$18))^5*IF(ABS(((1+$D$16)/(1+$D$18))-1)&lt;1E-9,5,((1+$D$16)/(1+$D$18))*(1-((1+$D$16)/(1+$D$18))^5)/(1-((1+$D$16)/(1+$D$18))))+((1+AI$73)/(1+$D$18))^5*((1+$D$16)/(1+$D$18))^5*(1+$D$17)/($D$18-$D$17))+$C$9)/$C$6)</f>
        <v>28.3973216640201</v>
      </c>
      <c r="AJ74" s="49">
        <f>IF(OR(NOT(ISNUMBER($C$11)),N($C$6)&lt;=0,$D$18&lt;=$D$17),"",($C$11*(IF(ABS(((1+AJ$73)/(1+$D$18))-1)&lt;1E-9,5,((1+AJ$73)/(1+$D$18))*(1-((1+AJ$73)/(1+$D$18))^5)/(1-((1+AJ$73)/(1+$D$18))))+((1+AJ$73)/(1+$D$18))^5*IF(ABS(((1+$D$16)/(1+$D$18))-1)&lt;1E-9,5,((1+$D$16)/(1+$D$18))*(1-((1+$D$16)/(1+$D$18))^5)/(1-((1+$D$16)/(1+$D$18))))+((1+AJ$73)/(1+$D$18))^5*((1+$D$16)/(1+$D$18))^5*(1+$D$17)/($D$18-$D$17))+$C$9)/$C$6)</f>
        <v>29.4295478722064</v>
      </c>
      <c r="AK74" s="49">
        <f>IF(OR(NOT(ISNUMBER($C$11)),N($C$6)&lt;=0,$D$18&lt;=$D$17),"",($C$11*(IF(ABS(((1+AK$73)/(1+$D$18))-1)&lt;1E-9,5,((1+AK$73)/(1+$D$18))*(1-((1+AK$73)/(1+$D$18))^5)/(1-((1+AK$73)/(1+$D$18))))+((1+AK$73)/(1+$D$18))^5*IF(ABS(((1+$D$16)/(1+$D$18))-1)&lt;1E-9,5,((1+$D$16)/(1+$D$18))*(1-((1+$D$16)/(1+$D$18))^5)/(1-((1+$D$16)/(1+$D$18))))+((1+AK$73)/(1+$D$18))^5*((1+$D$16)/(1+$D$18))^5*(1+$D$17)/($D$18-$D$17))+$C$9)/$C$6)</f>
        <v>30.4946117976559</v>
      </c>
      <c r="AL74" s="49">
        <f>IF(OR(NOT(ISNUMBER($C$11)),N($C$6)&lt;=0,$D$18&lt;=$D$17),"",($C$11*(IF(ABS(((1+AL$73)/(1+$D$18))-1)&lt;1E-9,5,((1+AL$73)/(1+$D$18))*(1-((1+AL$73)/(1+$D$18))^5)/(1-((1+AL$73)/(1+$D$18))))+((1+AL$73)/(1+$D$18))^5*IF(ABS(((1+$D$16)/(1+$D$18))-1)&lt;1E-9,5,((1+$D$16)/(1+$D$18))*(1-((1+$D$16)/(1+$D$18))^5)/(1-((1+$D$16)/(1+$D$18))))+((1+AL$73)/(1+$D$18))^5*((1+$D$16)/(1+$D$18))^5*(1+$D$17)/($D$18-$D$17))+$C$9)/$C$6)</f>
        <v>31.5933039700932</v>
      </c>
      <c r="AM74" s="49">
        <f>IF(OR(NOT(ISNUMBER($C$11)),N($C$6)&lt;=0,$D$18&lt;=$D$17),"",($C$11*(IF(ABS(((1+AM$73)/(1+$D$18))-1)&lt;1E-9,5,((1+AM$73)/(1+$D$18))*(1-((1+AM$73)/(1+$D$18))^5)/(1-((1+AM$73)/(1+$D$18))))+((1+AM$73)/(1+$D$18))^5*IF(ABS(((1+$D$16)/(1+$D$18))-1)&lt;1E-9,5,((1+$D$16)/(1+$D$18))*(1-((1+$D$16)/(1+$D$18))^5)/(1-((1+$D$16)/(1+$D$18))))+((1+AM$73)/(1+$D$18))^5*((1+$D$16)/(1+$D$18))^5*(1+$D$17)/($D$18-$D$17))+$C$9)/$C$6)</f>
        <v>32.7264276002553</v>
      </c>
      <c r="AN74" s="49">
        <f>IF(OR(NOT(ISNUMBER($C$11)),N($C$6)&lt;=0,$D$18&lt;=$D$17),"",($C$11*(IF(ABS(((1+AN$73)/(1+$D$18))-1)&lt;1E-9,5,((1+AN$73)/(1+$D$18))*(1-((1+AN$73)/(1+$D$18))^5)/(1-((1+AN$73)/(1+$D$18))))+((1+AN$73)/(1+$D$18))^5*IF(ABS(((1+$D$16)/(1+$D$18))-1)&lt;1E-9,5,((1+$D$16)/(1+$D$18))*(1-((1+$D$16)/(1+$D$18))^5)/(1-((1+$D$16)/(1+$D$18))))+((1+AN$73)/(1+$D$18))^5*((1+$D$16)/(1+$D$18))^5*(1+$D$17)/($D$18-$D$17))+$C$9)/$C$6)</f>
        <v>33.8947986811984</v>
      </c>
      <c r="AO74" s="49">
        <f>IF(OR(NOT(ISNUMBER($C$11)),N($C$6)&lt;=0,$D$18&lt;=$D$17),"",($C$11*(IF(ABS(((1+AO$73)/(1+$D$18))-1)&lt;1E-9,5,((1+AO$73)/(1+$D$18))*(1-((1+AO$73)/(1+$D$18))^5)/(1-((1+AO$73)/(1+$D$18))))+((1+AO$73)/(1+$D$18))^5*IF(ABS(((1+$D$16)/(1+$D$18))-1)&lt;1E-9,5,((1+$D$16)/(1+$D$18))*(1-((1+$D$16)/(1+$D$18))^5)/(1-((1+$D$16)/(1+$D$18))))+((1+AO$73)/(1+$D$18))^5*((1+$D$16)/(1+$D$18))^5*(1+$D$17)/($D$18-$D$17))+$C$9)/$C$6)</f>
        <v>35.0992460896041</v>
      </c>
      <c r="AP74" s="49">
        <f>IF(OR(NOT(ISNUMBER($C$11)),N($C$6)&lt;=0,$D$18&lt;=$D$17),"",($C$11*(IF(ABS(((1+AP$73)/(1+$D$18))-1)&lt;1E-9,5,((1+AP$73)/(1+$D$18))*(1-((1+AP$73)/(1+$D$18))^5)/(1-((1+AP$73)/(1+$D$18))))+((1+AP$73)/(1+$D$18))^5*IF(ABS(((1+$D$16)/(1+$D$18))-1)&lt;1E-9,5,((1+$D$16)/(1+$D$18))*(1-((1+$D$16)/(1+$D$18))^5)/(1-((1+$D$16)/(1+$D$18))))+((1+AP$73)/(1+$D$18))^5*((1+$D$16)/(1+$D$18))^5*(1+$D$17)/($D$18-$D$17))+$C$9)/$C$6)</f>
        <v>36.3406116870857</v>
      </c>
      <c r="AQ74" s="49">
        <f>IF(OR(NOT(ISNUMBER($C$11)),N($C$6)&lt;=0,$D$18&lt;=$D$17),"",($C$11*(IF(ABS(((1+AQ$73)/(1+$D$18))-1)&lt;1E-9,5,((1+AQ$73)/(1+$D$18))*(1-((1+AQ$73)/(1+$D$18))^5)/(1-((1+AQ$73)/(1+$D$18))))+((1+AQ$73)/(1+$D$18))^5*IF(ABS(((1+$D$16)/(1+$D$18))-1)&lt;1E-9,5,((1+$D$16)/(1+$D$18))*(1-((1+$D$16)/(1+$D$18))^5)/(1-((1+$D$16)/(1+$D$18))))+((1+AQ$73)/(1+$D$18))^5*((1+$D$16)/(1+$D$18))^5*(1+$D$17)/($D$18-$D$17))+$C$9)/$C$6)</f>
        <v>37.6197504214946</v>
      </c>
    </row>
  </sheetData>
  <mergeCells count="42">
    <mergeCell ref="H64:M64"/>
    <mergeCell ref="F4:M4"/>
    <mergeCell ref="H60:M60"/>
    <mergeCell ref="F11:M11"/>
    <mergeCell ref="F19:M19"/>
    <mergeCell ref="F34:M34"/>
    <mergeCell ref="F10:M10"/>
    <mergeCell ref="F16:M16"/>
    <mergeCell ref="F6:M6"/>
    <mergeCell ref="H61:M61"/>
    <mergeCell ref="F7:M7"/>
    <mergeCell ref="F40:M40"/>
    <mergeCell ref="F15:M15"/>
    <mergeCell ref="D44:M44"/>
    <mergeCell ref="F33:M33"/>
    <mergeCell ref="H65:M65"/>
    <mergeCell ref="F5:M5"/>
    <mergeCell ref="F36:M36"/>
    <mergeCell ref="F18:M18"/>
    <mergeCell ref="F67:M68"/>
    <mergeCell ref="F41:M41"/>
    <mergeCell ref="F32:M32"/>
    <mergeCell ref="F35:M35"/>
    <mergeCell ref="F8:M8"/>
    <mergeCell ref="A1:J1"/>
    <mergeCell ref="F17:M17"/>
    <mergeCell ref="D46:M46"/>
    <mergeCell ref="H62:M62"/>
    <mergeCell ref="D45:M45"/>
    <mergeCell ref="F38:M38"/>
    <mergeCell ref="F31:M31"/>
    <mergeCell ref="D49:M49"/>
    <mergeCell ref="F9:M9"/>
    <mergeCell ref="H63:M63"/>
    <mergeCell ref="F37:M37"/>
    <mergeCell ref="F39:M39"/>
    <mergeCell ref="D48:M48"/>
    <mergeCell ref="H52:M57"/>
    <mergeCell ref="D47:M47"/>
    <mergeCell ref="F14:M14"/>
    <mergeCell ref="A2:M2"/>
    <mergeCell ref="K1:M1"/>
  </mergeCells>
  <conditionalFormatting sqref="C41:E41">
    <cfRule type="cellIs" priority="1" operator="notEqual" dxfId="5">
      <formula>""</formula>
    </cfRule>
  </conditionalFormatting>
  <conditionalFormatting sqref="C53:G57">
    <cfRule type="expression" priority="2" dxfId="6">
      <formula>AND(ISNUMBER(C53),ISNUMBER($C$5),ABS(C53/$C$5-1)&lt;=0.1)</formula>
    </cfRule>
  </conditionalFormatting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  <rowBreaks count="2" manualBreakCount="2">
    <brk id="29" min="0" max="16383" man="1"/>
    <brk id="58" min="0" max="16383" man="1"/>
  </rowBreaks>
</worksheet>
</file>

<file path=xl/worksheets/sheet12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O4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11" customWidth="1" min="2" max="2"/>
    <col width="30" customWidth="1" min="3" max="3"/>
    <col width="10" customWidth="1" min="4" max="4"/>
    <col width="21" customWidth="1" min="5" max="5"/>
    <col width="19" customWidth="1" min="6" max="6"/>
    <col width="10" customWidth="1" min="7" max="7"/>
    <col width="12" customWidth="1" min="8" max="8"/>
    <col width="11" customWidth="1" min="9" max="9"/>
    <col width="11" customWidth="1" min="10" max="10"/>
    <col width="10" customWidth="1" min="11" max="11"/>
    <col hidden="1" width="8" customWidth="1" min="14" max="14"/>
    <col hidden="1" width="10" customWidth="1" min="15" max="15"/>
  </cols>
  <sheetData>
    <row r="1" ht="30" customHeight="1">
      <c r="A1" s="13" t="inlineStr">
        <is>
          <t>示例 · 风险与跟踪：先写会怎么错，再定什么时候看</t>
        </is>
      </c>
      <c r="I1" s="14" t="inlineStr">
        <is>
          <t>TradeLearn · XtradingTime 交易内训</t>
        </is>
      </c>
    </row>
    <row r="2" ht="20" customHeight="1">
      <c r="A2" s="66" t="inlineStr">
        <is>
          <t>虚构示例，仅演示填法：风险、事件、日期和价格都是编的；日期按打开文件的当天往前后推。</t>
        </is>
      </c>
    </row>
    <row r="4">
      <c r="B4" s="25" t="inlineStr">
        <is>
          <t>1. 风险清单</t>
        </is>
      </c>
    </row>
    <row r="5">
      <c r="B5" s="26" t="inlineStr">
        <is>
          <t>编号</t>
        </is>
      </c>
      <c r="C5" s="26" t="inlineStr">
        <is>
          <t>风险（具体到能观察）</t>
        </is>
      </c>
      <c r="D5" s="26" t="inlineStr">
        <is>
          <t>类别</t>
        </is>
      </c>
      <c r="E5" s="26" t="inlineStr">
        <is>
          <t>早期信号（先看到什么）</t>
        </is>
      </c>
      <c r="F5" s="26" t="inlineStr">
        <is>
          <t>应对</t>
        </is>
      </c>
      <c r="G5" s="26" t="inlineStr">
        <is>
          <t>可能性</t>
        </is>
      </c>
      <c r="H5" s="26" t="inlineStr">
        <is>
          <t>影响</t>
        </is>
      </c>
      <c r="I5" s="26" t="inlineStr">
        <is>
          <t>分数</t>
        </is>
      </c>
      <c r="J5" s="26" t="inlineStr">
        <is>
          <t>上次检查</t>
        </is>
      </c>
      <c r="K5" s="26" t="inlineStr">
        <is>
          <t>状态</t>
        </is>
      </c>
    </row>
    <row r="6" ht="32" customHeight="1">
      <c r="B6" s="18" t="inlineStr">
        <is>
          <t>R1</t>
        </is>
      </c>
      <c r="C6" s="16" t="inlineStr">
        <is>
          <t>应收增速快过收入，可能在给经销商压货</t>
        </is>
      </c>
      <c r="D6" s="18" t="inlineStr">
        <is>
          <t>财务</t>
        </is>
      </c>
      <c r="E6" s="16" t="inlineStr">
        <is>
          <t>应收周转天数超过 70 天；收现比低于 0.9</t>
        </is>
      </c>
      <c r="F6" s="16" t="inlineStr">
        <is>
          <t>出现就减半，连续两年就卖</t>
        </is>
      </c>
      <c r="G6" s="18" t="inlineStr">
        <is>
          <t>中</t>
        </is>
      </c>
      <c r="H6" s="18" t="inlineStr">
        <is>
          <t>高</t>
        </is>
      </c>
      <c r="I6" s="50">
        <f>IF(OR(G6="",H6=""),"",((G6="高")*3+(G6="中")*2+(G6="低")*1)*((H6="高")*3+(H6="中")*2+(H6="低")*1))</f>
        <v>6</v>
      </c>
      <c r="J6" s="20">
        <f>TODAY()-20</f>
        <v>46288.0</v>
      </c>
      <c r="K6" s="18" t="inlineStr">
        <is>
          <t>出现苗头</t>
        </is>
      </c>
      <c r="N6" s="59">
        <f>IF(OR(I6="",C6=""),"",I6+(100-ROW())/1000)</f>
        <v>6.094</v>
      </c>
    </row>
    <row r="7" ht="32" customHeight="1">
      <c r="B7" s="18" t="inlineStr">
        <is>
          <t>R2</t>
        </is>
      </c>
      <c r="C7" s="16" t="inlineStr">
        <is>
          <t>兼容滤芯替代，复购率下降</t>
        </is>
      </c>
      <c r="D7" s="18" t="inlineStr">
        <is>
          <t>经营</t>
        </is>
      </c>
      <c r="E7" s="16" t="inlineStr">
        <is>
          <t>滤芯收入增速连续两个季度低于设备收入增速</t>
        </is>
      </c>
      <c r="F7" s="16" t="inlineStr">
        <is>
          <t>触发理由 1 的证伪条件，卖出</t>
        </is>
      </c>
      <c r="G7" s="18" t="inlineStr">
        <is>
          <t>中</t>
        </is>
      </c>
      <c r="H7" s="18" t="inlineStr">
        <is>
          <t>高</t>
        </is>
      </c>
      <c r="I7" s="50">
        <f>IF(OR(G7="",H7=""),"",((G7="高")*3+(G7="中")*2+(G7="低")*1)*((H7="高")*3+(H7="中")*2+(H7="低")*1))</f>
        <v>6</v>
      </c>
      <c r="J7" s="20">
        <f>TODAY()-20</f>
        <v>46288.0</v>
      </c>
      <c r="K7" s="18" t="inlineStr">
        <is>
          <t>没发生</t>
        </is>
      </c>
      <c r="N7" s="59">
        <f>IF(OR(I7="",C7=""),"",I7+(100-ROW())/1000)</f>
        <v>6.093</v>
      </c>
    </row>
    <row r="8" ht="32" customHeight="1">
      <c r="B8" s="18" t="inlineStr">
        <is>
          <t>R3</t>
        </is>
      </c>
      <c r="C8" s="16" t="inlineStr">
        <is>
          <t>原材料涨价挤压毛利</t>
        </is>
      </c>
      <c r="D8" s="18" t="inlineStr">
        <is>
          <t>行业</t>
        </is>
      </c>
      <c r="E8" s="16" t="inlineStr">
        <is>
          <t>毛利率连续两个季度下降超过 1 个点</t>
        </is>
      </c>
      <c r="F8" s="16" t="inlineStr">
        <is>
          <t>下调基准增速</t>
        </is>
      </c>
      <c r="G8" s="18" t="inlineStr">
        <is>
          <t>中</t>
        </is>
      </c>
      <c r="H8" s="18" t="inlineStr">
        <is>
          <t>中</t>
        </is>
      </c>
      <c r="I8" s="50">
        <f>IF(OR(G8="",H8=""),"",((G8="高")*3+(G8="中")*2+(G8="低")*1)*((H8="高")*3+(H8="中")*2+(H8="低")*1))</f>
        <v>4</v>
      </c>
      <c r="J8" s="20">
        <f>TODAY()-20</f>
        <v>46288.0</v>
      </c>
      <c r="K8" s="18" t="inlineStr">
        <is>
          <t>没发生</t>
        </is>
      </c>
      <c r="N8" s="59">
        <f>IF(OR(I8="",C8=""),"",I8+(100-ROW())/1000)</f>
        <v>4.092</v>
      </c>
    </row>
    <row r="9" ht="18" customHeight="1">
      <c r="B9" s="18" t="inlineStr">
        <is>
          <t>R4</t>
        </is>
      </c>
      <c r="C9" s="16" t="inlineStr">
        <is>
          <t>估值已经押了较高增长</t>
        </is>
      </c>
      <c r="D9" s="18" t="inlineStr">
        <is>
          <t>估值</t>
        </is>
      </c>
      <c r="E9" s="16" t="inlineStr">
        <is>
          <t>现价押的增速超过 12%</t>
        </is>
      </c>
      <c r="F9" s="16" t="inlineStr">
        <is>
          <t>不追高，等价格</t>
        </is>
      </c>
      <c r="G9" s="18" t="inlineStr">
        <is>
          <t>中</t>
        </is>
      </c>
      <c r="H9" s="18" t="inlineStr">
        <is>
          <t>中</t>
        </is>
      </c>
      <c r="I9" s="50">
        <f>IF(OR(G9="",H9=""),"",((G9="高")*3+(G9="中")*2+(G9="低")*1)*((H9="高")*3+(H9="中")*2+(H9="低")*1))</f>
        <v>4</v>
      </c>
      <c r="J9" s="20">
        <f>TODAY()-3</f>
        <v>46305.0</v>
      </c>
      <c r="K9" s="18" t="inlineStr">
        <is>
          <t>没发生</t>
        </is>
      </c>
      <c r="N9" s="59">
        <f>IF(OR(I9="",C9=""),"",I9+(100-ROW())/1000)</f>
        <v>4.091</v>
      </c>
    </row>
    <row r="10" ht="32" customHeight="1">
      <c r="B10" s="18" t="inlineStr">
        <is>
          <t>R5</t>
        </is>
      </c>
      <c r="C10" s="16" t="inlineStr">
        <is>
          <t>管理层减持或高比例质押</t>
        </is>
      </c>
      <c r="D10" s="18" t="inlineStr">
        <is>
          <t>治理</t>
        </is>
      </c>
      <c r="E10" s="16" t="inlineStr">
        <is>
          <t>公告减持计划；质押比例超过 30%</t>
        </is>
      </c>
      <c r="F10" s="16" t="inlineStr">
        <is>
          <t>重新评估管理层一栏</t>
        </is>
      </c>
      <c r="G10" s="18" t="inlineStr">
        <is>
          <t>低</t>
        </is>
      </c>
      <c r="H10" s="18" t="inlineStr">
        <is>
          <t>高</t>
        </is>
      </c>
      <c r="I10" s="50">
        <f>IF(OR(G10="",H10=""),"",((G10="高")*3+(G10="中")*2+(G10="低")*1)*((H10="高")*3+(H10="中")*2+(H10="低")*1))</f>
        <v>3</v>
      </c>
      <c r="J10" s="20">
        <f>TODAY()-20</f>
        <v>46288.0</v>
      </c>
      <c r="K10" s="18" t="inlineStr">
        <is>
          <t>没发生</t>
        </is>
      </c>
      <c r="N10" s="59">
        <f>IF(OR(I10="",C10=""),"",I10+(100-ROW())/1000)</f>
        <v>3.09</v>
      </c>
    </row>
    <row r="11" ht="32" customHeight="1">
      <c r="B11" s="18" t="inlineStr">
        <is>
          <t>R6</t>
        </is>
      </c>
      <c r="C11" s="16" t="inlineStr">
        <is>
          <t>大客户集中度上升</t>
        </is>
      </c>
      <c r="D11" s="18" t="inlineStr">
        <is>
          <t>经营</t>
        </is>
      </c>
      <c r="E11" s="16" t="inlineStr">
        <is>
          <t>第一大客户占比超过 15%</t>
        </is>
      </c>
      <c r="F11" s="16" t="inlineStr">
        <is>
          <t>观察</t>
        </is>
      </c>
      <c r="G11" s="18" t="inlineStr">
        <is>
          <t>低</t>
        </is>
      </c>
      <c r="H11" s="18" t="inlineStr">
        <is>
          <t>中</t>
        </is>
      </c>
      <c r="I11" s="50">
        <f>IF(OR(G11="",H11=""),"",((G11="高")*3+(G11="中")*2+(G11="低")*1)*((H11="高")*3+(H11="中")*2+(H11="低")*1))</f>
        <v>2</v>
      </c>
      <c r="J11" s="20">
        <f>TODAY()-20</f>
        <v>46288.0</v>
      </c>
      <c r="K11" s="18" t="inlineStr">
        <is>
          <t>没发生</t>
        </is>
      </c>
      <c r="N11" s="59">
        <f>IF(OR(I11="",C11=""),"",I11+(100-ROW())/1000)</f>
        <v>2.089</v>
      </c>
    </row>
    <row r="12">
      <c r="B12" s="18" t="n"/>
      <c r="C12" s="16" t="n"/>
      <c r="D12" s="18" t="n"/>
      <c r="E12" s="16" t="n"/>
      <c r="F12" s="16" t="n"/>
      <c r="G12" s="18" t="n"/>
      <c r="H12" s="18" t="n"/>
      <c r="I12" s="50" t="str">
        <f>IF(OR(G12="",H12=""),"",((G12="高")*3+(G12="中")*2+(G12="低")*1)*((H12="高")*3+(H12="中")*2+(H12="低")*1))</f>
        <v/>
      </c>
      <c r="J12" s="20" t="n"/>
      <c r="K12" s="18" t="n"/>
      <c r="N12" s="59" t="str">
        <f>IF(OR(I12="",C12=""),"",I12+(100-ROW())/1000)</f>
        <v/>
      </c>
    </row>
    <row r="13">
      <c r="B13" s="18" t="n"/>
      <c r="C13" s="16" t="n"/>
      <c r="D13" s="18" t="n"/>
      <c r="E13" s="16" t="n"/>
      <c r="F13" s="16" t="n"/>
      <c r="G13" s="18" t="n"/>
      <c r="H13" s="18" t="n"/>
      <c r="I13" s="50" t="str">
        <f>IF(OR(G13="",H13=""),"",((G13="高")*3+(G13="中")*2+(G13="低")*1)*((H13="高")*3+(H13="中")*2+(H13="低")*1))</f>
        <v/>
      </c>
      <c r="J13" s="20" t="n"/>
      <c r="K13" s="18" t="n"/>
      <c r="N13" s="59" t="str">
        <f>IF(OR(I13="",C13=""),"",I13+(100-ROW())/1000)</f>
        <v/>
      </c>
    </row>
    <row r="14">
      <c r="B14" s="18" t="n"/>
      <c r="C14" s="16" t="n"/>
      <c r="D14" s="18" t="n"/>
      <c r="E14" s="16" t="n"/>
      <c r="F14" s="16" t="n"/>
      <c r="G14" s="18" t="n"/>
      <c r="H14" s="18" t="n"/>
      <c r="I14" s="50" t="str">
        <f>IF(OR(G14="",H14=""),"",((G14="高")*3+(G14="中")*2+(G14="低")*1)*((H14="高")*3+(H14="中")*2+(H14="低")*1))</f>
        <v/>
      </c>
      <c r="J14" s="20" t="n"/>
      <c r="K14" s="18" t="n"/>
      <c r="N14" s="59" t="str">
        <f>IF(OR(I14="",C14=""),"",I14+(100-ROW())/1000)</f>
        <v/>
      </c>
    </row>
    <row r="15">
      <c r="B15" s="18" t="n"/>
      <c r="C15" s="16" t="n"/>
      <c r="D15" s="18" t="n"/>
      <c r="E15" s="16" t="n"/>
      <c r="F15" s="16" t="n"/>
      <c r="G15" s="18" t="n"/>
      <c r="H15" s="18" t="n"/>
      <c r="I15" s="50" t="str">
        <f>IF(OR(G15="",H15=""),"",((G15="高")*3+(G15="中")*2+(G15="低")*1)*((H15="高")*3+(H15="中")*2+(H15="低")*1))</f>
        <v/>
      </c>
      <c r="J15" s="20" t="n"/>
      <c r="K15" s="18" t="n"/>
      <c r="N15" s="59" t="str">
        <f>IF(OR(I15="",C15=""),"",I15+(100-ROW())/1000)</f>
        <v/>
      </c>
    </row>
    <row r="16">
      <c r="B16" s="23" t="inlineStr">
        <is>
          <t>分数 = 可能性 × 影响（高 3、中 2、低 1），6 分以上标红。备忘录会按分数自动取前三条。</t>
        </is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</row>
    <row r="18">
      <c r="B18" s="25" t="inlineStr">
        <is>
          <t>2. 跟踪日历（财报、分红、解禁、行业数据）</t>
        </is>
      </c>
    </row>
    <row r="19">
      <c r="B19" s="26" t="inlineStr">
        <is>
          <t>日期</t>
        </is>
      </c>
      <c r="C19" s="26" t="inlineStr">
        <is>
          <t>事件</t>
        </is>
      </c>
      <c r="D19" s="26" t="inlineStr">
        <is>
          <t>验证哪一条</t>
        </is>
      </c>
      <c r="E19" s="26" t="inlineStr">
        <is>
          <t>我预期看到什么（写数字）</t>
        </is>
      </c>
      <c r="F19" s="26" t="inlineStr">
        <is>
          <t>实际看到什么</t>
        </is>
      </c>
      <c r="G19" s="26" t="inlineStr">
        <is>
          <t>符合吗</t>
        </is>
      </c>
      <c r="H19" s="26" t="inlineStr">
        <is>
          <t>对结论的影响</t>
        </is>
      </c>
      <c r="I19" s="26" t="inlineStr">
        <is>
          <t>距今天数</t>
        </is>
      </c>
    </row>
    <row r="20" ht="18" customHeight="1">
      <c r="B20" s="20">
        <f>TODAY()-75</f>
        <v>46233.0</v>
      </c>
      <c r="C20" s="60" t="inlineStr">
        <is>
          <t>中报</t>
        </is>
      </c>
      <c r="D20" s="18" t="inlineStr">
        <is>
          <t>理由 1</t>
        </is>
      </c>
      <c r="E20" s="16" t="inlineStr">
        <is>
          <t>滤芯收入占比 ≥ 38%</t>
        </is>
      </c>
      <c r="F20" s="16" t="inlineStr">
        <is>
          <t>39.5%</t>
        </is>
      </c>
      <c r="G20" s="18" t="inlineStr">
        <is>
          <t>符合</t>
        </is>
      </c>
      <c r="H20" s="18" t="inlineStr">
        <is>
          <t>维持</t>
        </is>
      </c>
      <c r="I20" s="50">
        <f>IF(ISNUMBER(B20),B20-TODAY(),"")</f>
        <v>-75</v>
      </c>
      <c r="O20" s="61" t="str">
        <f>IF(AND(ISNUMBER(B20),B20&gt;=TODAY()),B20,"")</f>
        <v/>
      </c>
    </row>
    <row r="21" ht="32" customHeight="1">
      <c r="B21" s="20">
        <f>TODAY()-40</f>
        <v>46268.0</v>
      </c>
      <c r="C21" s="60" t="inlineStr">
        <is>
          <t>其他</t>
        </is>
      </c>
      <c r="D21" s="18" t="inlineStr">
        <is>
          <t>风险 R1</t>
        </is>
      </c>
      <c r="E21" s="16" t="inlineStr">
        <is>
          <t>管理层解释应收为什么变长</t>
        </is>
      </c>
      <c r="F21" s="16" t="inlineStr">
        <is>
          <t>说是新渠道账期 60 天，没给数据</t>
        </is>
      </c>
      <c r="G21" s="18" t="inlineStr">
        <is>
          <t>部分符合</t>
        </is>
      </c>
      <c r="H21" s="18" t="inlineStr">
        <is>
          <t>维持</t>
        </is>
      </c>
      <c r="I21" s="50">
        <f>IF(ISNUMBER(B21),B21-TODAY(),"")</f>
        <v>-40</v>
      </c>
      <c r="O21" s="61" t="str">
        <f>IF(AND(ISNUMBER(B21),B21&gt;=TODAY()),B21,"")</f>
        <v/>
      </c>
    </row>
    <row r="22" ht="32" customHeight="1">
      <c r="B22" s="20">
        <f>TODAY()+15</f>
        <v>46323.0</v>
      </c>
      <c r="C22" s="60" t="inlineStr">
        <is>
          <t>季报</t>
        </is>
      </c>
      <c r="D22" s="18" t="inlineStr">
        <is>
          <t>理由 2</t>
        </is>
      </c>
      <c r="E22" s="16" t="inlineStr">
        <is>
          <t>收现比 ≥ 0.9，应收周转天数 ≤ 70 天</t>
        </is>
      </c>
      <c r="F22" s="16" t="n"/>
      <c r="G22" s="18" t="n"/>
      <c r="H22" s="18" t="n"/>
      <c r="I22" s="50">
        <f>IF(ISNUMBER(B22),B22-TODAY(),"")</f>
        <v>15</v>
      </c>
      <c r="O22" s="61">
        <f>IF(AND(ISNUMBER(B22),B22&gt;=TODAY()),B22,"")</f>
        <v>46323.0</v>
      </c>
    </row>
    <row r="23" ht="32" customHeight="1">
      <c r="B23" s="20">
        <f>TODAY()+60</f>
        <v>46368.0</v>
      </c>
      <c r="C23" s="60" t="inlineStr">
        <is>
          <t>行业数据</t>
        </is>
      </c>
      <c r="D23" s="18" t="inlineStr">
        <is>
          <t>风险 R2</t>
        </is>
      </c>
      <c r="E23" s="16" t="inlineStr">
        <is>
          <t>兼容滤芯在主要渠道的价格和铺货</t>
        </is>
      </c>
      <c r="F23" s="16" t="n"/>
      <c r="G23" s="18" t="n"/>
      <c r="H23" s="18" t="n"/>
      <c r="I23" s="50">
        <f>IF(ISNUMBER(B23),B23-TODAY(),"")</f>
        <v>60</v>
      </c>
      <c r="O23" s="61">
        <f>IF(AND(ISNUMBER(B23),B23&gt;=TODAY()),B23,"")</f>
        <v>46368.0</v>
      </c>
    </row>
    <row r="24" ht="32" customHeight="1">
      <c r="B24" s="20">
        <f>TODAY()+150</f>
        <v>46458.0</v>
      </c>
      <c r="C24" s="60" t="inlineStr">
        <is>
          <t>年报</t>
        </is>
      </c>
      <c r="D24" s="18" t="inlineStr">
        <is>
          <t>理由 1、3</t>
        </is>
      </c>
      <c r="E24" s="16" t="inlineStr">
        <is>
          <t>滤芯收入增速 ≥ 12%；维保毛利率 ≥ 40%</t>
        </is>
      </c>
      <c r="F24" s="16" t="n"/>
      <c r="G24" s="18" t="n"/>
      <c r="H24" s="18" t="n"/>
      <c r="I24" s="50">
        <f>IF(ISNUMBER(B24),B24-TODAY(),"")</f>
        <v>150</v>
      </c>
      <c r="O24" s="61">
        <f>IF(AND(ISNUMBER(B24),B24&gt;=TODAY()),B24,"")</f>
        <v>46458.0</v>
      </c>
    </row>
    <row r="25" ht="18" customHeight="1">
      <c r="B25" s="20">
        <f>TODAY()+170</f>
        <v>46478.0</v>
      </c>
      <c r="C25" s="60" t="inlineStr">
        <is>
          <t>分红除权</t>
        </is>
      </c>
      <c r="D25" s="18" t="inlineStr">
        <is>
          <t>纪律</t>
        </is>
      </c>
      <c r="E25" s="16" t="inlineStr">
        <is>
          <t>分红率维持三成左右</t>
        </is>
      </c>
      <c r="F25" s="16" t="n"/>
      <c r="G25" s="18" t="n"/>
      <c r="H25" s="18" t="n"/>
      <c r="I25" s="50">
        <f>IF(ISNUMBER(B25),B25-TODAY(),"")</f>
        <v>170</v>
      </c>
      <c r="O25" s="61">
        <f>IF(AND(ISNUMBER(B25),B25&gt;=TODAY()),B25,"")</f>
        <v>46478.0</v>
      </c>
    </row>
    <row r="26">
      <c r="B26" s="20" t="n"/>
      <c r="C26" s="60" t="n"/>
      <c r="D26" s="18" t="n"/>
      <c r="E26" s="16" t="n"/>
      <c r="F26" s="16" t="n"/>
      <c r="G26" s="18" t="n"/>
      <c r="H26" s="18" t="n"/>
      <c r="I26" s="50" t="str">
        <f>IF(ISNUMBER(B26),B26-TODAY(),"")</f>
        <v/>
      </c>
      <c r="O26" s="61" t="str">
        <f>IF(AND(ISNUMBER(B26),B26&gt;=TODAY()),B26,"")</f>
        <v/>
      </c>
    </row>
    <row r="27">
      <c r="B27" s="20" t="n"/>
      <c r="C27" s="60" t="n"/>
      <c r="D27" s="18" t="n"/>
      <c r="E27" s="16" t="n"/>
      <c r="F27" s="16" t="n"/>
      <c r="G27" s="18" t="n"/>
      <c r="H27" s="18" t="n"/>
      <c r="I27" s="50" t="str">
        <f>IF(ISNUMBER(B27),B27-TODAY(),"")</f>
        <v/>
      </c>
      <c r="O27" s="61" t="str">
        <f>IF(AND(ISNUMBER(B27),B27&gt;=TODAY()),B27,"")</f>
        <v/>
      </c>
    </row>
    <row r="28">
      <c r="B28" s="20" t="n"/>
      <c r="C28" s="60" t="n"/>
      <c r="D28" s="18" t="n"/>
      <c r="E28" s="16" t="n"/>
      <c r="F28" s="16" t="n"/>
      <c r="G28" s="18" t="n"/>
      <c r="H28" s="18" t="n"/>
      <c r="I28" s="50" t="str">
        <f>IF(ISNUMBER(B28),B28-TODAY(),"")</f>
        <v/>
      </c>
      <c r="O28" s="61" t="str">
        <f>IF(AND(ISNUMBER(B28),B28&gt;=TODAY()),B28,"")</f>
        <v/>
      </c>
    </row>
    <row r="29">
      <c r="B29" s="20" t="n"/>
      <c r="C29" s="60" t="n"/>
      <c r="D29" s="18" t="n"/>
      <c r="E29" s="16" t="n"/>
      <c r="F29" s="16" t="n"/>
      <c r="G29" s="18" t="n"/>
      <c r="H29" s="18" t="n"/>
      <c r="I29" s="50" t="str">
        <f>IF(ISNUMBER(B29),B29-TODAY(),"")</f>
        <v/>
      </c>
      <c r="O29" s="61" t="str">
        <f>IF(AND(ISNUMBER(B29),B29&gt;=TODAY()),B29,"")</f>
        <v/>
      </c>
    </row>
    <row r="30">
      <c r="B30" s="20" t="n"/>
      <c r="C30" s="60" t="n"/>
      <c r="D30" s="18" t="n"/>
      <c r="E30" s="16" t="n"/>
      <c r="F30" s="16" t="n"/>
      <c r="G30" s="18" t="n"/>
      <c r="H30" s="18" t="n"/>
      <c r="I30" s="50" t="str">
        <f>IF(ISNUMBER(B30),B30-TODAY(),"")</f>
        <v/>
      </c>
      <c r="O30" s="61" t="str">
        <f>IF(AND(ISNUMBER(B30),B30&gt;=TODAY()),B30,"")</f>
        <v/>
      </c>
    </row>
    <row r="31">
      <c r="B31" s="20" t="n"/>
      <c r="C31" s="60" t="n"/>
      <c r="D31" s="18" t="n"/>
      <c r="E31" s="16" t="n"/>
      <c r="F31" s="16" t="n"/>
      <c r="G31" s="18" t="n"/>
      <c r="H31" s="18" t="n"/>
      <c r="I31" s="50" t="str">
        <f>IF(ISNUMBER(B31),B31-TODAY(),"")</f>
        <v/>
      </c>
      <c r="O31" s="61" t="str">
        <f>IF(AND(ISNUMBER(B31),B31&gt;=TODAY()),B31,"")</f>
        <v/>
      </c>
    </row>
    <row r="32">
      <c r="B32" s="23" t="inlineStr">
        <is>
          <t>距今天数在 0 到 14 天之间的标黄：两周内要看的事。备忘录的「下一个要验证的事」和「下次复核」自动取今天以后最近的一件。</t>
        </is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</row>
    <row r="34">
      <c r="B34" s="25" t="inlineStr">
        <is>
          <t>3. 复核记录（每次复核或买卖都记一行）</t>
        </is>
      </c>
    </row>
    <row r="35">
      <c r="B35" s="26" t="inlineStr">
        <is>
          <t>日期</t>
        </is>
      </c>
      <c r="C35" s="26" t="inlineStr">
        <is>
          <t>为什么（引用哪条纪律或证据）</t>
        </is>
      </c>
      <c r="D35" s="26" t="inlineStr">
        <is>
          <t>结论</t>
        </is>
      </c>
      <c r="E35" s="26" t="inlineStr">
        <is>
          <t>改了哪个假设</t>
        </is>
      </c>
      <c r="F35" s="26" t="inlineStr">
        <is>
          <t>当时股价</t>
        </is>
      </c>
      <c r="G35" s="26" t="inlineStr">
        <is>
          <t>基准每股价值</t>
        </is>
      </c>
      <c r="H35" s="26" t="inlineStr">
        <is>
          <t>安全边际</t>
        </is>
      </c>
      <c r="I35" s="26" t="inlineStr">
        <is>
          <t>版本</t>
        </is>
      </c>
    </row>
    <row r="36" ht="32" customHeight="1">
      <c r="B36" s="20">
        <f>TODAY()-180</f>
        <v>46128.0</v>
      </c>
      <c r="C36" s="16" t="inlineStr">
        <is>
          <t>首次研究：生意好懂，滤芯复购占比高；但安全边际不到三成</t>
        </is>
      </c>
      <c r="D36" s="18" t="inlineStr">
        <is>
          <t>观察</t>
        </is>
      </c>
      <c r="E36" s="16" t="inlineStr">
        <is>
          <t>首版</t>
        </is>
      </c>
      <c r="F36" s="48" t="n">
        <v>15.2</v>
      </c>
      <c r="G36" s="48" t="n">
        <v>16.6</v>
      </c>
      <c r="H36" s="38">
        <f>IF(AND(ISNUMBER(F36),ISNUMBER(G36),N(G36)&gt;0),(G36-F36)/G36,"")</f>
        <v>0.0843373493975905</v>
      </c>
      <c r="I36" s="18" t="inlineStr">
        <is>
          <t>v1</t>
        </is>
      </c>
    </row>
    <row r="37" ht="32" customHeight="1">
      <c r="B37" s="20">
        <f>TODAY()-45</f>
        <v>46263.0</v>
      </c>
      <c r="C37" s="16" t="inlineStr">
        <is>
          <t>中报滤芯占比 39.5%，符合理由 1；应收天数上升，加进风险清单</t>
        </is>
      </c>
      <c r="D37" s="18" t="inlineStr">
        <is>
          <t>观察</t>
        </is>
      </c>
      <c r="E37" s="16" t="inlineStr">
        <is>
          <t>基期现金流 3.2 改成 3.5</t>
        </is>
      </c>
      <c r="F37" s="48" t="n">
        <v>16.4</v>
      </c>
      <c r="G37" s="48" t="n">
        <v>17.1</v>
      </c>
      <c r="H37" s="38">
        <f>IF(AND(ISNUMBER(F37),ISNUMBER(G37),N(G37)&gt;0),(G37-F37)/G37,"")</f>
        <v>0.0409356725146201</v>
      </c>
      <c r="I37" s="18" t="inlineStr">
        <is>
          <t>v2</t>
        </is>
      </c>
    </row>
    <row r="38" ht="32" customHeight="1">
      <c r="B38" s="20">
        <f>TODAY()-3</f>
        <v>46305.0</v>
      </c>
      <c r="C38" s="16" t="inlineStr">
        <is>
          <t>现价和基准价值差不多，没有安全边际；季报先看收现比</t>
        </is>
      </c>
      <c r="D38" s="18" t="inlineStr">
        <is>
          <t>等价格</t>
        </is>
      </c>
      <c r="E38" s="16" t="inlineStr">
        <is>
          <t>前 5 年增速 8% 改成 9%</t>
        </is>
      </c>
      <c r="F38" s="48" t="n">
        <v>17.2</v>
      </c>
      <c r="G38" s="28">
        <f>IF(ISNUMBER('例-估值'!D38),'例-估值'!D38,"")</f>
        <v>17.6293747624531</v>
      </c>
      <c r="H38" s="38">
        <f>IF(AND(ISNUMBER(F38),ISNUMBER(G38),N(G38)&gt;0),(G38-F38)/G38,"")</f>
        <v>0.0243556432510348</v>
      </c>
      <c r="I38" s="18" t="inlineStr">
        <is>
          <t>v3</t>
        </is>
      </c>
    </row>
    <row r="39">
      <c r="B39" s="20" t="n"/>
      <c r="C39" s="16" t="n"/>
      <c r="D39" s="18" t="n"/>
      <c r="E39" s="16" t="n"/>
      <c r="F39" s="48" t="n"/>
      <c r="G39" s="48" t="n"/>
      <c r="H39" s="38" t="str">
        <f>IF(AND(ISNUMBER(F39),ISNUMBER(G39),N(G39)&gt;0),(G39-F39)/G39,"")</f>
        <v/>
      </c>
      <c r="I39" s="18" t="n"/>
    </row>
    <row r="40">
      <c r="B40" s="20" t="n"/>
      <c r="C40" s="16" t="n"/>
      <c r="D40" s="18" t="n"/>
      <c r="E40" s="16" t="n"/>
      <c r="F40" s="48" t="n"/>
      <c r="G40" s="48" t="n"/>
      <c r="H40" s="38" t="str">
        <f>IF(AND(ISNUMBER(F40),ISNUMBER(G40),N(G40)&gt;0),(G40-F40)/G40,"")</f>
        <v/>
      </c>
      <c r="I40" s="18" t="n"/>
    </row>
    <row r="41">
      <c r="B41" s="20" t="n"/>
      <c r="C41" s="16" t="n"/>
      <c r="D41" s="18" t="n"/>
      <c r="E41" s="16" t="n"/>
      <c r="F41" s="48" t="n"/>
      <c r="G41" s="48" t="n"/>
      <c r="H41" s="38" t="str">
        <f>IF(AND(ISNUMBER(F41),ISNUMBER(G41),N(G41)&gt;0),(G41-F41)/G41,"")</f>
        <v/>
      </c>
      <c r="I41" s="18" t="n"/>
    </row>
    <row r="42">
      <c r="B42" s="20" t="n"/>
      <c r="C42" s="16" t="n"/>
      <c r="D42" s="18" t="n"/>
      <c r="E42" s="16" t="n"/>
      <c r="F42" s="48" t="n"/>
      <c r="G42" s="48" t="n"/>
      <c r="H42" s="38" t="str">
        <f>IF(AND(ISNUMBER(F42),ISNUMBER(G42),N(G42)&gt;0),(G42-F42)/G42,"")</f>
        <v/>
      </c>
      <c r="I42" s="18" t="n"/>
    </row>
    <row r="43">
      <c r="B43" s="20" t="n"/>
      <c r="C43" s="16" t="n"/>
      <c r="D43" s="18" t="n"/>
      <c r="E43" s="16" t="n"/>
      <c r="F43" s="48" t="n"/>
      <c r="G43" s="48" t="n"/>
      <c r="H43" s="38" t="str">
        <f>IF(AND(ISNUMBER(F43),ISNUMBER(G43),N(G43)&gt;0),(G43-F43)/G43,"")</f>
        <v/>
      </c>
      <c r="I43" s="18" t="n"/>
    </row>
    <row r="44">
      <c r="B44" s="20" t="n"/>
      <c r="C44" s="16" t="n"/>
      <c r="D44" s="18" t="n"/>
      <c r="E44" s="16" t="n"/>
      <c r="F44" s="48" t="n"/>
      <c r="G44" s="48" t="n"/>
      <c r="H44" s="38" t="str">
        <f>IF(AND(ISNUMBER(F44),ISNUMBER(G44),N(G44)&gt;0),(G44-F44)/G44,"")</f>
        <v/>
      </c>
      <c r="I44" s="18" t="n"/>
    </row>
    <row r="45">
      <c r="B45" s="20" t="n"/>
      <c r="C45" s="16" t="n"/>
      <c r="D45" s="18" t="n"/>
      <c r="E45" s="16" t="n"/>
      <c r="F45" s="48" t="n"/>
      <c r="G45" s="48" t="n"/>
      <c r="H45" s="38" t="str">
        <f>IF(AND(ISNUMBER(F45),ISNUMBER(G45),N(G45)&gt;0),(G45-F45)/G45,"")</f>
        <v/>
      </c>
      <c r="I45" s="18" t="n"/>
    </row>
    <row r="46">
      <c r="B46" s="20" t="n"/>
      <c r="C46" s="16" t="n"/>
      <c r="D46" s="18" t="n"/>
      <c r="E46" s="16" t="n"/>
      <c r="F46" s="48" t="n"/>
      <c r="G46" s="48" t="n"/>
      <c r="H46" s="38" t="str">
        <f>IF(AND(ISNUMBER(F46),ISNUMBER(G46),N(G46)&gt;0),(G46-F46)/G46,"")</f>
        <v/>
      </c>
      <c r="I46" s="18" t="n"/>
    </row>
    <row r="47">
      <c r="B47" s="20" t="n"/>
      <c r="C47" s="16" t="n"/>
      <c r="D47" s="18" t="n"/>
      <c r="E47" s="16" t="n"/>
      <c r="F47" s="48" t="n"/>
      <c r="G47" s="48" t="n"/>
      <c r="H47" s="38" t="str">
        <f>IF(AND(ISNUMBER(F47),ISNUMBER(G47),N(G47)&gt;0),(G47-F47)/G47,"")</f>
        <v/>
      </c>
      <c r="I47" s="18" t="n"/>
    </row>
  </sheetData>
  <mergeCells count="5">
    <mergeCell ref="A1:H1"/>
    <mergeCell ref="B32:K32"/>
    <mergeCell ref="I1:K1"/>
    <mergeCell ref="A2:K2"/>
    <mergeCell ref="B16:K16"/>
  </mergeCells>
  <conditionalFormatting sqref="I6:I15">
    <cfRule type="cellIs" priority="1" operator="greaterThanOrEqual" dxfId="7">
      <formula>6</formula>
    </cfRule>
    <cfRule type="cellIs" priority="2" operator="between" dxfId="5">
      <formula>3</formula>
      <formula>5</formula>
    </cfRule>
  </conditionalFormatting>
  <conditionalFormatting sqref="K6:K15">
    <cfRule type="cellIs" priority="3" operator="equal" dxfId="2">
      <formula>"出现苗头"</formula>
    </cfRule>
    <cfRule type="cellIs" priority="4" operator="equal" dxfId="1">
      <formula>"已发生"</formula>
    </cfRule>
  </conditionalFormatting>
  <conditionalFormatting sqref="I20:I31">
    <cfRule type="cellIs" priority="5" operator="between" dxfId="6">
      <formula>0</formula>
      <formula>14</formula>
    </cfRule>
  </conditionalFormatting>
  <conditionalFormatting sqref="G20:G31">
    <cfRule type="cellIs" priority="6" operator="equal" dxfId="1">
      <formula>"不符合"</formula>
    </cfRule>
  </conditionalFormatting>
  <dataValidations count="10">
    <dataValidation sqref="D6:D15" showDropDown="0" showInputMessage="0" showErrorMessage="1" allowBlank="1" errorTitle="不在选项里" error="请从下拉里选；要加新选项，先去参数页的下拉选项里加。" type="list" errorStyle="warning">
      <formula1>"经营,财务,治理,行业,估值,政策,汇率,其他"</formula1>
    </dataValidation>
    <dataValidation sqref="G6:H15" showDropDown="0" showInputMessage="0" showErrorMessage="1" allowBlank="1" errorTitle="不在选项里" error="请从下拉里选；要加新选项，先去参数页的下拉选项里加。" type="list" errorStyle="stop">
      <formula1>"高,中,低"</formula1>
    </dataValidation>
    <dataValidation sqref="K6:K15" showDropDown="0" showInputMessage="0" showErrorMessage="1" allowBlank="1" errorTitle="不在选项里" error="请从下拉里选；要加新选项，先去参数页的下拉选项里加。" type="list" errorStyle="stop">
      <formula1>"没发生,出现苗头,已发生"</formula1>
    </dataValidation>
    <dataValidation sqref="J6:J15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B20:B31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20:C31" showDropDown="0" showInputMessage="0" showErrorMessage="1" allowBlank="1" errorTitle="不在选项里" error="请从下拉里选；要加新选项，先去参数页的下拉选项里加。" type="list" errorStyle="warning">
      <formula1>"季报,中报,年报,业绩预告,股东大会,分红除权,解禁,行业数据,产品发布,其他"</formula1>
    </dataValidation>
    <dataValidation sqref="G20:G31" showDropDown="0" showInputMessage="0" showErrorMessage="1" allowBlank="1" errorTitle="不在选项里" error="请从下拉里选；要加新选项，先去参数页的下拉选项里加。" type="list" errorStyle="stop">
      <formula1>"符合,部分符合,不符合"</formula1>
    </dataValidation>
    <dataValidation sqref="H20:H31" showDropDown="0" showInputMessage="0" showErrorMessage="1" allowBlank="1" errorTitle="不在选项里" error="请从下拉里选；要加新选项，先去参数页的下拉选项里加。" type="list" errorStyle="stop">
      <formula1>"维持,上调,下调,触发卖出"</formula1>
    </dataValidation>
    <dataValidation sqref="B36:B47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36:D47" showDropDown="0" showInputMessage="0" showErrorMessage="1" allowBlank="1" errorTitle="不在选项里" error="请从下拉里选；要加新选项，先去参数页的下拉选项里加。" type="list" errorStyle="stop">
      <formula1>"观察,等价格,买入,加仓,持有,减仓,卖出"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</worksheet>
</file>

<file path=xl/worksheets/sheet13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Q2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0" customWidth="1" min="2" max="2"/>
    <col width="7" customWidth="1" min="3" max="3"/>
    <col width="7" customWidth="1" min="4" max="4"/>
    <col width="16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.5" customWidth="1" min="11" max="11"/>
    <col width="8" customWidth="1" min="12" max="12"/>
    <col width="9" customWidth="1" min="13" max="13"/>
    <col width="10.5" customWidth="1" min="14" max="14"/>
    <col width="7" customWidth="1" min="15" max="15"/>
    <col width="7" customWidth="1" min="16" max="16"/>
    <col width="30" customWidth="1" min="17" max="17"/>
  </cols>
  <sheetData>
    <row r="1" ht="30" customHeight="1">
      <c r="A1" s="13" t="inlineStr">
        <is>
          <t>示例 · 研究池：同时看的几家公司</t>
        </is>
      </c>
      <c r="O1" s="14" t="inlineStr">
        <is>
          <t>TradeLearn · XtradingTime 交易内训</t>
        </is>
      </c>
    </row>
    <row r="2" ht="20" customHeight="1">
      <c r="A2" s="66" t="inlineStr">
        <is>
          <t>虚构示例，仅演示填法：五家公司全部虚构；复核日期按打开文件的当天往前后推。</t>
        </is>
      </c>
    </row>
    <row r="4" ht="24" customHeight="1">
      <c r="B4" s="62" t="inlineStr">
        <is>
          <t>公司数</t>
        </is>
      </c>
      <c r="C4" s="63">
        <f>COUNTIF(B8:B27,"?*")</f>
        <v>5</v>
      </c>
      <c r="D4" s="62" t="inlineStr">
        <is>
          <t>到买入线</t>
        </is>
      </c>
      <c r="F4" s="63">
        <f>COUNTIF(K8:K27,"&lt;=0")</f>
        <v>1</v>
      </c>
      <c r="G4" s="62" t="inlineStr">
        <is>
          <t>有苗头或已证伪</t>
        </is>
      </c>
      <c r="I4" s="63">
        <f>COUNTIF(M8:M27,"出现苗头")+COUNTIF(M8:M27,"已证伪")</f>
        <v>3</v>
      </c>
      <c r="J4" s="62" t="inlineStr">
        <is>
          <t>两周内复核</t>
        </is>
      </c>
      <c r="L4" s="63">
        <f>COUNTIFS(O8:O27,"&gt;=0",O8:O27,"&lt;=14")</f>
        <v>1</v>
      </c>
      <c r="M4" s="62" t="inlineStr">
        <is>
          <t>合计仓位</t>
        </is>
      </c>
      <c r="N4" s="64">
        <f>IF(COUNT(P8:P27)=0,"",SUM(P8:P27))</f>
        <v>0.17</v>
      </c>
    </row>
    <row r="6">
      <c r="B6" s="23" t="inlineStr">
        <is>
          <t>第 8 行来自本文件的备忘录和估值页（绿字）；第 9 行起手填。</t>
        </is>
      </c>
      <c r="C6" s="23" t="n"/>
      <c r="D6" s="23" t="n"/>
      <c r="E6" s="23" t="n"/>
      <c r="F6" s="23" t="n"/>
      <c r="G6" s="23" t="n"/>
      <c r="H6" s="23" t="n"/>
      <c r="I6" s="23" t="n"/>
      <c r="J6" s="23" t="n"/>
      <c r="K6" s="23" t="n"/>
      <c r="L6" s="23" t="n"/>
      <c r="M6" s="23" t="n"/>
      <c r="N6" s="23" t="n"/>
      <c r="O6" s="23" t="n"/>
      <c r="P6" s="23" t="n"/>
      <c r="Q6" s="23" t="n"/>
    </row>
    <row r="7" ht="30" customHeight="1">
      <c r="B7" s="26" t="inlineStr">
        <is>
          <t>公司</t>
        </is>
      </c>
      <c r="C7" s="26" t="inlineStr">
        <is>
          <t>代码</t>
        </is>
      </c>
      <c r="D7" s="26" t="inlineStr">
        <is>
          <t>市场</t>
        </is>
      </c>
      <c r="E7" s="26" t="inlineStr">
        <is>
          <t>行业</t>
        </is>
      </c>
      <c r="F7" s="26" t="inlineStr">
        <is>
          <t>当前动作</t>
        </is>
      </c>
      <c r="G7" s="26" t="inlineStr">
        <is>
          <t>现价</t>
        </is>
      </c>
      <c r="H7" s="26" t="inlineStr">
        <is>
          <t>基准价值</t>
        </is>
      </c>
      <c r="I7" s="26" t="inlineStr">
        <is>
          <t>安全边际</t>
        </is>
      </c>
      <c r="J7" s="26" t="inlineStr">
        <is>
          <t>买入价上限</t>
        </is>
      </c>
      <c r="K7" s="26" t="inlineStr">
        <is>
          <t>距买入线</t>
        </is>
      </c>
      <c r="L7" s="26" t="inlineStr">
        <is>
          <t>乐观价值</t>
        </is>
      </c>
      <c r="M7" s="26" t="inlineStr">
        <is>
          <t>证伪状态</t>
        </is>
      </c>
      <c r="N7" s="26" t="inlineStr">
        <is>
          <t>下次复核</t>
        </is>
      </c>
      <c r="O7" s="26" t="inlineStr">
        <is>
          <t>距今天数</t>
        </is>
      </c>
      <c r="P7" s="26" t="inlineStr">
        <is>
          <t>仓位</t>
        </is>
      </c>
      <c r="Q7" s="26" t="inlineStr">
        <is>
          <t>备注</t>
        </is>
      </c>
    </row>
    <row r="8" ht="32" customHeight="1">
      <c r="B8" s="65" t="str">
        <f>IF('例-备忘录'!C4="","",'例-备忘录'!C4)</f>
        <v>示例公司甲（虚构）</v>
      </c>
      <c r="C8" s="19" t="str">
        <f>IF('例-备忘录'!F4="","",'例-备忘录'!F4)</f>
        <v>示例</v>
      </c>
      <c r="D8" s="19" t="str">
        <f>IF('例-备忘录'!H4="","",'例-备忘录'!H4)</f>
        <v>A股</v>
      </c>
      <c r="E8" s="65" t="str">
        <f>IF('例-备忘录'!C5="","",'例-备忘录'!C5)</f>
        <v>商用净水设备与滤芯</v>
      </c>
      <c r="F8" s="19" t="str">
        <f>IF('例-备忘录'!E6="","",'例-备忘录'!E6)</f>
        <v>等价格</v>
      </c>
      <c r="G8" s="28">
        <f>IF('例-估值'!$C$5="","",'例-估值'!$C$5)</f>
        <v>17.2</v>
      </c>
      <c r="H8" s="28">
        <f>IF('例-估值'!$D$38="","",'例-估值'!$D$38)</f>
        <v>17.6293747624531</v>
      </c>
      <c r="I8" s="38">
        <f>IF(AND(ISNUMBER(G8),ISNUMBER(H8),N(H8)&gt;0),(H8-G8)/H8,"")</f>
        <v>0.0243556432510348</v>
      </c>
      <c r="J8" s="28">
        <f>IF('例-估值'!$C$45="","",'例-估值'!$C$45)</f>
        <v>12.3405623337172</v>
      </c>
      <c r="K8" s="54">
        <f>IF(AND(ISNUMBER(G8),N(J8)&gt;0),G8/J8-1,"")</f>
        <v>0.393777652498522</v>
      </c>
      <c r="L8" s="28">
        <f>IF('例-估值'!$E$38="","",'例-估值'!$E$38)</f>
        <v>24.8968360337189</v>
      </c>
      <c r="M8" s="19" t="str">
        <f>IF(COUNTIF('例-备忘录'!I20:I22,"已证伪")&gt;0,"已证伪",IF(COUNTIF('例-备忘录'!I20:I22,"出现苗头")&gt;0,"出现苗头",IF(COUNTA('例-备忘录'!I20:I22)&gt;0,"没有","")))</f>
        <v>出现苗头</v>
      </c>
      <c r="N8" s="22">
        <f>IF(ISNUMBER('例-备忘录'!G6),'例-备忘录'!G6,"")</f>
        <v>46323.0</v>
      </c>
      <c r="O8" s="50">
        <f>IF(ISNUMBER(N8),N8-TODAY(),"")</f>
        <v>15</v>
      </c>
      <c r="P8" s="34" t="n">
        <v>0</v>
      </c>
      <c r="Q8" s="16" t="inlineStr">
        <is>
          <t>本文件的公司：等价格，季报先看收现比</t>
        </is>
      </c>
    </row>
    <row r="9" ht="32" customHeight="1">
      <c r="B9" s="16" t="inlineStr">
        <is>
          <t>示例公司乙（虚构）</t>
        </is>
      </c>
      <c r="C9" s="18" t="inlineStr">
        <is>
          <t>示例</t>
        </is>
      </c>
      <c r="D9" s="18" t="inlineStr">
        <is>
          <t>港股</t>
        </is>
      </c>
      <c r="E9" s="16" t="inlineStr">
        <is>
          <t>物业管理</t>
        </is>
      </c>
      <c r="F9" s="18" t="inlineStr">
        <is>
          <t>买入</t>
        </is>
      </c>
      <c r="G9" s="48" t="n">
        <v>4.1</v>
      </c>
      <c r="H9" s="48" t="n">
        <v>6.2</v>
      </c>
      <c r="I9" s="38">
        <f>IF(AND(ISNUMBER(G9),ISNUMBER(H9),N(H9)&gt;0),(H9-G9)/H9,"")</f>
        <v>0.338709677419355</v>
      </c>
      <c r="J9" s="48" t="n">
        <v>4.34</v>
      </c>
      <c r="K9" s="54">
        <f>IF(AND(ISNUMBER(G9),N(J9)&gt;0),G9/J9-1,"")</f>
        <v>-0.055299539170507</v>
      </c>
      <c r="L9" s="48" t="n">
        <v>7.8</v>
      </c>
      <c r="M9" s="18" t="inlineStr">
        <is>
          <t>没有</t>
        </is>
      </c>
      <c r="N9" s="67">
        <f>TODAY()+9</f>
        <v>46317.0</v>
      </c>
      <c r="O9" s="50">
        <f>IF(ISNUMBER(N9),N9-TODAY(),"")</f>
        <v>9</v>
      </c>
      <c r="P9" s="34" t="n">
        <v>0.05</v>
      </c>
      <c r="Q9" s="16" t="inlineStr">
        <is>
          <t>到价，分三次买，先买三分之一；中报看收缴率</t>
        </is>
      </c>
    </row>
    <row r="10" ht="32" customHeight="1">
      <c r="B10" s="16" t="inlineStr">
        <is>
          <t>示例公司丙（虚构）</t>
        </is>
      </c>
      <c r="C10" s="18" t="inlineStr">
        <is>
          <t>示例</t>
        </is>
      </c>
      <c r="D10" s="18" t="inlineStr">
        <is>
          <t>美股</t>
        </is>
      </c>
      <c r="E10" s="16" t="inlineStr">
        <is>
          <t>工业软件</t>
        </is>
      </c>
      <c r="F10" s="18" t="inlineStr">
        <is>
          <t>持有</t>
        </is>
      </c>
      <c r="G10" s="48" t="n">
        <v>86</v>
      </c>
      <c r="H10" s="48" t="n">
        <v>92</v>
      </c>
      <c r="I10" s="38">
        <f>IF(AND(ISNUMBER(G10),ISNUMBER(H10),N(H10)&gt;0),(H10-G10)/H10,"")</f>
        <v>0.0652173913043478</v>
      </c>
      <c r="J10" s="48" t="n">
        <v>64.40000000000001</v>
      </c>
      <c r="K10" s="54">
        <f>IF(AND(ISNUMBER(G10),N(J10)&gt;0),G10/J10-1,"")</f>
        <v>0.335403726708075</v>
      </c>
      <c r="L10" s="48" t="n">
        <v>120</v>
      </c>
      <c r="M10" s="18" t="inlineStr">
        <is>
          <t>出现苗头</t>
        </is>
      </c>
      <c r="N10" s="67">
        <f>TODAY()+23</f>
        <v>46331.0</v>
      </c>
      <c r="O10" s="50">
        <f>IF(ISNUMBER(N10),N10-TODAY(),"")</f>
        <v>23</v>
      </c>
      <c r="P10" s="34" t="n">
        <v>0.12</v>
      </c>
      <c r="Q10" s="16" t="inlineStr">
        <is>
          <t>大客户续费率两个季度下滑，下次财报确认</t>
        </is>
      </c>
    </row>
    <row r="11" ht="46" customHeight="1">
      <c r="B11" s="16" t="inlineStr">
        <is>
          <t>示例公司丁（虚构）</t>
        </is>
      </c>
      <c r="C11" s="18" t="inlineStr">
        <is>
          <t>示例</t>
        </is>
      </c>
      <c r="D11" s="18" t="inlineStr">
        <is>
          <t>A股</t>
        </is>
      </c>
      <c r="E11" s="16" t="inlineStr">
        <is>
          <t>区域乳制品</t>
        </is>
      </c>
      <c r="F11" s="18" t="inlineStr">
        <is>
          <t>卖出</t>
        </is>
      </c>
      <c r="G11" s="48" t="n">
        <v>9.800000000000001</v>
      </c>
      <c r="H11" s="48" t="n">
        <v>8.5</v>
      </c>
      <c r="I11" s="38">
        <f>IF(AND(ISNUMBER(G11),ISNUMBER(H11),N(H11)&gt;0),(H11-G11)/H11,"")</f>
        <v>-0.152941176470588</v>
      </c>
      <c r="J11" s="48" t="n">
        <v>5.95</v>
      </c>
      <c r="K11" s="54">
        <f>IF(AND(ISNUMBER(G11),N(J11)&gt;0),G11/J11-1,"")</f>
        <v>0.647058823529412</v>
      </c>
      <c r="L11" s="48" t="n">
        <v>10.5</v>
      </c>
      <c r="M11" s="18" t="inlineStr">
        <is>
          <t>已证伪</t>
        </is>
      </c>
      <c r="N11" s="67">
        <f>TODAY()-4</f>
        <v>46304.0</v>
      </c>
      <c r="O11" s="50">
        <f>IF(ISNUMBER(N11),N11-TODAY(),"")</f>
        <v>-4</v>
      </c>
      <c r="P11" s="34" t="n">
        <v>0</v>
      </c>
      <c r="Q11" s="16" t="inlineStr">
        <is>
          <t>渠道库存连续两季上升，证伪条件触发，已清仓；复核过期，待写总结</t>
        </is>
      </c>
    </row>
    <row r="12" ht="18" customHeight="1">
      <c r="B12" s="16" t="inlineStr">
        <is>
          <t>示例公司戊（虚构）</t>
        </is>
      </c>
      <c r="C12" s="18" t="inlineStr">
        <is>
          <t>示例</t>
        </is>
      </c>
      <c r="D12" s="18" t="inlineStr">
        <is>
          <t>港股</t>
        </is>
      </c>
      <c r="E12" s="16" t="inlineStr">
        <is>
          <t>医疗耗材</t>
        </is>
      </c>
      <c r="F12" s="18" t="inlineStr">
        <is>
          <t>观察</t>
        </is>
      </c>
      <c r="G12" s="48" t="n">
        <v>21.5</v>
      </c>
      <c r="H12" s="48" t="n">
        <v>24</v>
      </c>
      <c r="I12" s="38">
        <f>IF(AND(ISNUMBER(G12),ISNUMBER(H12),N(H12)&gt;0),(H12-G12)/H12,"")</f>
        <v>0.104166666666667</v>
      </c>
      <c r="J12" s="48" t="n">
        <v>16.8</v>
      </c>
      <c r="K12" s="54">
        <f>IF(AND(ISNUMBER(G12),N(J12)&gt;0),G12/J12-1,"")</f>
        <v>0.279761904761905</v>
      </c>
      <c r="L12" s="48" t="n">
        <v>30</v>
      </c>
      <c r="M12" s="18" t="inlineStr">
        <is>
          <t>没有</t>
        </is>
      </c>
      <c r="N12" s="67">
        <f>TODAY()+45</f>
        <v>46353.0</v>
      </c>
      <c r="O12" s="50">
        <f>IF(ISNUMBER(N12),N12-TODAY(),"")</f>
        <v>45</v>
      </c>
      <c r="P12" s="34" t="n">
        <v>0</v>
      </c>
      <c r="Q12" s="16" t="inlineStr">
        <is>
          <t>集采结果出来前不动</t>
        </is>
      </c>
    </row>
    <row r="13">
      <c r="B13" s="16" t="n"/>
      <c r="C13" s="18" t="n"/>
      <c r="D13" s="18" t="n"/>
      <c r="E13" s="16" t="n"/>
      <c r="F13" s="18" t="n"/>
      <c r="G13" s="48" t="n"/>
      <c r="H13" s="48" t="n"/>
      <c r="I13" s="38" t="str">
        <f>IF(AND(ISNUMBER(G13),ISNUMBER(H13),N(H13)&gt;0),(H13-G13)/H13,"")</f>
        <v/>
      </c>
      <c r="J13" s="48" t="n"/>
      <c r="K13" s="54" t="str">
        <f>IF(AND(ISNUMBER(G13),N(J13)&gt;0),G13/J13-1,"")</f>
        <v/>
      </c>
      <c r="L13" s="48" t="n"/>
      <c r="M13" s="18" t="n"/>
      <c r="N13" s="20" t="n"/>
      <c r="O13" s="50" t="str">
        <f>IF(ISNUMBER(N13),N13-TODAY(),"")</f>
        <v/>
      </c>
      <c r="P13" s="34" t="n"/>
      <c r="Q13" s="16" t="n"/>
    </row>
    <row r="14">
      <c r="B14" s="16" t="n"/>
      <c r="C14" s="18" t="n"/>
      <c r="D14" s="18" t="n"/>
      <c r="E14" s="16" t="n"/>
      <c r="F14" s="18" t="n"/>
      <c r="G14" s="48" t="n"/>
      <c r="H14" s="48" t="n"/>
      <c r="I14" s="38" t="str">
        <f>IF(AND(ISNUMBER(G14),ISNUMBER(H14),N(H14)&gt;0),(H14-G14)/H14,"")</f>
        <v/>
      </c>
      <c r="J14" s="48" t="n"/>
      <c r="K14" s="54" t="str">
        <f>IF(AND(ISNUMBER(G14),N(J14)&gt;0),G14/J14-1,"")</f>
        <v/>
      </c>
      <c r="L14" s="48" t="n"/>
      <c r="M14" s="18" t="n"/>
      <c r="N14" s="20" t="n"/>
      <c r="O14" s="50" t="str">
        <f>IF(ISNUMBER(N14),N14-TODAY(),"")</f>
        <v/>
      </c>
      <c r="P14" s="34" t="n"/>
      <c r="Q14" s="16" t="n"/>
    </row>
    <row r="15">
      <c r="B15" s="16" t="n"/>
      <c r="C15" s="18" t="n"/>
      <c r="D15" s="18" t="n"/>
      <c r="E15" s="16" t="n"/>
      <c r="F15" s="18" t="n"/>
      <c r="G15" s="48" t="n"/>
      <c r="H15" s="48" t="n"/>
      <c r="I15" s="38" t="str">
        <f>IF(AND(ISNUMBER(G15),ISNUMBER(H15),N(H15)&gt;0),(H15-G15)/H15,"")</f>
        <v/>
      </c>
      <c r="J15" s="48" t="n"/>
      <c r="K15" s="54" t="str">
        <f>IF(AND(ISNUMBER(G15),N(J15)&gt;0),G15/J15-1,"")</f>
        <v/>
      </c>
      <c r="L15" s="48" t="n"/>
      <c r="M15" s="18" t="n"/>
      <c r="N15" s="20" t="n"/>
      <c r="O15" s="50" t="str">
        <f>IF(ISNUMBER(N15),N15-TODAY(),"")</f>
        <v/>
      </c>
      <c r="P15" s="34" t="n"/>
      <c r="Q15" s="16" t="n"/>
    </row>
    <row r="16">
      <c r="B16" s="16" t="n"/>
      <c r="C16" s="18" t="n"/>
      <c r="D16" s="18" t="n"/>
      <c r="E16" s="16" t="n"/>
      <c r="F16" s="18" t="n"/>
      <c r="G16" s="48" t="n"/>
      <c r="H16" s="48" t="n"/>
      <c r="I16" s="38" t="str">
        <f>IF(AND(ISNUMBER(G16),ISNUMBER(H16),N(H16)&gt;0),(H16-G16)/H16,"")</f>
        <v/>
      </c>
      <c r="J16" s="48" t="n"/>
      <c r="K16" s="54" t="str">
        <f>IF(AND(ISNUMBER(G16),N(J16)&gt;0),G16/J16-1,"")</f>
        <v/>
      </c>
      <c r="L16" s="48" t="n"/>
      <c r="M16" s="18" t="n"/>
      <c r="N16" s="20" t="n"/>
      <c r="O16" s="50" t="str">
        <f>IF(ISNUMBER(N16),N16-TODAY(),"")</f>
        <v/>
      </c>
      <c r="P16" s="34" t="n"/>
      <c r="Q16" s="16" t="n"/>
    </row>
    <row r="17">
      <c r="B17" s="16" t="n"/>
      <c r="C17" s="18" t="n"/>
      <c r="D17" s="18" t="n"/>
      <c r="E17" s="16" t="n"/>
      <c r="F17" s="18" t="n"/>
      <c r="G17" s="48" t="n"/>
      <c r="H17" s="48" t="n"/>
      <c r="I17" s="38" t="str">
        <f>IF(AND(ISNUMBER(G17),ISNUMBER(H17),N(H17)&gt;0),(H17-G17)/H17,"")</f>
        <v/>
      </c>
      <c r="J17" s="48" t="n"/>
      <c r="K17" s="54" t="str">
        <f>IF(AND(ISNUMBER(G17),N(J17)&gt;0),G17/J17-1,"")</f>
        <v/>
      </c>
      <c r="L17" s="48" t="n"/>
      <c r="M17" s="18" t="n"/>
      <c r="N17" s="20" t="n"/>
      <c r="O17" s="50" t="str">
        <f>IF(ISNUMBER(N17),N17-TODAY(),"")</f>
        <v/>
      </c>
      <c r="P17" s="34" t="n"/>
      <c r="Q17" s="16" t="n"/>
    </row>
    <row r="18">
      <c r="B18" s="16" t="n"/>
      <c r="C18" s="18" t="n"/>
      <c r="D18" s="18" t="n"/>
      <c r="E18" s="16" t="n"/>
      <c r="F18" s="18" t="n"/>
      <c r="G18" s="48" t="n"/>
      <c r="H18" s="48" t="n"/>
      <c r="I18" s="38" t="str">
        <f>IF(AND(ISNUMBER(G18),ISNUMBER(H18),N(H18)&gt;0),(H18-G18)/H18,"")</f>
        <v/>
      </c>
      <c r="J18" s="48" t="n"/>
      <c r="K18" s="54" t="str">
        <f>IF(AND(ISNUMBER(G18),N(J18)&gt;0),G18/J18-1,"")</f>
        <v/>
      </c>
      <c r="L18" s="48" t="n"/>
      <c r="M18" s="18" t="n"/>
      <c r="N18" s="20" t="n"/>
      <c r="O18" s="50" t="str">
        <f>IF(ISNUMBER(N18),N18-TODAY(),"")</f>
        <v/>
      </c>
      <c r="P18" s="34" t="n"/>
      <c r="Q18" s="16" t="n"/>
    </row>
    <row r="19">
      <c r="B19" s="16" t="n"/>
      <c r="C19" s="18" t="n"/>
      <c r="D19" s="18" t="n"/>
      <c r="E19" s="16" t="n"/>
      <c r="F19" s="18" t="n"/>
      <c r="G19" s="48" t="n"/>
      <c r="H19" s="48" t="n"/>
      <c r="I19" s="38" t="str">
        <f>IF(AND(ISNUMBER(G19),ISNUMBER(H19),N(H19)&gt;0),(H19-G19)/H19,"")</f>
        <v/>
      </c>
      <c r="J19" s="48" t="n"/>
      <c r="K19" s="54" t="str">
        <f>IF(AND(ISNUMBER(G19),N(J19)&gt;0),G19/J19-1,"")</f>
        <v/>
      </c>
      <c r="L19" s="48" t="n"/>
      <c r="M19" s="18" t="n"/>
      <c r="N19" s="20" t="n"/>
      <c r="O19" s="50" t="str">
        <f>IF(ISNUMBER(N19),N19-TODAY(),"")</f>
        <v/>
      </c>
      <c r="P19" s="34" t="n"/>
      <c r="Q19" s="16" t="n"/>
    </row>
    <row r="20">
      <c r="B20" s="16" t="n"/>
      <c r="C20" s="18" t="n"/>
      <c r="D20" s="18" t="n"/>
      <c r="E20" s="16" t="n"/>
      <c r="F20" s="18" t="n"/>
      <c r="G20" s="48" t="n"/>
      <c r="H20" s="48" t="n"/>
      <c r="I20" s="38" t="str">
        <f>IF(AND(ISNUMBER(G20),ISNUMBER(H20),N(H20)&gt;0),(H20-G20)/H20,"")</f>
        <v/>
      </c>
      <c r="J20" s="48" t="n"/>
      <c r="K20" s="54" t="str">
        <f>IF(AND(ISNUMBER(G20),N(J20)&gt;0),G20/J20-1,"")</f>
        <v/>
      </c>
      <c r="L20" s="48" t="n"/>
      <c r="M20" s="18" t="n"/>
      <c r="N20" s="20" t="n"/>
      <c r="O20" s="50" t="str">
        <f>IF(ISNUMBER(N20),N20-TODAY(),"")</f>
        <v/>
      </c>
      <c r="P20" s="34" t="n"/>
      <c r="Q20" s="16" t="n"/>
    </row>
    <row r="21">
      <c r="B21" s="16" t="n"/>
      <c r="C21" s="18" t="n"/>
      <c r="D21" s="18" t="n"/>
      <c r="E21" s="16" t="n"/>
      <c r="F21" s="18" t="n"/>
      <c r="G21" s="48" t="n"/>
      <c r="H21" s="48" t="n"/>
      <c r="I21" s="38" t="str">
        <f>IF(AND(ISNUMBER(G21),ISNUMBER(H21),N(H21)&gt;0),(H21-G21)/H21,"")</f>
        <v/>
      </c>
      <c r="J21" s="48" t="n"/>
      <c r="K21" s="54" t="str">
        <f>IF(AND(ISNUMBER(G21),N(J21)&gt;0),G21/J21-1,"")</f>
        <v/>
      </c>
      <c r="L21" s="48" t="n"/>
      <c r="M21" s="18" t="n"/>
      <c r="N21" s="20" t="n"/>
      <c r="O21" s="50" t="str">
        <f>IF(ISNUMBER(N21),N21-TODAY(),"")</f>
        <v/>
      </c>
      <c r="P21" s="34" t="n"/>
      <c r="Q21" s="16" t="n"/>
    </row>
    <row r="22">
      <c r="B22" s="16" t="n"/>
      <c r="C22" s="18" t="n"/>
      <c r="D22" s="18" t="n"/>
      <c r="E22" s="16" t="n"/>
      <c r="F22" s="18" t="n"/>
      <c r="G22" s="48" t="n"/>
      <c r="H22" s="48" t="n"/>
      <c r="I22" s="38" t="str">
        <f>IF(AND(ISNUMBER(G22),ISNUMBER(H22),N(H22)&gt;0),(H22-G22)/H22,"")</f>
        <v/>
      </c>
      <c r="J22" s="48" t="n"/>
      <c r="K22" s="54" t="str">
        <f>IF(AND(ISNUMBER(G22),N(J22)&gt;0),G22/J22-1,"")</f>
        <v/>
      </c>
      <c r="L22" s="48" t="n"/>
      <c r="M22" s="18" t="n"/>
      <c r="N22" s="20" t="n"/>
      <c r="O22" s="50" t="str">
        <f>IF(ISNUMBER(N22),N22-TODAY(),"")</f>
        <v/>
      </c>
      <c r="P22" s="34" t="n"/>
      <c r="Q22" s="16" t="n"/>
    </row>
    <row r="23">
      <c r="B23" s="16" t="n"/>
      <c r="C23" s="18" t="n"/>
      <c r="D23" s="18" t="n"/>
      <c r="E23" s="16" t="n"/>
      <c r="F23" s="18" t="n"/>
      <c r="G23" s="48" t="n"/>
      <c r="H23" s="48" t="n"/>
      <c r="I23" s="38" t="str">
        <f>IF(AND(ISNUMBER(G23),ISNUMBER(H23),N(H23)&gt;0),(H23-G23)/H23,"")</f>
        <v/>
      </c>
      <c r="J23" s="48" t="n"/>
      <c r="K23" s="54" t="str">
        <f>IF(AND(ISNUMBER(G23),N(J23)&gt;0),G23/J23-1,"")</f>
        <v/>
      </c>
      <c r="L23" s="48" t="n"/>
      <c r="M23" s="18" t="n"/>
      <c r="N23" s="20" t="n"/>
      <c r="O23" s="50" t="str">
        <f>IF(ISNUMBER(N23),N23-TODAY(),"")</f>
        <v/>
      </c>
      <c r="P23" s="34" t="n"/>
      <c r="Q23" s="16" t="n"/>
    </row>
    <row r="24">
      <c r="B24" s="16" t="n"/>
      <c r="C24" s="18" t="n"/>
      <c r="D24" s="18" t="n"/>
      <c r="E24" s="16" t="n"/>
      <c r="F24" s="18" t="n"/>
      <c r="G24" s="48" t="n"/>
      <c r="H24" s="48" t="n"/>
      <c r="I24" s="38" t="str">
        <f>IF(AND(ISNUMBER(G24),ISNUMBER(H24),N(H24)&gt;0),(H24-G24)/H24,"")</f>
        <v/>
      </c>
      <c r="J24" s="48" t="n"/>
      <c r="K24" s="54" t="str">
        <f>IF(AND(ISNUMBER(G24),N(J24)&gt;0),G24/J24-1,"")</f>
        <v/>
      </c>
      <c r="L24" s="48" t="n"/>
      <c r="M24" s="18" t="n"/>
      <c r="N24" s="20" t="n"/>
      <c r="O24" s="50" t="str">
        <f>IF(ISNUMBER(N24),N24-TODAY(),"")</f>
        <v/>
      </c>
      <c r="P24" s="34" t="n"/>
      <c r="Q24" s="16" t="n"/>
    </row>
    <row r="25">
      <c r="B25" s="16" t="n"/>
      <c r="C25" s="18" t="n"/>
      <c r="D25" s="18" t="n"/>
      <c r="E25" s="16" t="n"/>
      <c r="F25" s="18" t="n"/>
      <c r="G25" s="48" t="n"/>
      <c r="H25" s="48" t="n"/>
      <c r="I25" s="38" t="str">
        <f>IF(AND(ISNUMBER(G25),ISNUMBER(H25),N(H25)&gt;0),(H25-G25)/H25,"")</f>
        <v/>
      </c>
      <c r="J25" s="48" t="n"/>
      <c r="K25" s="54" t="str">
        <f>IF(AND(ISNUMBER(G25),N(J25)&gt;0),G25/J25-1,"")</f>
        <v/>
      </c>
      <c r="L25" s="48" t="n"/>
      <c r="M25" s="18" t="n"/>
      <c r="N25" s="20" t="n"/>
      <c r="O25" s="50" t="str">
        <f>IF(ISNUMBER(N25),N25-TODAY(),"")</f>
        <v/>
      </c>
      <c r="P25" s="34" t="n"/>
      <c r="Q25" s="16" t="n"/>
    </row>
    <row r="26">
      <c r="B26" s="16" t="n"/>
      <c r="C26" s="18" t="n"/>
      <c r="D26" s="18" t="n"/>
      <c r="E26" s="16" t="n"/>
      <c r="F26" s="18" t="n"/>
      <c r="G26" s="48" t="n"/>
      <c r="H26" s="48" t="n"/>
      <c r="I26" s="38" t="str">
        <f>IF(AND(ISNUMBER(G26),ISNUMBER(H26),N(H26)&gt;0),(H26-G26)/H26,"")</f>
        <v/>
      </c>
      <c r="J26" s="48" t="n"/>
      <c r="K26" s="54" t="str">
        <f>IF(AND(ISNUMBER(G26),N(J26)&gt;0),G26/J26-1,"")</f>
        <v/>
      </c>
      <c r="L26" s="48" t="n"/>
      <c r="M26" s="18" t="n"/>
      <c r="N26" s="20" t="n"/>
      <c r="O26" s="50" t="str">
        <f>IF(ISNUMBER(N26),N26-TODAY(),"")</f>
        <v/>
      </c>
      <c r="P26" s="34" t="n"/>
      <c r="Q26" s="16" t="n"/>
    </row>
    <row r="27">
      <c r="B27" s="16" t="n"/>
      <c r="C27" s="18" t="n"/>
      <c r="D27" s="18" t="n"/>
      <c r="E27" s="16" t="n"/>
      <c r="F27" s="18" t="n"/>
      <c r="G27" s="48" t="n"/>
      <c r="H27" s="48" t="n"/>
      <c r="I27" s="38" t="str">
        <f>IF(AND(ISNUMBER(G27),ISNUMBER(H27),N(H27)&gt;0),(H27-G27)/H27,"")</f>
        <v/>
      </c>
      <c r="J27" s="48" t="n"/>
      <c r="K27" s="54" t="str">
        <f>IF(AND(ISNUMBER(G27),N(J27)&gt;0),G27/J27-1,"")</f>
        <v/>
      </c>
      <c r="L27" s="48" t="n"/>
      <c r="M27" s="18" t="n"/>
      <c r="N27" s="20" t="n"/>
      <c r="O27" s="50" t="str">
        <f>IF(ISNUMBER(N27),N27-TODAY(),"")</f>
        <v/>
      </c>
      <c r="P27" s="34" t="n"/>
      <c r="Q27" s="16" t="n"/>
    </row>
  </sheetData>
  <mergeCells count="7">
    <mergeCell ref="G4:H4"/>
    <mergeCell ref="J4:K4"/>
    <mergeCell ref="O1:Q1"/>
    <mergeCell ref="A2:Q2"/>
    <mergeCell ref="D4:E4"/>
    <mergeCell ref="B6:Q6"/>
    <mergeCell ref="A1:N1"/>
  </mergeCells>
  <conditionalFormatting sqref="K8:K27">
    <cfRule type="cellIs" priority="1" operator="lessThanOrEqual" dxfId="0">
      <formula>0</formula>
    </cfRule>
  </conditionalFormatting>
  <conditionalFormatting sqref="M8:M27">
    <cfRule type="cellIs" priority="2" operator="equal" dxfId="8">
      <formula>"出现苗头"</formula>
    </cfRule>
    <cfRule type="cellIs" priority="3" operator="equal" dxfId="1">
      <formula>"已证伪"</formula>
    </cfRule>
  </conditionalFormatting>
  <conditionalFormatting sqref="O8:O27">
    <cfRule type="cellIs" priority="4" operator="lessThan" dxfId="9">
      <formula>0</formula>
    </cfRule>
    <cfRule type="cellIs" priority="5" operator="between" dxfId="5">
      <formula>0</formula>
      <formula>14</formula>
    </cfRule>
  </conditionalFormatting>
  <dataValidations count="4">
    <dataValidation sqref="D9:D27" showDropDown="0" showInputMessage="0" showErrorMessage="1" allowBlank="1" errorTitle="不在选项里" error="请从下拉里选；要加新选项，先去参数页的下拉选项里加。" type="list" errorStyle="warning">
      <formula1>"A股,港股,美股,其他"</formula1>
    </dataValidation>
    <dataValidation sqref="F9:F27" showDropDown="0" showInputMessage="0" showErrorMessage="1" allowBlank="1" errorTitle="不在选项里" error="请从下拉里选；要加新选项，先去参数页的下拉选项里加。" type="list" errorStyle="stop">
      <formula1>"观察,等价格,买入,持有,减仓,卖出"</formula1>
    </dataValidation>
    <dataValidation sqref="M9:M27" showDropDown="0" showInputMessage="0" showErrorMessage="1" allowBlank="1" errorTitle="不在选项里" error="请从下拉里选；要加新选项，先去参数页的下拉选项里加。" type="list" errorStyle="stop">
      <formula1>"没有,出现苗头,已证伪"</formula1>
    </dataValidation>
    <dataValidation sqref="N9:N27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trade1469.com/templates/stock-research/?src=tpl-fund&amp;R&amp;"Microsoft YaHei"&amp;8 第 &amp;P 页，共 &amp;N 页</oddFooter>
    <evenHeader/>
    <evenFooter>&amp;L&amp;"Microsoft YaHei"&amp;8 TradeLearn · XtradingTime 交易内训&amp;C&amp;"Microsoft YaHei"&amp;8 trade1469.com/templates/stock-research/?src=tpl-fund&amp;R&amp;"Microsoft YaHei"&amp;8 第 &amp;P 页，共 &amp;N 页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TradeLearn · XtradingTime 交易内训</dc:creator>
  <dc:title xmlns:dc="http://purl.org/dc/elements/1.1/">基本面投研模板</dc:title>
  <dc:subject xmlns:dc="http://purl.org/dc/elements/1.1/">一页投资备忘录、财务摘要、现金流折现估值、风险与跟踪</dc:subject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2026-10-13T09:12:06Z</dcterms:modified>
  <cp:keywords>投研报告模板, 投资备忘录, 估值模型, 现金流折现, 基本面分析</cp:keywords>
</cp:coreProperties>
</file>